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ЦяКнига"/>
  <mc:AlternateContent xmlns:mc="http://schemas.openxmlformats.org/markup-compatibility/2006">
    <mc:Choice Requires="x15">
      <x15ac:absPath xmlns:x15ac="http://schemas.microsoft.com/office/spreadsheetml/2010/11/ac" url="O:\BUDJET\2024\Рішення від .12.2023 №\Рішення виконкому Варіант №4 ОСТАТОЧНИЙ +РОЗПОДІЛ  ШЕФИ від 12.12.2023 №\"/>
    </mc:Choice>
  </mc:AlternateContent>
  <xr:revisionPtr revIDLastSave="0" documentId="13_ncr:1_{C68979EF-6C38-43B8-9319-9C9D20575047}" xr6:coauthVersionLast="47" xr6:coauthVersionMax="47" xr10:uidLastSave="{00000000-0000-0000-0000-000000000000}"/>
  <bookViews>
    <workbookView xWindow="-120" yWindow="-120" windowWidth="29040" windowHeight="15720" tabRatio="583" activeTab="8" xr2:uid="{00000000-000D-0000-FFFF-FFFF00000000}"/>
  </bookViews>
  <sheets>
    <sheet name="d1" sheetId="188" r:id="rId1"/>
    <sheet name="d2" sheetId="172" r:id="rId2"/>
    <sheet name="d3" sheetId="165" r:id="rId3"/>
    <sheet name="d4" sheetId="107" r:id="rId4"/>
    <sheet name="d5" sheetId="170" r:id="rId5"/>
    <sheet name="d6" sheetId="184" r:id="rId6"/>
    <sheet name="d7" sheetId="167" r:id="rId7"/>
    <sheet name="d8" sheetId="108" r:id="rId8"/>
    <sheet name="d9" sheetId="197" r:id="rId9"/>
  </sheets>
  <definedNames>
    <definedName name="_GoBack" localSheetId="5">'d6'!#REF!</definedName>
    <definedName name="_xlnm.Print_Titles" localSheetId="2">'d3'!$11:$14</definedName>
    <definedName name="_xlnm.Print_Titles" localSheetId="5">'d6'!$9:$10</definedName>
    <definedName name="_xlnm.Print_Titles" localSheetId="6">'d7'!$12:$14</definedName>
    <definedName name="_xlnm.Print_Area" localSheetId="0">'d1'!$A$1:$F$154</definedName>
    <definedName name="_xlnm.Print_Area" localSheetId="1">'d2'!$A$1:$F$64</definedName>
    <definedName name="_xlnm.Print_Area" localSheetId="2">'d3'!$A$1:$P$427</definedName>
    <definedName name="_xlnm.Print_Area" localSheetId="3">'d4'!$B$1:$Q$33</definedName>
    <definedName name="_xlnm.Print_Area" localSheetId="4">'d5'!$A$1:$D$109</definedName>
    <definedName name="_xlnm.Print_Area" localSheetId="5">'d6'!$A$1:$K$121</definedName>
    <definedName name="_xlnm.Print_Area" localSheetId="6">'d7'!$A$1:$J$355</definedName>
    <definedName name="_xlnm.Print_Area" localSheetId="7">'d8'!$A$1:$D$41</definedName>
    <definedName name="_xlnm.Print_Area" localSheetId="8">'d9'!$A$1:$F$26</definedName>
    <definedName name="С16" localSheetId="0">#REF!</definedName>
    <definedName name="С16" localSheetId="1">#REF!</definedName>
    <definedName name="С16" localSheetId="4">#REF!</definedName>
    <definedName name="С16" localSheetId="5">#REF!</definedName>
    <definedName name="С16" localSheetId="6">#REF!</definedName>
    <definedName name="С16" localSheetId="8">#REF!</definedName>
    <definedName name="С16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" i="165" l="1"/>
  <c r="F49" i="165"/>
  <c r="G49" i="165"/>
  <c r="G47" i="165"/>
  <c r="F114" i="165" l="1"/>
  <c r="F111" i="165"/>
  <c r="F110" i="165"/>
  <c r="F109" i="165"/>
  <c r="F108" i="165"/>
  <c r="H36" i="167"/>
  <c r="H28" i="167"/>
  <c r="G28" i="167" s="1"/>
  <c r="F35" i="165"/>
  <c r="F21" i="165"/>
  <c r="F296" i="165"/>
  <c r="H250" i="167"/>
  <c r="F289" i="165"/>
  <c r="H43" i="167"/>
  <c r="D78" i="170"/>
  <c r="F43" i="165"/>
  <c r="O423" i="165"/>
  <c r="P423" i="165"/>
  <c r="K423" i="165"/>
  <c r="J423" i="165"/>
  <c r="J43" i="167"/>
  <c r="I43" i="167"/>
  <c r="D92" i="170"/>
  <c r="K43" i="165"/>
  <c r="H26" i="167" l="1"/>
  <c r="H25" i="167"/>
  <c r="J36" i="167"/>
  <c r="I36" i="167"/>
  <c r="F414" i="165"/>
  <c r="K35" i="165"/>
  <c r="D29" i="170" l="1"/>
  <c r="D14" i="170"/>
  <c r="D71" i="188"/>
  <c r="C71" i="188" s="1"/>
  <c r="C87" i="188"/>
  <c r="C76" i="188"/>
  <c r="C75" i="188"/>
  <c r="C28" i="188"/>
  <c r="D27" i="188"/>
  <c r="D17" i="188"/>
  <c r="C23" i="188"/>
  <c r="C22" i="188"/>
  <c r="N423" i="165" l="1"/>
  <c r="M423" i="165"/>
  <c r="L423" i="165"/>
  <c r="H423" i="165"/>
  <c r="G423" i="165"/>
  <c r="J36" i="184"/>
  <c r="H36" i="184"/>
  <c r="O202" i="165"/>
  <c r="L202" i="165"/>
  <c r="O195" i="165"/>
  <c r="L195" i="165"/>
  <c r="O199" i="165"/>
  <c r="L199" i="165"/>
  <c r="H202" i="165"/>
  <c r="H199" i="165"/>
  <c r="H198" i="165"/>
  <c r="H197" i="165"/>
  <c r="H195" i="165"/>
  <c r="J43" i="184"/>
  <c r="I43" i="184"/>
  <c r="H43" i="184"/>
  <c r="I45" i="184"/>
  <c r="O228" i="165"/>
  <c r="L228" i="165"/>
  <c r="H228" i="165"/>
  <c r="G228" i="165"/>
  <c r="H220" i="165"/>
  <c r="H219" i="165"/>
  <c r="D100" i="170"/>
  <c r="L30" i="165"/>
  <c r="H24" i="167"/>
  <c r="H18" i="165"/>
  <c r="J20" i="184"/>
  <c r="H20" i="184"/>
  <c r="J52" i="184"/>
  <c r="H52" i="184"/>
  <c r="J95" i="184"/>
  <c r="H95" i="184"/>
  <c r="O86" i="165"/>
  <c r="K93" i="165"/>
  <c r="O58" i="165"/>
  <c r="L47" i="165"/>
  <c r="K60" i="165"/>
  <c r="O60" i="165" s="1"/>
  <c r="K47" i="165"/>
  <c r="O47" i="165" s="1"/>
  <c r="K51" i="165"/>
  <c r="K49" i="165"/>
  <c r="O49" i="165" s="1"/>
  <c r="K63" i="165"/>
  <c r="F51" i="165"/>
  <c r="F50" i="165"/>
  <c r="F60" i="165"/>
  <c r="F58" i="165"/>
  <c r="F63" i="165"/>
  <c r="K95" i="165"/>
  <c r="I25" i="184"/>
  <c r="I24" i="184"/>
  <c r="I23" i="184"/>
  <c r="I21" i="184"/>
  <c r="I26" i="184"/>
  <c r="F53" i="165"/>
  <c r="F68" i="165"/>
  <c r="F66" i="165"/>
  <c r="H68" i="165"/>
  <c r="H66" i="165"/>
  <c r="H63" i="165"/>
  <c r="H60" i="165"/>
  <c r="H58" i="165"/>
  <c r="H51" i="165"/>
  <c r="H50" i="165"/>
  <c r="H49" i="165"/>
  <c r="H47" i="165"/>
  <c r="F67" i="165"/>
  <c r="F61" i="165"/>
  <c r="F54" i="165"/>
  <c r="L177" i="165"/>
  <c r="I20" i="184" l="1"/>
  <c r="O149" i="165"/>
  <c r="N149" i="165"/>
  <c r="O177" i="165"/>
  <c r="N177" i="165"/>
  <c r="H177" i="165" l="1"/>
  <c r="G177" i="165"/>
  <c r="H152" i="165"/>
  <c r="H150" i="165"/>
  <c r="G150" i="165"/>
  <c r="H149" i="165"/>
  <c r="I37" i="184"/>
  <c r="I36" i="184" s="1"/>
  <c r="D21" i="172"/>
  <c r="J347" i="167"/>
  <c r="I27" i="107"/>
  <c r="I25" i="107"/>
  <c r="G130" i="167"/>
  <c r="O400" i="165" l="1"/>
  <c r="O391" i="165" l="1"/>
  <c r="L391" i="165"/>
  <c r="M250" i="167"/>
  <c r="I113" i="184"/>
  <c r="K113" i="184" s="1"/>
  <c r="I114" i="184"/>
  <c r="I104" i="184" l="1"/>
  <c r="I103" i="184"/>
  <c r="I102" i="184"/>
  <c r="I101" i="184"/>
  <c r="I95" i="184" l="1"/>
  <c r="J275" i="167"/>
  <c r="I60" i="184" l="1"/>
  <c r="I59" i="184"/>
  <c r="I52" i="184" s="1"/>
  <c r="H307" i="165"/>
  <c r="J232" i="167"/>
  <c r="J228" i="167"/>
  <c r="G229" i="167"/>
  <c r="J236" i="167"/>
  <c r="O274" i="165"/>
  <c r="E274" i="165"/>
  <c r="H236" i="167" s="1"/>
  <c r="M231" i="167"/>
  <c r="J225" i="167"/>
  <c r="G226" i="167"/>
  <c r="H217" i="167"/>
  <c r="J274" i="165" l="1"/>
  <c r="I236" i="167" s="1"/>
  <c r="G236" i="167" s="1"/>
  <c r="P274" i="165" l="1"/>
  <c r="K59" i="184" l="1"/>
  <c r="G104" i="167" l="1"/>
  <c r="K25" i="184" l="1"/>
  <c r="K24" i="184"/>
  <c r="K104" i="184" l="1"/>
  <c r="K103" i="184"/>
  <c r="K102" i="184"/>
  <c r="K101" i="184"/>
  <c r="J53" i="184"/>
  <c r="G230" i="167"/>
  <c r="H322" i="167"/>
  <c r="J81" i="184" l="1"/>
  <c r="G277" i="167"/>
  <c r="O311" i="165" l="1"/>
  <c r="J311" i="165" s="1"/>
  <c r="J310" i="165" s="1"/>
  <c r="J309" i="165" s="1"/>
  <c r="E311" i="165"/>
  <c r="N310" i="165"/>
  <c r="M310" i="165"/>
  <c r="L310" i="165"/>
  <c r="L309" i="165" s="1"/>
  <c r="K310" i="165"/>
  <c r="K309" i="165" s="1"/>
  <c r="I310" i="165"/>
  <c r="I309" i="165" s="1"/>
  <c r="H310" i="165"/>
  <c r="H309" i="165" s="1"/>
  <c r="G310" i="165"/>
  <c r="G309" i="165" s="1"/>
  <c r="F310" i="165"/>
  <c r="F309" i="165" s="1"/>
  <c r="N309" i="165"/>
  <c r="M309" i="165"/>
  <c r="F109" i="188"/>
  <c r="D109" i="188"/>
  <c r="D105" i="188"/>
  <c r="D104" i="188" s="1"/>
  <c r="O310" i="165" l="1"/>
  <c r="O309" i="165" s="1"/>
  <c r="E98" i="170"/>
  <c r="P311" i="165"/>
  <c r="P310" i="165" s="1"/>
  <c r="P309" i="165" s="1"/>
  <c r="E310" i="165"/>
  <c r="E309" i="165" s="1"/>
  <c r="C53" i="172" l="1"/>
  <c r="C52" i="172" s="1"/>
  <c r="C51" i="172"/>
  <c r="C50" i="172" s="1"/>
  <c r="F52" i="172"/>
  <c r="E52" i="172"/>
  <c r="F50" i="172"/>
  <c r="E50" i="172"/>
  <c r="D50" i="172"/>
  <c r="D23" i="172"/>
  <c r="F21" i="172"/>
  <c r="E21" i="172"/>
  <c r="F23" i="172"/>
  <c r="E23" i="172"/>
  <c r="D60" i="170"/>
  <c r="F20" i="172" l="1"/>
  <c r="E49" i="172"/>
  <c r="D20" i="172"/>
  <c r="C22" i="172"/>
  <c r="C21" i="172" s="1"/>
  <c r="C20" i="172" s="1"/>
  <c r="F49" i="172"/>
  <c r="D52" i="172"/>
  <c r="D49" i="172" s="1"/>
  <c r="C49" i="172"/>
  <c r="E20" i="172"/>
  <c r="C24" i="172"/>
  <c r="C23" i="172" s="1"/>
  <c r="J111" i="184"/>
  <c r="J107" i="184"/>
  <c r="J109" i="184"/>
  <c r="J96" i="184"/>
  <c r="J105" i="184"/>
  <c r="H98" i="184"/>
  <c r="J98" i="184"/>
  <c r="I98" i="184" s="1"/>
  <c r="H291" i="167"/>
  <c r="G293" i="167"/>
  <c r="J93" i="167"/>
  <c r="F84" i="165"/>
  <c r="G84" i="165"/>
  <c r="H84" i="165"/>
  <c r="I84" i="165"/>
  <c r="L84" i="165"/>
  <c r="M84" i="165"/>
  <c r="N84" i="165"/>
  <c r="E86" i="165"/>
  <c r="O85" i="165"/>
  <c r="E85" i="165"/>
  <c r="I22" i="184"/>
  <c r="K26" i="184"/>
  <c r="O84" i="165" l="1"/>
  <c r="K22" i="184"/>
  <c r="K21" i="184"/>
  <c r="J291" i="167"/>
  <c r="H93" i="167"/>
  <c r="K84" i="165"/>
  <c r="E84" i="165"/>
  <c r="H92" i="167"/>
  <c r="J85" i="165"/>
  <c r="P85" i="165" s="1"/>
  <c r="J86" i="165"/>
  <c r="P86" i="165" s="1"/>
  <c r="J92" i="167"/>
  <c r="K23" i="184"/>
  <c r="J84" i="165" l="1"/>
  <c r="I93" i="167"/>
  <c r="G93" i="167" s="1"/>
  <c r="I92" i="167"/>
  <c r="G92" i="167" s="1"/>
  <c r="P84" i="165"/>
  <c r="K37" i="184"/>
  <c r="G218" i="167"/>
  <c r="J92" i="184"/>
  <c r="J90" i="184"/>
  <c r="J89" i="184"/>
  <c r="J88" i="184"/>
  <c r="H71" i="184"/>
  <c r="J71" i="184"/>
  <c r="J78" i="184"/>
  <c r="J69" i="184"/>
  <c r="J65" i="184"/>
  <c r="G259" i="167" l="1"/>
  <c r="G258" i="167"/>
  <c r="E207" i="165" l="1"/>
  <c r="G248" i="167" l="1"/>
  <c r="J308" i="167" l="1"/>
  <c r="G280" i="167"/>
  <c r="G54" i="167"/>
  <c r="K209" i="165" l="1"/>
  <c r="M36" i="167" l="1"/>
  <c r="G36" i="167"/>
  <c r="J220" i="167" l="1"/>
  <c r="I220" i="167"/>
  <c r="H220" i="167"/>
  <c r="F259" i="165"/>
  <c r="H29" i="184" l="1"/>
  <c r="G227" i="167"/>
  <c r="E55" i="172"/>
  <c r="J32" i="184"/>
  <c r="I32" i="184" s="1"/>
  <c r="J33" i="184"/>
  <c r="J29" i="184" l="1"/>
  <c r="J144" i="167"/>
  <c r="G145" i="167"/>
  <c r="H348" i="167"/>
  <c r="J348" i="167"/>
  <c r="J344" i="167" s="1"/>
  <c r="I348" i="167"/>
  <c r="K92" i="184"/>
  <c r="K91" i="184"/>
  <c r="K90" i="184"/>
  <c r="K89" i="184"/>
  <c r="K88" i="184"/>
  <c r="J87" i="184"/>
  <c r="J79" i="184"/>
  <c r="J77" i="184"/>
  <c r="J74" i="184"/>
  <c r="J73" i="184"/>
  <c r="J72" i="184"/>
  <c r="J70" i="184"/>
  <c r="I53" i="184"/>
  <c r="K53" i="184" s="1"/>
  <c r="G267" i="167"/>
  <c r="O287" i="165"/>
  <c r="E287" i="165"/>
  <c r="N284" i="165"/>
  <c r="M284" i="165"/>
  <c r="L284" i="165"/>
  <c r="K284" i="165"/>
  <c r="I284" i="165"/>
  <c r="H284" i="165"/>
  <c r="G284" i="165"/>
  <c r="F284" i="165"/>
  <c r="G233" i="167"/>
  <c r="J222" i="167"/>
  <c r="G223" i="167"/>
  <c r="J221" i="167"/>
  <c r="G220" i="167"/>
  <c r="I65" i="184"/>
  <c r="K65" i="184" s="1"/>
  <c r="G50" i="167"/>
  <c r="D87" i="170"/>
  <c r="G27" i="167"/>
  <c r="M31" i="167"/>
  <c r="G31" i="167"/>
  <c r="O27" i="165"/>
  <c r="E27" i="165"/>
  <c r="J287" i="165" l="1"/>
  <c r="H246" i="167"/>
  <c r="G246" i="167" s="1"/>
  <c r="K31" i="167"/>
  <c r="J27" i="165"/>
  <c r="G348" i="167"/>
  <c r="P287" i="165"/>
  <c r="P27" i="165" l="1"/>
  <c r="L31" i="167"/>
  <c r="G21" i="167"/>
  <c r="J91" i="167" l="1"/>
  <c r="J90" i="167"/>
  <c r="C148" i="188" l="1"/>
  <c r="D115" i="188"/>
  <c r="C108" i="188"/>
  <c r="F105" i="188"/>
  <c r="E105" i="188"/>
  <c r="C115" i="188" l="1"/>
  <c r="G292" i="167" l="1"/>
  <c r="G287" i="167"/>
  <c r="J286" i="167"/>
  <c r="J112" i="184"/>
  <c r="H100" i="184"/>
  <c r="H99" i="184"/>
  <c r="J108" i="184"/>
  <c r="J97" i="184"/>
  <c r="J100" i="184"/>
  <c r="I100" i="184" s="1"/>
  <c r="J99" i="184"/>
  <c r="I99" i="184" s="1"/>
  <c r="G288" i="167" l="1"/>
  <c r="N81" i="165" l="1"/>
  <c r="M81" i="165"/>
  <c r="L81" i="165"/>
  <c r="K81" i="165"/>
  <c r="I81" i="165"/>
  <c r="H81" i="165"/>
  <c r="G81" i="165"/>
  <c r="F81" i="165"/>
  <c r="O83" i="165"/>
  <c r="E83" i="165"/>
  <c r="O82" i="165"/>
  <c r="E82" i="165"/>
  <c r="H91" i="167" l="1"/>
  <c r="H90" i="167"/>
  <c r="E81" i="165"/>
  <c r="J83" i="165"/>
  <c r="P83" i="165" s="1"/>
  <c r="J82" i="165"/>
  <c r="P82" i="165" s="1"/>
  <c r="O81" i="165"/>
  <c r="J81" i="165" l="1"/>
  <c r="I90" i="167"/>
  <c r="G90" i="167" s="1"/>
  <c r="P81" i="165"/>
  <c r="I91" i="167"/>
  <c r="G91" i="167" s="1"/>
  <c r="J315" i="167"/>
  <c r="J176" i="167"/>
  <c r="G194" i="167"/>
  <c r="G177" i="167"/>
  <c r="G172" i="167"/>
  <c r="J171" i="167"/>
  <c r="G143" i="167"/>
  <c r="G158" i="167"/>
  <c r="J110" i="167"/>
  <c r="G111" i="167"/>
  <c r="G107" i="167"/>
  <c r="D81" i="170" l="1"/>
  <c r="J142" i="167"/>
  <c r="J193" i="167"/>
  <c r="D88" i="170" l="1"/>
  <c r="G62" i="167"/>
  <c r="J106" i="167" l="1"/>
  <c r="J202" i="167"/>
  <c r="O231" i="165"/>
  <c r="E231" i="165"/>
  <c r="N230" i="165"/>
  <c r="M230" i="165"/>
  <c r="L230" i="165"/>
  <c r="K230" i="165"/>
  <c r="I230" i="165"/>
  <c r="H230" i="165"/>
  <c r="G230" i="165"/>
  <c r="F230" i="165"/>
  <c r="O230" i="165" l="1"/>
  <c r="J231" i="165"/>
  <c r="H202" i="167"/>
  <c r="E230" i="165"/>
  <c r="J153" i="184"/>
  <c r="J131" i="197"/>
  <c r="I153" i="184"/>
  <c r="I131" i="197"/>
  <c r="H153" i="184"/>
  <c r="H131" i="197"/>
  <c r="G153" i="184"/>
  <c r="G142" i="108"/>
  <c r="G131" i="197"/>
  <c r="C147" i="188"/>
  <c r="D132" i="184"/>
  <c r="D121" i="108"/>
  <c r="D110" i="197"/>
  <c r="J83" i="184"/>
  <c r="I83" i="184" s="1"/>
  <c r="P231" i="165" l="1"/>
  <c r="P230" i="165" s="1"/>
  <c r="J230" i="165"/>
  <c r="I202" i="167"/>
  <c r="G202" i="167" s="1"/>
  <c r="O27" i="107" l="1"/>
  <c r="N27" i="107"/>
  <c r="M27" i="107"/>
  <c r="Q27" i="107" s="1"/>
  <c r="N26" i="107"/>
  <c r="M26" i="107"/>
  <c r="L25" i="107"/>
  <c r="L24" i="107" s="1"/>
  <c r="L23" i="107" s="1"/>
  <c r="L22" i="107" s="1"/>
  <c r="K25" i="107"/>
  <c r="K21" i="107" s="1"/>
  <c r="K20" i="107" s="1"/>
  <c r="K24" i="107"/>
  <c r="K23" i="107" s="1"/>
  <c r="K22" i="107" s="1"/>
  <c r="J25" i="107"/>
  <c r="J21" i="107" s="1"/>
  <c r="J20" i="107" s="1"/>
  <c r="I24" i="107"/>
  <c r="I23" i="107" s="1"/>
  <c r="I22" i="107" s="1"/>
  <c r="H25" i="107"/>
  <c r="H24" i="107" s="1"/>
  <c r="H23" i="107" s="1"/>
  <c r="H22" i="107" s="1"/>
  <c r="G25" i="107"/>
  <c r="G24" i="107" s="1"/>
  <c r="G23" i="107" s="1"/>
  <c r="G22" i="107" s="1"/>
  <c r="P27" i="107"/>
  <c r="P25" i="107" s="1"/>
  <c r="P26" i="107"/>
  <c r="G26" i="107"/>
  <c r="O26" i="107" s="1"/>
  <c r="F24" i="107"/>
  <c r="F23" i="107" s="1"/>
  <c r="F22" i="107" s="1"/>
  <c r="H21" i="107"/>
  <c r="H20" i="107" s="1"/>
  <c r="F21" i="107"/>
  <c r="F20" i="107" s="1"/>
  <c r="L21" i="107" l="1"/>
  <c r="L20" i="107" s="1"/>
  <c r="J24" i="107"/>
  <c r="J23" i="107" s="1"/>
  <c r="J22" i="107" s="1"/>
  <c r="M25" i="107"/>
  <c r="Q25" i="107" s="1"/>
  <c r="Q24" i="107" s="1"/>
  <c r="Q23" i="107" s="1"/>
  <c r="Q22" i="107" s="1"/>
  <c r="N25" i="107"/>
  <c r="N21" i="107" s="1"/>
  <c r="N20" i="107" s="1"/>
  <c r="P21" i="107"/>
  <c r="P20" i="107" s="1"/>
  <c r="P24" i="107"/>
  <c r="P23" i="107" s="1"/>
  <c r="P22" i="107" s="1"/>
  <c r="O25" i="107"/>
  <c r="O21" i="107" s="1"/>
  <c r="O20" i="107" s="1"/>
  <c r="O24" i="107"/>
  <c r="O23" i="107" s="1"/>
  <c r="O22" i="107" s="1"/>
  <c r="N24" i="107"/>
  <c r="N23" i="107" s="1"/>
  <c r="N22" i="107" s="1"/>
  <c r="M21" i="107"/>
  <c r="M20" i="107" s="1"/>
  <c r="G21" i="107"/>
  <c r="G20" i="107" s="1"/>
  <c r="I26" i="107"/>
  <c r="J269" i="167"/>
  <c r="I269" i="167"/>
  <c r="J264" i="167"/>
  <c r="I264" i="167"/>
  <c r="M24" i="107" l="1"/>
  <c r="M23" i="107" s="1"/>
  <c r="M22" i="107" s="1"/>
  <c r="M268" i="167"/>
  <c r="I21" i="107"/>
  <c r="I20" i="107" s="1"/>
  <c r="Q26" i="107"/>
  <c r="Q21" i="107" s="1"/>
  <c r="Q20" i="107" s="1"/>
  <c r="G257" i="167"/>
  <c r="M43" i="167" l="1"/>
  <c r="J149" i="167" l="1"/>
  <c r="M149" i="167" s="1"/>
  <c r="G151" i="167"/>
  <c r="G162" i="167" l="1"/>
  <c r="I112" i="184" l="1"/>
  <c r="I110" i="184"/>
  <c r="I108" i="184"/>
  <c r="L112" i="184"/>
  <c r="L110" i="184"/>
  <c r="L108" i="184"/>
  <c r="L100" i="184"/>
  <c r="L99" i="184"/>
  <c r="I96" i="184"/>
  <c r="K100" i="184" l="1"/>
  <c r="K99" i="184"/>
  <c r="L98" i="184" l="1"/>
  <c r="L107" i="184"/>
  <c r="I107" i="184"/>
  <c r="D16" i="170" l="1"/>
  <c r="D113" i="188"/>
  <c r="C114" i="188"/>
  <c r="C113" i="188" l="1"/>
  <c r="I87" i="184"/>
  <c r="K87" i="184" s="1"/>
  <c r="I86" i="184"/>
  <c r="G161" i="167"/>
  <c r="J208" i="167" l="1"/>
  <c r="O244" i="165"/>
  <c r="E244" i="165"/>
  <c r="N243" i="165"/>
  <c r="M243" i="165"/>
  <c r="L243" i="165"/>
  <c r="K243" i="165"/>
  <c r="I243" i="165"/>
  <c r="H243" i="165"/>
  <c r="G243" i="165"/>
  <c r="F243" i="165"/>
  <c r="K242" i="165"/>
  <c r="G316" i="167"/>
  <c r="O364" i="165"/>
  <c r="E364" i="165"/>
  <c r="N363" i="165"/>
  <c r="M363" i="165"/>
  <c r="L363" i="165"/>
  <c r="K363" i="165"/>
  <c r="I363" i="165"/>
  <c r="H363" i="165"/>
  <c r="G363" i="165"/>
  <c r="F363" i="165"/>
  <c r="H208" i="167" l="1"/>
  <c r="J244" i="165"/>
  <c r="E79" i="170"/>
  <c r="E363" i="165"/>
  <c r="O363" i="165"/>
  <c r="J364" i="165"/>
  <c r="G52" i="167"/>
  <c r="P244" i="165" l="1"/>
  <c r="J363" i="165"/>
  <c r="I208" i="167"/>
  <c r="G208" i="167" s="1"/>
  <c r="P364" i="165"/>
  <c r="P363" i="165" l="1"/>
  <c r="G260" i="167" l="1"/>
  <c r="G269" i="167"/>
  <c r="G268" i="167"/>
  <c r="G266" i="167"/>
  <c r="G265" i="167"/>
  <c r="G264" i="167"/>
  <c r="G245" i="167"/>
  <c r="G263" i="167"/>
  <c r="G262" i="167"/>
  <c r="G261" i="167"/>
  <c r="I63" i="184"/>
  <c r="K63" i="184" s="1"/>
  <c r="I67" i="184"/>
  <c r="K83" i="184"/>
  <c r="K60" i="184"/>
  <c r="I82" i="184"/>
  <c r="K82" i="184" s="1"/>
  <c r="I81" i="184"/>
  <c r="K81" i="184" s="1"/>
  <c r="I80" i="184"/>
  <c r="K80" i="184" s="1"/>
  <c r="J76" i="184"/>
  <c r="J75" i="184"/>
  <c r="M216" i="167"/>
  <c r="G51" i="167"/>
  <c r="I69" i="184" l="1"/>
  <c r="K67" i="184"/>
  <c r="J166" i="167" l="1"/>
  <c r="E188" i="165"/>
  <c r="H166" i="167" l="1"/>
  <c r="J157" i="167"/>
  <c r="M157" i="167" s="1"/>
  <c r="O188" i="165"/>
  <c r="J188" i="165" l="1"/>
  <c r="M313" i="167"/>
  <c r="I166" i="167" l="1"/>
  <c r="G166" i="167" s="1"/>
  <c r="P188" i="165"/>
  <c r="J180" i="167"/>
  <c r="J336" i="167" l="1"/>
  <c r="F18" i="197"/>
  <c r="K159" i="197" l="1"/>
  <c r="D95" i="170" l="1"/>
  <c r="O393" i="165"/>
  <c r="J319" i="167"/>
  <c r="O368" i="165"/>
  <c r="E368" i="165"/>
  <c r="E367" i="165" s="1"/>
  <c r="N367" i="165"/>
  <c r="M367" i="165"/>
  <c r="L367" i="165"/>
  <c r="K367" i="165"/>
  <c r="I367" i="165"/>
  <c r="H367" i="165"/>
  <c r="G367" i="165"/>
  <c r="F367" i="165"/>
  <c r="J328" i="167"/>
  <c r="O380" i="165"/>
  <c r="E380" i="165"/>
  <c r="N379" i="165"/>
  <c r="M379" i="165"/>
  <c r="M378" i="165" s="1"/>
  <c r="L379" i="165"/>
  <c r="L378" i="165" s="1"/>
  <c r="K379" i="165"/>
  <c r="I379" i="165"/>
  <c r="H379" i="165"/>
  <c r="G379" i="165"/>
  <c r="F379" i="165"/>
  <c r="N378" i="165"/>
  <c r="J324" i="167"/>
  <c r="O375" i="165"/>
  <c r="E375" i="165"/>
  <c r="F378" i="165" l="1"/>
  <c r="G378" i="165"/>
  <c r="H378" i="165"/>
  <c r="I378" i="165"/>
  <c r="J368" i="165"/>
  <c r="P368" i="165" s="1"/>
  <c r="H319" i="167"/>
  <c r="K378" i="165"/>
  <c r="J380" i="165"/>
  <c r="E379" i="165"/>
  <c r="J375" i="165"/>
  <c r="H324" i="167"/>
  <c r="O367" i="165"/>
  <c r="H328" i="167"/>
  <c r="O379" i="165"/>
  <c r="I328" i="167" l="1"/>
  <c r="G328" i="167" s="1"/>
  <c r="P375" i="165"/>
  <c r="J367" i="165"/>
  <c r="I319" i="167"/>
  <c r="G319" i="167" s="1"/>
  <c r="P367" i="165"/>
  <c r="O378" i="165"/>
  <c r="J379" i="165"/>
  <c r="P380" i="165"/>
  <c r="E378" i="165"/>
  <c r="I324" i="167"/>
  <c r="G324" i="167" s="1"/>
  <c r="P379" i="165" l="1"/>
  <c r="J378" i="165"/>
  <c r="P378" i="165" l="1"/>
  <c r="K112" i="184"/>
  <c r="L111" i="184"/>
  <c r="K110" i="184"/>
  <c r="K108" i="184"/>
  <c r="K107" i="184"/>
  <c r="J106" i="184"/>
  <c r="K96" i="184"/>
  <c r="L109" i="184" l="1"/>
  <c r="I109" i="184"/>
  <c r="K109" i="184" s="1"/>
  <c r="L105" i="184"/>
  <c r="I105" i="184"/>
  <c r="K105" i="184" s="1"/>
  <c r="I106" i="184"/>
  <c r="K106" i="184" s="1"/>
  <c r="L106" i="184"/>
  <c r="K114" i="184"/>
  <c r="L114" i="184"/>
  <c r="L97" i="184"/>
  <c r="I97" i="184"/>
  <c r="I111" i="184"/>
  <c r="K111" i="184" s="1"/>
  <c r="K98" i="184"/>
  <c r="K97" i="184" l="1"/>
  <c r="I79" i="184"/>
  <c r="I78" i="184"/>
  <c r="K78" i="184" s="1"/>
  <c r="I77" i="184"/>
  <c r="I76" i="184"/>
  <c r="K76" i="184" s="1"/>
  <c r="I75" i="184"/>
  <c r="K75" i="184" s="1"/>
  <c r="I74" i="184"/>
  <c r="I73" i="184"/>
  <c r="I72" i="184"/>
  <c r="I71" i="184"/>
  <c r="I70" i="184"/>
  <c r="L45" i="184"/>
  <c r="I44" i="184"/>
  <c r="K44" i="184" s="1"/>
  <c r="I33" i="184"/>
  <c r="I29" i="184" s="1"/>
  <c r="D82" i="170" l="1"/>
  <c r="D86" i="170"/>
  <c r="C133" i="188" l="1"/>
  <c r="D140" i="188" l="1"/>
  <c r="G103" i="167" l="1"/>
  <c r="J187" i="167" l="1"/>
  <c r="O208" i="165"/>
  <c r="E208" i="165"/>
  <c r="E257" i="165"/>
  <c r="O262" i="165"/>
  <c r="E262" i="165"/>
  <c r="H225" i="167" s="1"/>
  <c r="J303" i="167"/>
  <c r="N339" i="165"/>
  <c r="M339" i="165"/>
  <c r="L339" i="165"/>
  <c r="K339" i="165"/>
  <c r="I339" i="165"/>
  <c r="G339" i="165"/>
  <c r="F339" i="165"/>
  <c r="O342" i="165"/>
  <c r="E342" i="165"/>
  <c r="K216" i="167" l="1"/>
  <c r="J208" i="165"/>
  <c r="J342" i="165"/>
  <c r="P342" i="165" s="1"/>
  <c r="J262" i="165"/>
  <c r="H187" i="167"/>
  <c r="H303" i="167"/>
  <c r="P262" i="165" l="1"/>
  <c r="I225" i="167"/>
  <c r="G225" i="167" s="1"/>
  <c r="P208" i="165"/>
  <c r="I303" i="167"/>
  <c r="G303" i="167" s="1"/>
  <c r="I187" i="167"/>
  <c r="G187" i="167" s="1"/>
  <c r="J105" i="167"/>
  <c r="O106" i="165"/>
  <c r="E106" i="165"/>
  <c r="N104" i="165"/>
  <c r="M104" i="165"/>
  <c r="L104" i="165"/>
  <c r="K104" i="165"/>
  <c r="I104" i="165"/>
  <c r="G104" i="165"/>
  <c r="F104" i="165"/>
  <c r="J121" i="167"/>
  <c r="N128" i="165"/>
  <c r="M128" i="165"/>
  <c r="L128" i="165"/>
  <c r="I128" i="165"/>
  <c r="H128" i="165"/>
  <c r="G128" i="165"/>
  <c r="F128" i="165"/>
  <c r="O129" i="165"/>
  <c r="E129" i="165"/>
  <c r="H104" i="165" l="1"/>
  <c r="H105" i="167"/>
  <c r="J106" i="165"/>
  <c r="J129" i="165"/>
  <c r="K128" i="165"/>
  <c r="O128" i="165"/>
  <c r="E128" i="165"/>
  <c r="H121" i="167"/>
  <c r="I105" i="167" l="1"/>
  <c r="G105" i="167" s="1"/>
  <c r="I121" i="167"/>
  <c r="G121" i="167" s="1"/>
  <c r="J128" i="165"/>
  <c r="P106" i="165"/>
  <c r="P129" i="165"/>
  <c r="J60" i="167"/>
  <c r="G73" i="167"/>
  <c r="J70" i="167"/>
  <c r="M70" i="167" s="1"/>
  <c r="G71" i="167"/>
  <c r="G63" i="167"/>
  <c r="G59" i="167"/>
  <c r="J72" i="167"/>
  <c r="M72" i="167" s="1"/>
  <c r="P128" i="165" l="1"/>
  <c r="M97" i="167"/>
  <c r="G96" i="167"/>
  <c r="G22" i="167"/>
  <c r="F48" i="165" l="1"/>
  <c r="G335" i="167" l="1"/>
  <c r="O392" i="165" l="1"/>
  <c r="N392" i="165"/>
  <c r="M392" i="165"/>
  <c r="L392" i="165"/>
  <c r="K392" i="165"/>
  <c r="I392" i="165"/>
  <c r="H392" i="165"/>
  <c r="G392" i="165"/>
  <c r="F392" i="165"/>
  <c r="E393" i="165"/>
  <c r="E80" i="170" l="1"/>
  <c r="E392" i="165"/>
  <c r="H336" i="167"/>
  <c r="J393" i="165"/>
  <c r="I336" i="167" s="1"/>
  <c r="I331" i="167" l="1"/>
  <c r="E94" i="170"/>
  <c r="J392" i="165"/>
  <c r="P393" i="165"/>
  <c r="D21" i="108"/>
  <c r="G336" i="167" l="1"/>
  <c r="P392" i="165"/>
  <c r="E93" i="170"/>
  <c r="H339" i="165"/>
  <c r="J283" i="167"/>
  <c r="O319" i="165"/>
  <c r="E319" i="165"/>
  <c r="N318" i="165"/>
  <c r="M318" i="165"/>
  <c r="L318" i="165"/>
  <c r="K318" i="165"/>
  <c r="I318" i="165"/>
  <c r="H318" i="165"/>
  <c r="G318" i="165"/>
  <c r="G314" i="167"/>
  <c r="H283" i="167" l="1"/>
  <c r="J319" i="165"/>
  <c r="O318" i="165"/>
  <c r="E318" i="165"/>
  <c r="F318" i="165"/>
  <c r="P319" i="165" l="1"/>
  <c r="J318" i="165"/>
  <c r="I283" i="167"/>
  <c r="G283" i="167" s="1"/>
  <c r="K112" i="165"/>
  <c r="F112" i="165"/>
  <c r="P318" i="165" l="1"/>
  <c r="J95" i="167"/>
  <c r="N87" i="165"/>
  <c r="M87" i="165"/>
  <c r="L87" i="165"/>
  <c r="K87" i="165"/>
  <c r="I87" i="165"/>
  <c r="H87" i="165"/>
  <c r="G87" i="165"/>
  <c r="F87" i="165"/>
  <c r="O89" i="165"/>
  <c r="E89" i="165"/>
  <c r="H95" i="167" l="1"/>
  <c r="J89" i="165"/>
  <c r="P89" i="165" l="1"/>
  <c r="I95" i="167"/>
  <c r="G95" i="167" s="1"/>
  <c r="J237" i="167"/>
  <c r="O276" i="165"/>
  <c r="J276" i="165" s="1"/>
  <c r="J275" i="165" s="1"/>
  <c r="J273" i="165" s="1"/>
  <c r="J272" i="165" s="1"/>
  <c r="E276" i="165"/>
  <c r="H237" i="167" s="1"/>
  <c r="N275" i="165"/>
  <c r="M275" i="165"/>
  <c r="L275" i="165"/>
  <c r="K275" i="165"/>
  <c r="K273" i="165" s="1"/>
  <c r="K272" i="165" s="1"/>
  <c r="I275" i="165"/>
  <c r="H275" i="165"/>
  <c r="G275" i="165"/>
  <c r="F275" i="165"/>
  <c r="D33" i="108"/>
  <c r="F273" i="165" l="1"/>
  <c r="F272" i="165" s="1"/>
  <c r="G273" i="165"/>
  <c r="G272" i="165" s="1"/>
  <c r="L273" i="165"/>
  <c r="L272" i="165" s="1"/>
  <c r="H273" i="165"/>
  <c r="H272" i="165" s="1"/>
  <c r="M273" i="165"/>
  <c r="M272" i="165" s="1"/>
  <c r="I273" i="165"/>
  <c r="I272" i="165"/>
  <c r="N273" i="165"/>
  <c r="N272" i="165" s="1"/>
  <c r="I237" i="167"/>
  <c r="G237" i="167" s="1"/>
  <c r="P276" i="165"/>
  <c r="P275" i="165" s="1"/>
  <c r="P273" i="165" s="1"/>
  <c r="P272" i="165" s="1"/>
  <c r="E275" i="165"/>
  <c r="E273" i="165" s="1"/>
  <c r="E272" i="165" s="1"/>
  <c r="O275" i="165"/>
  <c r="O273" i="165" s="1"/>
  <c r="O272" i="165" s="1"/>
  <c r="I49" i="184"/>
  <c r="H49" i="184"/>
  <c r="O270" i="165" l="1"/>
  <c r="G25" i="167" l="1"/>
  <c r="M38" i="167" l="1"/>
  <c r="G39" i="167" l="1"/>
  <c r="J27" i="184"/>
  <c r="J40" i="184" l="1"/>
  <c r="J99" i="167" l="1"/>
  <c r="N97" i="165"/>
  <c r="M97" i="165"/>
  <c r="L97" i="165"/>
  <c r="K97" i="165"/>
  <c r="I97" i="165"/>
  <c r="H97" i="165"/>
  <c r="G97" i="165"/>
  <c r="F97" i="165"/>
  <c r="O98" i="165"/>
  <c r="E98" i="165"/>
  <c r="N96" i="165" l="1"/>
  <c r="G96" i="165"/>
  <c r="K96" i="165"/>
  <c r="L96" i="165"/>
  <c r="F96" i="165"/>
  <c r="E97" i="165"/>
  <c r="H96" i="165"/>
  <c r="O97" i="165"/>
  <c r="I96" i="165"/>
  <c r="M96" i="165"/>
  <c r="H99" i="167"/>
  <c r="J98" i="165"/>
  <c r="E96" i="165" l="1"/>
  <c r="O96" i="165"/>
  <c r="J97" i="165"/>
  <c r="I99" i="167"/>
  <c r="G99" i="167" s="1"/>
  <c r="P98" i="165"/>
  <c r="P97" i="165" l="1"/>
  <c r="J96" i="165"/>
  <c r="N361" i="165"/>
  <c r="M361" i="165"/>
  <c r="L361" i="165"/>
  <c r="K361" i="165"/>
  <c r="I361" i="165"/>
  <c r="H361" i="165"/>
  <c r="G361" i="165"/>
  <c r="F361" i="165"/>
  <c r="O362" i="165"/>
  <c r="E362" i="165"/>
  <c r="H315" i="167" l="1"/>
  <c r="J362" i="165"/>
  <c r="L360" i="165"/>
  <c r="I360" i="165"/>
  <c r="N360" i="165"/>
  <c r="F360" i="165"/>
  <c r="K360" i="165"/>
  <c r="G360" i="165"/>
  <c r="E361" i="165"/>
  <c r="H360" i="165"/>
  <c r="M360" i="165"/>
  <c r="P96" i="165"/>
  <c r="O361" i="165"/>
  <c r="P362" i="165"/>
  <c r="D26" i="170"/>
  <c r="C117" i="188"/>
  <c r="I315" i="167" l="1"/>
  <c r="G315" i="167" s="1"/>
  <c r="P361" i="165"/>
  <c r="O360" i="165"/>
  <c r="E360" i="165"/>
  <c r="J361" i="165"/>
  <c r="J84" i="184"/>
  <c r="J93" i="184"/>
  <c r="J85" i="184"/>
  <c r="J54" i="184"/>
  <c r="J49" i="184"/>
  <c r="J360" i="165" l="1"/>
  <c r="P360" i="165"/>
  <c r="H217" i="165"/>
  <c r="G217" i="165"/>
  <c r="F217" i="165"/>
  <c r="E152" i="165"/>
  <c r="O152" i="165"/>
  <c r="G48" i="167"/>
  <c r="G307" i="167"/>
  <c r="F34" i="165"/>
  <c r="N34" i="165"/>
  <c r="M34" i="165"/>
  <c r="L34" i="165"/>
  <c r="K34" i="165"/>
  <c r="I34" i="165"/>
  <c r="H34" i="165"/>
  <c r="G34" i="165"/>
  <c r="O35" i="165"/>
  <c r="E35" i="165"/>
  <c r="K36" i="167" l="1"/>
  <c r="H144" i="167"/>
  <c r="J152" i="165"/>
  <c r="J35" i="165"/>
  <c r="G37" i="167"/>
  <c r="I144" i="167" l="1"/>
  <c r="G144" i="167" s="1"/>
  <c r="L36" i="167"/>
  <c r="P35" i="165"/>
  <c r="P152" i="165"/>
  <c r="D37" i="188" l="1"/>
  <c r="C39" i="188"/>
  <c r="D55" i="172" l="1"/>
  <c r="G341" i="167" l="1"/>
  <c r="F417" i="165" l="1"/>
  <c r="N409" i="165"/>
  <c r="M409" i="165"/>
  <c r="L409" i="165"/>
  <c r="K409" i="165"/>
  <c r="I409" i="165"/>
  <c r="H409" i="165"/>
  <c r="G409" i="165"/>
  <c r="F409" i="165"/>
  <c r="O410" i="165"/>
  <c r="E410" i="165"/>
  <c r="G408" i="165" l="1"/>
  <c r="H408" i="165"/>
  <c r="M408" i="165"/>
  <c r="E409" i="165"/>
  <c r="I408" i="165"/>
  <c r="N408" i="165"/>
  <c r="J410" i="165"/>
  <c r="F408" i="165"/>
  <c r="K408" i="165"/>
  <c r="L408" i="165"/>
  <c r="O409" i="165"/>
  <c r="O408" i="165" l="1"/>
  <c r="J409" i="165"/>
  <c r="E408" i="165"/>
  <c r="P410" i="165"/>
  <c r="P409" i="165" l="1"/>
  <c r="J408" i="165"/>
  <c r="J154" i="167"/>
  <c r="O175" i="165"/>
  <c r="E175" i="165"/>
  <c r="J118" i="167"/>
  <c r="F120" i="165"/>
  <c r="G120" i="165"/>
  <c r="H120" i="165"/>
  <c r="I120" i="165"/>
  <c r="K120" i="165"/>
  <c r="L120" i="165"/>
  <c r="M120" i="165"/>
  <c r="N120" i="165"/>
  <c r="O121" i="165"/>
  <c r="E121" i="165"/>
  <c r="H154" i="167" l="1"/>
  <c r="E120" i="165"/>
  <c r="J175" i="165"/>
  <c r="J121" i="165"/>
  <c r="P408" i="165"/>
  <c r="H118" i="167"/>
  <c r="O120" i="165"/>
  <c r="P121" i="165" l="1"/>
  <c r="P175" i="165"/>
  <c r="J120" i="165"/>
  <c r="I118" i="167"/>
  <c r="G118" i="167" s="1"/>
  <c r="I154" i="167"/>
  <c r="G154" i="167" s="1"/>
  <c r="P120" i="165"/>
  <c r="O200" i="165" l="1"/>
  <c r="E200" i="165"/>
  <c r="H180" i="167" l="1"/>
  <c r="J200" i="165"/>
  <c r="P200" i="165" l="1"/>
  <c r="I180" i="167"/>
  <c r="G180" i="167" s="1"/>
  <c r="G298" i="167"/>
  <c r="G297" i="167"/>
  <c r="G294" i="167"/>
  <c r="N333" i="165" l="1"/>
  <c r="M333" i="165"/>
  <c r="L333" i="165"/>
  <c r="K333" i="165"/>
  <c r="I333" i="165"/>
  <c r="H333" i="165"/>
  <c r="G333" i="165"/>
  <c r="F333" i="165"/>
  <c r="O336" i="165"/>
  <c r="E336" i="165"/>
  <c r="O357" i="165"/>
  <c r="E357" i="165"/>
  <c r="J357" i="165" l="1"/>
  <c r="J336" i="165"/>
  <c r="P336" i="165" s="1"/>
  <c r="G273" i="167"/>
  <c r="P357" i="165" l="1"/>
  <c r="O36" i="165" l="1"/>
  <c r="E36" i="165"/>
  <c r="N300" i="165"/>
  <c r="M300" i="165"/>
  <c r="L300" i="165"/>
  <c r="K300" i="165"/>
  <c r="I300" i="165"/>
  <c r="H300" i="165"/>
  <c r="G300" i="165"/>
  <c r="F300" i="165"/>
  <c r="O303" i="165"/>
  <c r="E303" i="165"/>
  <c r="J119" i="167"/>
  <c r="K34" i="184"/>
  <c r="O34" i="165" l="1"/>
  <c r="E34" i="165"/>
  <c r="K38" i="167"/>
  <c r="J303" i="165"/>
  <c r="I297" i="165"/>
  <c r="N297" i="165"/>
  <c r="F297" i="165"/>
  <c r="K297" i="165"/>
  <c r="O300" i="165"/>
  <c r="M297" i="165"/>
  <c r="E300" i="165"/>
  <c r="G297" i="165"/>
  <c r="L297" i="165"/>
  <c r="H297" i="165"/>
  <c r="J36" i="165"/>
  <c r="L38" i="167" l="1"/>
  <c r="P303" i="165"/>
  <c r="P36" i="165"/>
  <c r="J34" i="165"/>
  <c r="G38" i="167"/>
  <c r="N124" i="165"/>
  <c r="M124" i="165"/>
  <c r="L124" i="165"/>
  <c r="K124" i="165"/>
  <c r="I124" i="165"/>
  <c r="H124" i="165"/>
  <c r="G124" i="165"/>
  <c r="F124" i="165"/>
  <c r="O125" i="165"/>
  <c r="E125" i="165"/>
  <c r="O124" i="165" l="1"/>
  <c r="E124" i="165"/>
  <c r="P34" i="165"/>
  <c r="J125" i="165"/>
  <c r="H119" i="167"/>
  <c r="F55" i="172"/>
  <c r="P125" i="165" l="1"/>
  <c r="J124" i="165"/>
  <c r="I119" i="167"/>
  <c r="P124" i="165" l="1"/>
  <c r="G119" i="167"/>
  <c r="K42" i="165"/>
  <c r="G217" i="167" l="1"/>
  <c r="N358" i="165" l="1"/>
  <c r="M358" i="165"/>
  <c r="L358" i="165"/>
  <c r="K358" i="165"/>
  <c r="I358" i="165"/>
  <c r="H358" i="165"/>
  <c r="G358" i="165"/>
  <c r="F358" i="165"/>
  <c r="I58" i="184" l="1"/>
  <c r="K58" i="184" l="1"/>
  <c r="C53" i="188" l="1"/>
  <c r="D52" i="188"/>
  <c r="C52" i="188" l="1"/>
  <c r="D41" i="188"/>
  <c r="E109" i="188"/>
  <c r="D101" i="188"/>
  <c r="E61" i="188" l="1"/>
  <c r="H39" i="184" l="1"/>
  <c r="G325" i="167"/>
  <c r="M327" i="167"/>
  <c r="O402" i="165"/>
  <c r="C46" i="172"/>
  <c r="C47" i="172"/>
  <c r="O417" i="165" l="1"/>
  <c r="E417" i="165"/>
  <c r="N416" i="165"/>
  <c r="N415" i="165" s="1"/>
  <c r="M416" i="165"/>
  <c r="L416" i="165"/>
  <c r="K416" i="165"/>
  <c r="I416" i="165"/>
  <c r="H416" i="165"/>
  <c r="G416" i="165"/>
  <c r="F416" i="165"/>
  <c r="F13" i="107"/>
  <c r="H13" i="107"/>
  <c r="J13" i="107"/>
  <c r="K13" i="107"/>
  <c r="L13" i="107"/>
  <c r="H415" i="165" l="1"/>
  <c r="O219" i="165"/>
  <c r="I415" i="165"/>
  <c r="F415" i="165"/>
  <c r="K415" i="165"/>
  <c r="E416" i="165"/>
  <c r="M415" i="165"/>
  <c r="G415" i="165"/>
  <c r="L415" i="165"/>
  <c r="J417" i="165"/>
  <c r="O416" i="165"/>
  <c r="E415" i="165" l="1"/>
  <c r="O415" i="165"/>
  <c r="J416" i="165"/>
  <c r="P417" i="165"/>
  <c r="P416" i="165" l="1"/>
  <c r="J415" i="165"/>
  <c r="J48" i="184"/>
  <c r="I48" i="184"/>
  <c r="H48" i="184"/>
  <c r="K50" i="184"/>
  <c r="P415" i="165" l="1"/>
  <c r="G20" i="167"/>
  <c r="O296" i="165"/>
  <c r="J252" i="167" l="1"/>
  <c r="F283" i="165"/>
  <c r="O290" i="165"/>
  <c r="E290" i="165"/>
  <c r="O265" i="165"/>
  <c r="E265" i="165"/>
  <c r="H228" i="167" s="1"/>
  <c r="N264" i="165"/>
  <c r="M264" i="165"/>
  <c r="L264" i="165"/>
  <c r="K264" i="165"/>
  <c r="I264" i="165"/>
  <c r="H264" i="165"/>
  <c r="G264" i="165"/>
  <c r="F264" i="165"/>
  <c r="E264" i="165" l="1"/>
  <c r="J290" i="165"/>
  <c r="J265" i="165"/>
  <c r="I228" i="167" s="1"/>
  <c r="H252" i="167"/>
  <c r="O264" i="165"/>
  <c r="O334" i="165"/>
  <c r="J254" i="165"/>
  <c r="E254" i="165"/>
  <c r="N251" i="165"/>
  <c r="M251" i="165"/>
  <c r="L251" i="165"/>
  <c r="K251" i="165"/>
  <c r="I251" i="165"/>
  <c r="G251" i="165"/>
  <c r="F251" i="165"/>
  <c r="K55" i="184"/>
  <c r="K56" i="184"/>
  <c r="K57" i="184"/>
  <c r="K84" i="184"/>
  <c r="K85" i="184"/>
  <c r="K93" i="184"/>
  <c r="I62" i="184"/>
  <c r="J334" i="165" l="1"/>
  <c r="O333" i="165"/>
  <c r="J264" i="165"/>
  <c r="P290" i="165"/>
  <c r="P265" i="165"/>
  <c r="I252" i="167"/>
  <c r="G252" i="167" s="1"/>
  <c r="G228" i="167"/>
  <c r="K54" i="184"/>
  <c r="P254" i="165"/>
  <c r="K62" i="184"/>
  <c r="H38" i="184"/>
  <c r="I40" i="184"/>
  <c r="K40" i="184" s="1"/>
  <c r="I51" i="184"/>
  <c r="H51" i="184"/>
  <c r="H42" i="184"/>
  <c r="H28" i="184"/>
  <c r="H19" i="184"/>
  <c r="J333" i="165" l="1"/>
  <c r="P264" i="165"/>
  <c r="I39" i="184"/>
  <c r="J68" i="167" l="1"/>
  <c r="J19" i="184" l="1"/>
  <c r="I27" i="184"/>
  <c r="K27" i="184" s="1"/>
  <c r="O63" i="165" l="1"/>
  <c r="I19" i="184"/>
  <c r="E54" i="165" l="1"/>
  <c r="J54" i="165"/>
  <c r="K52" i="165"/>
  <c r="L52" i="165"/>
  <c r="M52" i="165"/>
  <c r="N52" i="165"/>
  <c r="I52" i="165"/>
  <c r="H52" i="165"/>
  <c r="G52" i="165"/>
  <c r="F52" i="165"/>
  <c r="N390" i="165"/>
  <c r="M390" i="165"/>
  <c r="L390" i="165"/>
  <c r="K390" i="165"/>
  <c r="I390" i="165"/>
  <c r="H390" i="165"/>
  <c r="G390" i="165"/>
  <c r="F390" i="165"/>
  <c r="E390" i="165"/>
  <c r="I68" i="167" l="1"/>
  <c r="H68" i="167"/>
  <c r="P54" i="165"/>
  <c r="I94" i="184" l="1"/>
  <c r="G68" i="167"/>
  <c r="O390" i="165"/>
  <c r="H94" i="184"/>
  <c r="I31" i="184" l="1"/>
  <c r="O109" i="165" l="1"/>
  <c r="K31" i="184"/>
  <c r="I28" i="184"/>
  <c r="H251" i="165" l="1"/>
  <c r="J211" i="167"/>
  <c r="O248" i="165"/>
  <c r="J248" i="165" s="1"/>
  <c r="E97" i="170" s="1"/>
  <c r="E248" i="165"/>
  <c r="N247" i="165"/>
  <c r="N246" i="165" s="1"/>
  <c r="M247" i="165"/>
  <c r="M246" i="165" s="1"/>
  <c r="L247" i="165"/>
  <c r="L246" i="165" s="1"/>
  <c r="K247" i="165"/>
  <c r="K246" i="165" s="1"/>
  <c r="I247" i="165"/>
  <c r="I246" i="165" s="1"/>
  <c r="H247" i="165"/>
  <c r="H246" i="165" s="1"/>
  <c r="G247" i="165"/>
  <c r="G246" i="165" s="1"/>
  <c r="F247" i="165"/>
  <c r="F246" i="165" s="1"/>
  <c r="E247" i="165" l="1"/>
  <c r="E246" i="165" s="1"/>
  <c r="E84" i="170"/>
  <c r="H211" i="167"/>
  <c r="I211" i="167"/>
  <c r="O247" i="165"/>
  <c r="O246" i="165" s="1"/>
  <c r="J247" i="165"/>
  <c r="J246" i="165" s="1"/>
  <c r="P248" i="165"/>
  <c r="P247" i="165" s="1"/>
  <c r="P246" i="165" s="1"/>
  <c r="G211" i="167" l="1"/>
  <c r="J28" i="184"/>
  <c r="D119" i="188"/>
  <c r="D17" i="170" l="1"/>
  <c r="D25" i="170" s="1"/>
  <c r="F80" i="165" l="1"/>
  <c r="D62" i="170" l="1"/>
  <c r="J207" i="167" l="1"/>
  <c r="O242" i="165"/>
  <c r="E242" i="165"/>
  <c r="N241" i="165"/>
  <c r="M241" i="165"/>
  <c r="L241" i="165"/>
  <c r="K241" i="165"/>
  <c r="I241" i="165"/>
  <c r="H241" i="165"/>
  <c r="G241" i="165"/>
  <c r="F241" i="165"/>
  <c r="J39" i="184"/>
  <c r="H207" i="167" l="1"/>
  <c r="E241" i="165"/>
  <c r="I240" i="165"/>
  <c r="K240" i="165"/>
  <c r="M240" i="165"/>
  <c r="F240" i="165"/>
  <c r="G240" i="165"/>
  <c r="J242" i="165"/>
  <c r="L240" i="165"/>
  <c r="H240" i="165"/>
  <c r="N240" i="165"/>
  <c r="O241" i="165"/>
  <c r="O359" i="165"/>
  <c r="E359" i="165"/>
  <c r="H313" i="167" l="1"/>
  <c r="K313" i="167" s="1"/>
  <c r="E240" i="165"/>
  <c r="O358" i="165"/>
  <c r="E358" i="165"/>
  <c r="P242" i="165"/>
  <c r="O240" i="165"/>
  <c r="J241" i="165"/>
  <c r="I207" i="167"/>
  <c r="G207" i="167" s="1"/>
  <c r="J359" i="165"/>
  <c r="L313" i="167" l="1"/>
  <c r="P241" i="165"/>
  <c r="J358" i="165"/>
  <c r="P359" i="165"/>
  <c r="G311" i="167"/>
  <c r="J240" i="165"/>
  <c r="P240" i="165" l="1"/>
  <c r="G313" i="167"/>
  <c r="P358" i="165"/>
  <c r="G18" i="167"/>
  <c r="D102" i="170"/>
  <c r="J98" i="167"/>
  <c r="N94" i="165"/>
  <c r="M94" i="165"/>
  <c r="L94" i="165"/>
  <c r="K94" i="165"/>
  <c r="I94" i="165"/>
  <c r="H94" i="165"/>
  <c r="G94" i="165"/>
  <c r="O95" i="165"/>
  <c r="F92" i="165"/>
  <c r="G92" i="165"/>
  <c r="H92" i="165"/>
  <c r="I92" i="165"/>
  <c r="K92" i="165"/>
  <c r="L92" i="165"/>
  <c r="M92" i="165"/>
  <c r="N92" i="165"/>
  <c r="O93" i="165"/>
  <c r="E93" i="165"/>
  <c r="K97" i="167" l="1"/>
  <c r="N91" i="165"/>
  <c r="K91" i="165"/>
  <c r="I91" i="165"/>
  <c r="H91" i="165"/>
  <c r="M91" i="165"/>
  <c r="G91" i="165"/>
  <c r="J95" i="165"/>
  <c r="L91" i="165"/>
  <c r="J93" i="165"/>
  <c r="F91" i="165"/>
  <c r="E95" i="165"/>
  <c r="E92" i="165"/>
  <c r="F94" i="165"/>
  <c r="O94" i="165"/>
  <c r="O92" i="165"/>
  <c r="L97" i="167" l="1"/>
  <c r="J92" i="165"/>
  <c r="P95" i="165"/>
  <c r="H98" i="167"/>
  <c r="J94" i="165"/>
  <c r="P93" i="165"/>
  <c r="G97" i="167"/>
  <c r="M90" i="165"/>
  <c r="G90" i="165"/>
  <c r="E91" i="165"/>
  <c r="E94" i="165"/>
  <c r="I98" i="167"/>
  <c r="I90" i="165"/>
  <c r="K90" i="165"/>
  <c r="F90" i="165"/>
  <c r="O91" i="165"/>
  <c r="L90" i="165"/>
  <c r="H90" i="165"/>
  <c r="N90" i="165"/>
  <c r="F140" i="188"/>
  <c r="C146" i="188"/>
  <c r="C145" i="188"/>
  <c r="D82" i="188"/>
  <c r="E90" i="165" l="1"/>
  <c r="G98" i="167"/>
  <c r="J91" i="165"/>
  <c r="P94" i="165"/>
  <c r="D57" i="188"/>
  <c r="D78" i="188"/>
  <c r="E140" i="188"/>
  <c r="O90" i="165"/>
  <c r="P92" i="165"/>
  <c r="E127" i="188" l="1"/>
  <c r="J90" i="165"/>
  <c r="P91" i="165"/>
  <c r="P90" i="165" l="1"/>
  <c r="D53" i="170" l="1"/>
  <c r="D55" i="170" s="1"/>
  <c r="D65" i="170" s="1"/>
  <c r="J164" i="167" l="1"/>
  <c r="O182" i="165"/>
  <c r="E182" i="165"/>
  <c r="N180" i="165"/>
  <c r="M180" i="165"/>
  <c r="L180" i="165"/>
  <c r="K180" i="165"/>
  <c r="I180" i="165"/>
  <c r="H180" i="165"/>
  <c r="G180" i="165"/>
  <c r="F180" i="165"/>
  <c r="J182" i="165" l="1"/>
  <c r="H164" i="167"/>
  <c r="N160" i="165"/>
  <c r="M160" i="165"/>
  <c r="L160" i="165"/>
  <c r="K160" i="165"/>
  <c r="I160" i="165"/>
  <c r="H160" i="165"/>
  <c r="G160" i="165"/>
  <c r="F160" i="165"/>
  <c r="I164" i="167" l="1"/>
  <c r="G164" i="167" s="1"/>
  <c r="P182" i="165"/>
  <c r="O172" i="165"/>
  <c r="E172" i="165"/>
  <c r="O169" i="165"/>
  <c r="E169" i="165"/>
  <c r="O165" i="165"/>
  <c r="E165" i="165"/>
  <c r="O161" i="165"/>
  <c r="E161" i="165"/>
  <c r="J165" i="165" l="1"/>
  <c r="J172" i="165"/>
  <c r="J169" i="165"/>
  <c r="E160" i="165"/>
  <c r="O160" i="165"/>
  <c r="J161" i="165"/>
  <c r="J120" i="167"/>
  <c r="P165" i="165" l="1"/>
  <c r="P172" i="165"/>
  <c r="P169" i="165"/>
  <c r="P161" i="165"/>
  <c r="J160" i="165"/>
  <c r="O127" i="165"/>
  <c r="E127" i="165"/>
  <c r="N126" i="165"/>
  <c r="M126" i="165"/>
  <c r="L126" i="165"/>
  <c r="K126" i="165"/>
  <c r="I126" i="165"/>
  <c r="H126" i="165"/>
  <c r="G126" i="165"/>
  <c r="F126" i="165"/>
  <c r="F123" i="165" l="1"/>
  <c r="K123" i="165"/>
  <c r="G123" i="165"/>
  <c r="I123" i="165"/>
  <c r="N123" i="165"/>
  <c r="L123" i="165"/>
  <c r="J127" i="165"/>
  <c r="H123" i="165"/>
  <c r="M123" i="165"/>
  <c r="P160" i="165"/>
  <c r="E126" i="165"/>
  <c r="H120" i="167"/>
  <c r="O126" i="165"/>
  <c r="P127" i="165" l="1"/>
  <c r="P126" i="165" s="1"/>
  <c r="J126" i="165"/>
  <c r="I120" i="167"/>
  <c r="G120" i="167" s="1"/>
  <c r="O123" i="165"/>
  <c r="E123" i="165"/>
  <c r="J123" i="165" l="1"/>
  <c r="P123" i="165"/>
  <c r="E122" i="165"/>
  <c r="J89" i="167"/>
  <c r="O80" i="165"/>
  <c r="E80" i="165"/>
  <c r="N78" i="165"/>
  <c r="M78" i="165"/>
  <c r="L78" i="165"/>
  <c r="I78" i="165"/>
  <c r="H78" i="165"/>
  <c r="G78" i="165"/>
  <c r="F78" i="165"/>
  <c r="C139" i="188"/>
  <c r="C131" i="188"/>
  <c r="C130" i="188"/>
  <c r="C129" i="188"/>
  <c r="C128" i="188"/>
  <c r="C132" i="188"/>
  <c r="F119" i="188"/>
  <c r="E119" i="188"/>
  <c r="C123" i="188"/>
  <c r="C121" i="188"/>
  <c r="E118" i="188" l="1"/>
  <c r="H89" i="167"/>
  <c r="J80" i="165"/>
  <c r="C141" i="188"/>
  <c r="C91" i="188"/>
  <c r="C20" i="188"/>
  <c r="C19" i="188"/>
  <c r="C18" i="188"/>
  <c r="P80" i="165" l="1"/>
  <c r="I89" i="167"/>
  <c r="G89" i="167" s="1"/>
  <c r="C116" i="188"/>
  <c r="C134" i="188"/>
  <c r="F127" i="188"/>
  <c r="C140" i="188"/>
  <c r="F100" i="188"/>
  <c r="E100" i="188"/>
  <c r="C110" i="188"/>
  <c r="C120" i="188"/>
  <c r="C122" i="188"/>
  <c r="C124" i="188"/>
  <c r="C125" i="188"/>
  <c r="C126" i="188"/>
  <c r="C135" i="188"/>
  <c r="C137" i="188"/>
  <c r="C138" i="188"/>
  <c r="C142" i="188"/>
  <c r="C143" i="188"/>
  <c r="C144" i="188"/>
  <c r="C107" i="188"/>
  <c r="C95" i="188"/>
  <c r="C96" i="188"/>
  <c r="C97" i="188"/>
  <c r="C98" i="188"/>
  <c r="E94" i="188"/>
  <c r="D88" i="188"/>
  <c r="F88" i="188"/>
  <c r="F66" i="188" s="1"/>
  <c r="E88" i="188"/>
  <c r="C78" i="188"/>
  <c r="D68" i="188"/>
  <c r="F15" i="188"/>
  <c r="C65" i="188"/>
  <c r="C64" i="188"/>
  <c r="C63" i="188"/>
  <c r="E62" i="188"/>
  <c r="C57" i="188"/>
  <c r="D54" i="188"/>
  <c r="C41" i="188"/>
  <c r="C56" i="188"/>
  <c r="C55" i="188"/>
  <c r="D30" i="188"/>
  <c r="D24" i="188"/>
  <c r="C25" i="188"/>
  <c r="C24" i="188" l="1"/>
  <c r="D16" i="188"/>
  <c r="D40" i="188"/>
  <c r="F118" i="188"/>
  <c r="C101" i="188"/>
  <c r="C30" i="188"/>
  <c r="E93" i="188"/>
  <c r="E66" i="188" s="1"/>
  <c r="C105" i="188"/>
  <c r="D67" i="188"/>
  <c r="D26" i="188"/>
  <c r="D100" i="188"/>
  <c r="C27" i="188"/>
  <c r="C109" i="188"/>
  <c r="C17" i="188"/>
  <c r="C94" i="188"/>
  <c r="C54" i="188"/>
  <c r="F112" i="188" l="1"/>
  <c r="C67" i="188"/>
  <c r="C16" i="188"/>
  <c r="D99" i="188"/>
  <c r="C100" i="188"/>
  <c r="C26" i="188"/>
  <c r="J186" i="167"/>
  <c r="N206" i="165"/>
  <c r="M206" i="165"/>
  <c r="L206" i="165"/>
  <c r="K206" i="165"/>
  <c r="I206" i="165"/>
  <c r="H206" i="165"/>
  <c r="G206" i="165"/>
  <c r="F206" i="165"/>
  <c r="O207" i="165"/>
  <c r="J100" i="167"/>
  <c r="K73" i="165"/>
  <c r="O101" i="165"/>
  <c r="E101" i="165"/>
  <c r="N100" i="165"/>
  <c r="M100" i="165"/>
  <c r="L100" i="165"/>
  <c r="K100" i="165"/>
  <c r="I100" i="165"/>
  <c r="H100" i="165"/>
  <c r="G100" i="165"/>
  <c r="F100" i="165"/>
  <c r="K74" i="165"/>
  <c r="D46" i="170"/>
  <c r="D49" i="170" s="1"/>
  <c r="D136" i="188"/>
  <c r="D127" i="188" s="1"/>
  <c r="I205" i="165" l="1"/>
  <c r="N205" i="165"/>
  <c r="F205" i="165"/>
  <c r="K205" i="165"/>
  <c r="G205" i="165"/>
  <c r="L205" i="165"/>
  <c r="H205" i="165"/>
  <c r="M205" i="165"/>
  <c r="M99" i="165"/>
  <c r="N99" i="165"/>
  <c r="F99" i="165"/>
  <c r="H186" i="167"/>
  <c r="H100" i="167"/>
  <c r="I99" i="165"/>
  <c r="L99" i="165"/>
  <c r="E100" i="165"/>
  <c r="E206" i="165"/>
  <c r="C136" i="188"/>
  <c r="H99" i="165"/>
  <c r="G99" i="165"/>
  <c r="K99" i="165"/>
  <c r="J101" i="165"/>
  <c r="J207" i="165"/>
  <c r="O206" i="165"/>
  <c r="O100" i="165"/>
  <c r="D118" i="188" l="1"/>
  <c r="E99" i="165"/>
  <c r="P101" i="165"/>
  <c r="C127" i="188"/>
  <c r="J100" i="165"/>
  <c r="E96" i="170"/>
  <c r="I100" i="167"/>
  <c r="G100" i="167" s="1"/>
  <c r="O99" i="165"/>
  <c r="J206" i="165"/>
  <c r="I186" i="167"/>
  <c r="G186" i="167" s="1"/>
  <c r="P207" i="165"/>
  <c r="D112" i="188" l="1"/>
  <c r="P100" i="165"/>
  <c r="P99" i="165" s="1"/>
  <c r="P206" i="165"/>
  <c r="J99" i="165"/>
  <c r="C106" i="188" l="1"/>
  <c r="E104" i="188"/>
  <c r="E99" i="188" s="1"/>
  <c r="C103" i="188"/>
  <c r="C102" i="188"/>
  <c r="D93" i="188"/>
  <c r="C92" i="188"/>
  <c r="C90" i="188"/>
  <c r="C89" i="188"/>
  <c r="C88" i="188"/>
  <c r="C86" i="188"/>
  <c r="C85" i="188"/>
  <c r="D84" i="188"/>
  <c r="C83" i="188"/>
  <c r="C82" i="188"/>
  <c r="C81" i="188"/>
  <c r="C80" i="188"/>
  <c r="C79" i="188"/>
  <c r="C74" i="188"/>
  <c r="C73" i="188"/>
  <c r="C72" i="188"/>
  <c r="C70" i="188"/>
  <c r="C69" i="188"/>
  <c r="C68" i="188"/>
  <c r="D62" i="188"/>
  <c r="C61" i="188"/>
  <c r="C60" i="188"/>
  <c r="C59" i="188"/>
  <c r="C58" i="188"/>
  <c r="C51" i="188"/>
  <c r="C50" i="188"/>
  <c r="C49" i="188"/>
  <c r="C48" i="188"/>
  <c r="C47" i="188"/>
  <c r="C46" i="188"/>
  <c r="C45" i="188"/>
  <c r="C44" i="188"/>
  <c r="C43" i="188"/>
  <c r="C42" i="188"/>
  <c r="C38" i="188"/>
  <c r="C36" i="188"/>
  <c r="D35" i="188"/>
  <c r="C34" i="188"/>
  <c r="D33" i="188"/>
  <c r="C31" i="188"/>
  <c r="C29" i="188"/>
  <c r="C21" i="188"/>
  <c r="C37" i="188" l="1"/>
  <c r="D32" i="188"/>
  <c r="C93" i="188"/>
  <c r="D77" i="188"/>
  <c r="D66" i="188" s="1"/>
  <c r="C35" i="188"/>
  <c r="E15" i="188"/>
  <c r="C62" i="188"/>
  <c r="F104" i="188"/>
  <c r="F99" i="188" s="1"/>
  <c r="C33" i="188"/>
  <c r="C84" i="188"/>
  <c r="C119" i="188"/>
  <c r="C104" i="188"/>
  <c r="C99" i="188"/>
  <c r="E112" i="188" l="1"/>
  <c r="C112" i="188" s="1"/>
  <c r="D15" i="188"/>
  <c r="C15" i="188" s="1"/>
  <c r="C32" i="188"/>
  <c r="E111" i="188"/>
  <c r="C77" i="188"/>
  <c r="C118" i="188"/>
  <c r="C40" i="188"/>
  <c r="E149" i="188" l="1"/>
  <c r="I149" i="188" s="1"/>
  <c r="F111" i="188"/>
  <c r="D111" i="188"/>
  <c r="D149" i="188" s="1"/>
  <c r="H149" i="188" s="1"/>
  <c r="C66" i="188"/>
  <c r="F149" i="188" l="1"/>
  <c r="J149" i="188" s="1"/>
  <c r="C149" i="188"/>
  <c r="C111" i="188"/>
  <c r="C44" i="172"/>
  <c r="C43" i="172" s="1"/>
  <c r="F43" i="172"/>
  <c r="E43" i="172"/>
  <c r="D43" i="172"/>
  <c r="D42" i="172" s="1"/>
  <c r="C19" i="172"/>
  <c r="C18" i="172"/>
  <c r="F17" i="172"/>
  <c r="E17" i="172"/>
  <c r="E16" i="172" s="1"/>
  <c r="D17" i="172"/>
  <c r="G49" i="167"/>
  <c r="N151" i="165"/>
  <c r="M151" i="165"/>
  <c r="L151" i="165"/>
  <c r="I151" i="165"/>
  <c r="H151" i="165"/>
  <c r="G151" i="165"/>
  <c r="F151" i="165"/>
  <c r="J85" i="167"/>
  <c r="I85" i="167"/>
  <c r="J84" i="167"/>
  <c r="N72" i="165"/>
  <c r="M72" i="165"/>
  <c r="L72" i="165"/>
  <c r="K72" i="165"/>
  <c r="I72" i="165"/>
  <c r="H72" i="165"/>
  <c r="G72" i="165"/>
  <c r="F72" i="165"/>
  <c r="O74" i="165"/>
  <c r="E74" i="165"/>
  <c r="G149" i="188" l="1"/>
  <c r="K151" i="165"/>
  <c r="H84" i="167"/>
  <c r="J74" i="165"/>
  <c r="F413" i="165"/>
  <c r="J309" i="167"/>
  <c r="J310" i="167"/>
  <c r="N353" i="165"/>
  <c r="M353" i="165"/>
  <c r="L353" i="165"/>
  <c r="K353" i="165"/>
  <c r="I353" i="165"/>
  <c r="H353" i="165"/>
  <c r="G353" i="165"/>
  <c r="F353" i="165"/>
  <c r="O354" i="165"/>
  <c r="E354" i="165"/>
  <c r="M320" i="167"/>
  <c r="G320" i="167"/>
  <c r="J306" i="167" l="1"/>
  <c r="F411" i="165"/>
  <c r="O353" i="165"/>
  <c r="H309" i="167"/>
  <c r="J354" i="165"/>
  <c r="E353" i="165"/>
  <c r="E151" i="165"/>
  <c r="I84" i="167"/>
  <c r="G84" i="167" s="1"/>
  <c r="P74" i="165"/>
  <c r="O151" i="165"/>
  <c r="F370" i="165"/>
  <c r="N370" i="165"/>
  <c r="M370" i="165"/>
  <c r="L370" i="165"/>
  <c r="K370" i="165"/>
  <c r="I370" i="165"/>
  <c r="H370" i="165"/>
  <c r="G370" i="165"/>
  <c r="O371" i="165"/>
  <c r="E371" i="165"/>
  <c r="P151" i="165" l="1"/>
  <c r="J151" i="165"/>
  <c r="P354" i="165"/>
  <c r="G146" i="167"/>
  <c r="J371" i="165"/>
  <c r="O370" i="165"/>
  <c r="K320" i="167"/>
  <c r="E370" i="165"/>
  <c r="J353" i="165"/>
  <c r="I309" i="167"/>
  <c r="G309" i="167" l="1"/>
  <c r="P353" i="165"/>
  <c r="P371" i="165"/>
  <c r="L320" i="167"/>
  <c r="J370" i="165"/>
  <c r="P370" i="165" l="1"/>
  <c r="J58" i="167"/>
  <c r="I58" i="167"/>
  <c r="E79" i="165"/>
  <c r="E78" i="165"/>
  <c r="J83" i="167"/>
  <c r="O73" i="165"/>
  <c r="E73" i="165"/>
  <c r="J66" i="167"/>
  <c r="K48" i="165"/>
  <c r="I48" i="165"/>
  <c r="O51" i="165"/>
  <c r="E51" i="165"/>
  <c r="J57" i="167" l="1"/>
  <c r="M57" i="167" s="1"/>
  <c r="K78" i="165"/>
  <c r="J88" i="167"/>
  <c r="G48" i="165"/>
  <c r="H66" i="167"/>
  <c r="H48" i="165"/>
  <c r="O79" i="165"/>
  <c r="H88" i="167"/>
  <c r="J73" i="165"/>
  <c r="O72" i="165"/>
  <c r="E72" i="165"/>
  <c r="H83" i="167"/>
  <c r="J51" i="165"/>
  <c r="O78" i="165" l="1"/>
  <c r="P51" i="165"/>
  <c r="P73" i="165"/>
  <c r="J79" i="165"/>
  <c r="I83" i="167"/>
  <c r="G83" i="167" s="1"/>
  <c r="J72" i="165"/>
  <c r="I66" i="167"/>
  <c r="G66" i="167" s="1"/>
  <c r="P79" i="165" l="1"/>
  <c r="J78" i="165"/>
  <c r="I88" i="167"/>
  <c r="G88" i="167" s="1"/>
  <c r="P72" i="165"/>
  <c r="J296" i="167"/>
  <c r="E334" i="165"/>
  <c r="E333" i="165" l="1"/>
  <c r="P78" i="165"/>
  <c r="H332" i="165"/>
  <c r="N332" i="165"/>
  <c r="I332" i="165"/>
  <c r="G332" i="165"/>
  <c r="M332" i="165"/>
  <c r="L332" i="165"/>
  <c r="H296" i="167"/>
  <c r="F332" i="165"/>
  <c r="K332" i="165"/>
  <c r="O332" i="165" l="1"/>
  <c r="E332" i="165"/>
  <c r="I296" i="167"/>
  <c r="G296" i="167" s="1"/>
  <c r="P334" i="165"/>
  <c r="P333" i="165" l="1"/>
  <c r="J332" i="165"/>
  <c r="P332" i="165" l="1"/>
  <c r="H345" i="167"/>
  <c r="G345" i="167" s="1"/>
  <c r="J82" i="167" l="1"/>
  <c r="O71" i="165"/>
  <c r="E71" i="165"/>
  <c r="N69" i="165"/>
  <c r="M69" i="165"/>
  <c r="L69" i="165"/>
  <c r="K69" i="165"/>
  <c r="I69" i="165"/>
  <c r="H69" i="165"/>
  <c r="G69" i="165"/>
  <c r="J30" i="167"/>
  <c r="M30" i="167" s="1"/>
  <c r="J25" i="165"/>
  <c r="E25" i="165"/>
  <c r="N23" i="165"/>
  <c r="M23" i="165"/>
  <c r="L23" i="165"/>
  <c r="K23" i="165"/>
  <c r="I23" i="165"/>
  <c r="H23" i="165"/>
  <c r="G23" i="165"/>
  <c r="F23" i="165"/>
  <c r="I30" i="167" l="1"/>
  <c r="L30" i="167" s="1"/>
  <c r="H82" i="167"/>
  <c r="J71" i="165"/>
  <c r="P25" i="165"/>
  <c r="H30" i="167"/>
  <c r="P71" i="165" l="1"/>
  <c r="I82" i="167"/>
  <c r="G82" i="167" s="1"/>
  <c r="K30" i="167"/>
  <c r="G30" i="167"/>
  <c r="D56" i="172" l="1"/>
  <c r="E57" i="172"/>
  <c r="E56" i="172" s="1"/>
  <c r="F56" i="172" s="1"/>
  <c r="E28" i="172"/>
  <c r="E27" i="172" s="1"/>
  <c r="D27" i="172"/>
  <c r="C55" i="172"/>
  <c r="C26" i="172"/>
  <c r="F38" i="172"/>
  <c r="E38" i="172"/>
  <c r="D38" i="172"/>
  <c r="D37" i="172" s="1"/>
  <c r="D31" i="172"/>
  <c r="D30" i="172" s="1"/>
  <c r="F16" i="172"/>
  <c r="D36" i="172" l="1"/>
  <c r="F57" i="172"/>
  <c r="C28" i="172"/>
  <c r="F28" i="172"/>
  <c r="F27" i="172" s="1"/>
  <c r="C56" i="172"/>
  <c r="C57" i="172"/>
  <c r="C27" i="172"/>
  <c r="C17" i="172"/>
  <c r="D16" i="172"/>
  <c r="C16" i="172" l="1"/>
  <c r="C39" i="172" l="1"/>
  <c r="C38" i="172" s="1"/>
  <c r="C41" i="172"/>
  <c r="F31" i="172"/>
  <c r="F30" i="172" s="1"/>
  <c r="E31" i="172"/>
  <c r="E30" i="172" s="1"/>
  <c r="I42" i="184" l="1"/>
  <c r="I38" i="184"/>
  <c r="H35" i="184" l="1"/>
  <c r="H115" i="184" s="1"/>
  <c r="L115" i="184" s="1"/>
  <c r="I35" i="184"/>
  <c r="I115" i="184" s="1"/>
  <c r="M115" i="184" s="1"/>
  <c r="J12" i="184"/>
  <c r="J11" i="184" s="1"/>
  <c r="J38" i="184"/>
  <c r="J35" i="184"/>
  <c r="J42" i="184" l="1"/>
  <c r="J94" i="184"/>
  <c r="J51" i="184"/>
  <c r="F40" i="172"/>
  <c r="F37" i="172" s="1"/>
  <c r="E40" i="172"/>
  <c r="E37" i="172" s="1"/>
  <c r="C45" i="172"/>
  <c r="C42" i="172" s="1"/>
  <c r="C33" i="172"/>
  <c r="C32" i="172"/>
  <c r="J115" i="184" l="1"/>
  <c r="N115" i="184" s="1"/>
  <c r="C31" i="172"/>
  <c r="C30" i="172" s="1"/>
  <c r="C40" i="172"/>
  <c r="C37" i="172" s="1"/>
  <c r="G150" i="188" s="1"/>
  <c r="N295" i="165"/>
  <c r="M295" i="165"/>
  <c r="L295" i="165"/>
  <c r="I295" i="165"/>
  <c r="H295" i="165"/>
  <c r="G295" i="165"/>
  <c r="G154" i="184" l="1"/>
  <c r="G132" i="197"/>
  <c r="G143" i="108"/>
  <c r="C36" i="172"/>
  <c r="H294" i="165"/>
  <c r="L294" i="165"/>
  <c r="I294" i="165"/>
  <c r="M294" i="165"/>
  <c r="G294" i="165"/>
  <c r="N294" i="165"/>
  <c r="J87" i="167" l="1"/>
  <c r="O77" i="165"/>
  <c r="E77" i="165" l="1"/>
  <c r="J77" i="165"/>
  <c r="E131" i="165"/>
  <c r="O131" i="165"/>
  <c r="J131" i="165" s="1"/>
  <c r="H87" i="167" l="1"/>
  <c r="I87" i="167"/>
  <c r="K295" i="165"/>
  <c r="P77" i="165"/>
  <c r="P131" i="165"/>
  <c r="G87" i="167" l="1"/>
  <c r="K294" i="165"/>
  <c r="G327" i="167" l="1"/>
  <c r="G53" i="167" l="1"/>
  <c r="G47" i="167" l="1"/>
  <c r="G46" i="167"/>
  <c r="G45" i="167"/>
  <c r="G44" i="167"/>
  <c r="E43" i="165"/>
  <c r="G326" i="167"/>
  <c r="K43" i="167" l="1"/>
  <c r="O43" i="165"/>
  <c r="J43" i="165" l="1"/>
  <c r="L43" i="167" l="1"/>
  <c r="E92" i="170"/>
  <c r="P43" i="165"/>
  <c r="N55" i="165"/>
  <c r="M55" i="165"/>
  <c r="L55" i="165"/>
  <c r="I55" i="165"/>
  <c r="H55" i="165"/>
  <c r="G55" i="165"/>
  <c r="F55" i="165"/>
  <c r="E57" i="165"/>
  <c r="O260" i="165"/>
  <c r="E260" i="165"/>
  <c r="H222" i="167" s="1"/>
  <c r="K55" i="165" l="1"/>
  <c r="E55" i="165"/>
  <c r="O57" i="165"/>
  <c r="H69" i="167"/>
  <c r="J260" i="165"/>
  <c r="J69" i="167"/>
  <c r="I222" i="167" l="1"/>
  <c r="G222" i="167" s="1"/>
  <c r="J57" i="165"/>
  <c r="O55" i="165"/>
  <c r="P260" i="165"/>
  <c r="J55" i="165" l="1"/>
  <c r="P57" i="165"/>
  <c r="I69" i="167"/>
  <c r="G69" i="167" s="1"/>
  <c r="P55" i="165" l="1"/>
  <c r="J285" i="167"/>
  <c r="J282" i="167"/>
  <c r="N314" i="165" l="1"/>
  <c r="M314" i="165"/>
  <c r="L314" i="165"/>
  <c r="K314" i="165"/>
  <c r="I314" i="165"/>
  <c r="G314" i="165"/>
  <c r="O317" i="165"/>
  <c r="E317" i="165"/>
  <c r="O325" i="165"/>
  <c r="E325" i="165"/>
  <c r="J325" i="165" l="1"/>
  <c r="H282" i="167"/>
  <c r="J317" i="165"/>
  <c r="H285" i="167"/>
  <c r="N185" i="165"/>
  <c r="M185" i="165"/>
  <c r="L185" i="165"/>
  <c r="I185" i="165"/>
  <c r="H185" i="165"/>
  <c r="G185" i="165"/>
  <c r="F185" i="165"/>
  <c r="G129" i="167"/>
  <c r="P325" i="165" l="1"/>
  <c r="K185" i="165"/>
  <c r="H184" i="165"/>
  <c r="M184" i="165"/>
  <c r="I184" i="165"/>
  <c r="N184" i="165"/>
  <c r="P317" i="165"/>
  <c r="I282" i="167"/>
  <c r="F184" i="165"/>
  <c r="O186" i="165"/>
  <c r="J165" i="167"/>
  <c r="G184" i="165"/>
  <c r="L184" i="165"/>
  <c r="I285" i="167"/>
  <c r="G285" i="167" s="1"/>
  <c r="K184" i="165" l="1"/>
  <c r="J186" i="165"/>
  <c r="G282" i="167"/>
  <c r="O185" i="165"/>
  <c r="J185" i="165" l="1"/>
  <c r="I165" i="167"/>
  <c r="O184" i="165"/>
  <c r="J139" i="167"/>
  <c r="O146" i="165"/>
  <c r="E146" i="165"/>
  <c r="J131" i="167"/>
  <c r="J132" i="167"/>
  <c r="N134" i="165"/>
  <c r="M134" i="165"/>
  <c r="L134" i="165"/>
  <c r="I134" i="165"/>
  <c r="G134" i="165"/>
  <c r="J137" i="165"/>
  <c r="E137" i="165"/>
  <c r="J184" i="165" l="1"/>
  <c r="I132" i="167"/>
  <c r="H139" i="167"/>
  <c r="J146" i="165"/>
  <c r="K134" i="165"/>
  <c r="P137" i="165"/>
  <c r="H132" i="167"/>
  <c r="I139" i="167" l="1"/>
  <c r="G139" i="167" s="1"/>
  <c r="G132" i="167"/>
  <c r="P146" i="165"/>
  <c r="F308" i="165"/>
  <c r="G308" i="165"/>
  <c r="H308" i="165"/>
  <c r="O268" i="165"/>
  <c r="E268" i="165"/>
  <c r="H232" i="167" s="1"/>
  <c r="F295" i="165" l="1"/>
  <c r="O295" i="165"/>
  <c r="J268" i="165"/>
  <c r="I232" i="167" s="1"/>
  <c r="G232" i="167" s="1"/>
  <c r="P268" i="165" l="1"/>
  <c r="F294" i="165"/>
  <c r="O294" i="165"/>
  <c r="F134" i="165" l="1"/>
  <c r="J188" i="167" l="1"/>
  <c r="O209" i="165" l="1"/>
  <c r="E209" i="165"/>
  <c r="L204" i="165"/>
  <c r="G175" i="167"/>
  <c r="E205" i="165" l="1"/>
  <c r="O205" i="165"/>
  <c r="M204" i="165"/>
  <c r="K204" i="165"/>
  <c r="I204" i="165"/>
  <c r="N204" i="165"/>
  <c r="F204" i="165"/>
  <c r="H188" i="167"/>
  <c r="G204" i="165"/>
  <c r="H204" i="165"/>
  <c r="J209" i="165"/>
  <c r="E204" i="165" l="1"/>
  <c r="J205" i="165"/>
  <c r="O204" i="165"/>
  <c r="I188" i="167"/>
  <c r="G188" i="167" s="1"/>
  <c r="P209" i="165"/>
  <c r="P205" i="165" l="1"/>
  <c r="J204" i="165"/>
  <c r="P204" i="165" l="1"/>
  <c r="G339" i="167"/>
  <c r="D36" i="108"/>
  <c r="H142" i="108" s="1"/>
  <c r="F314" i="165" l="1"/>
  <c r="J35" i="167"/>
  <c r="J32" i="165" l="1"/>
  <c r="J30" i="165"/>
  <c r="O29" i="165"/>
  <c r="L29" i="165"/>
  <c r="F29" i="165"/>
  <c r="N29" i="165"/>
  <c r="M29" i="165"/>
  <c r="K29" i="165"/>
  <c r="I29" i="165"/>
  <c r="H29" i="165"/>
  <c r="G29" i="165"/>
  <c r="E32" i="165"/>
  <c r="G26" i="165" l="1"/>
  <c r="M26" i="165"/>
  <c r="H26" i="165"/>
  <c r="N26" i="165"/>
  <c r="I26" i="165"/>
  <c r="F26" i="165"/>
  <c r="K26" i="165"/>
  <c r="L26" i="165"/>
  <c r="I35" i="167"/>
  <c r="H35" i="167"/>
  <c r="J29" i="165"/>
  <c r="P32" i="165"/>
  <c r="J304" i="167"/>
  <c r="J300" i="167" s="1"/>
  <c r="G35" i="167" l="1"/>
  <c r="O345" i="165"/>
  <c r="E345" i="165"/>
  <c r="N344" i="165"/>
  <c r="M344" i="165"/>
  <c r="L344" i="165"/>
  <c r="K344" i="165"/>
  <c r="I344" i="165"/>
  <c r="H344" i="165"/>
  <c r="G344" i="165"/>
  <c r="F344" i="165"/>
  <c r="L343" i="165" l="1"/>
  <c r="N343" i="165"/>
  <c r="H343" i="165"/>
  <c r="M343" i="165"/>
  <c r="F343" i="165"/>
  <c r="K343" i="165"/>
  <c r="J345" i="165"/>
  <c r="G343" i="165"/>
  <c r="I343" i="165"/>
  <c r="E344" i="165"/>
  <c r="H304" i="167"/>
  <c r="O344" i="165"/>
  <c r="J344" i="165" l="1"/>
  <c r="P345" i="165"/>
  <c r="E343" i="165"/>
  <c r="O343" i="165"/>
  <c r="I304" i="167"/>
  <c r="G304" i="167" l="1"/>
  <c r="I300" i="167"/>
  <c r="J343" i="165"/>
  <c r="P344" i="165"/>
  <c r="P343" i="165" l="1"/>
  <c r="J329" i="167" l="1"/>
  <c r="J318" i="167" s="1"/>
  <c r="O383" i="165" l="1"/>
  <c r="E383" i="165"/>
  <c r="N382" i="165"/>
  <c r="M382" i="165"/>
  <c r="L382" i="165"/>
  <c r="K382" i="165"/>
  <c r="I382" i="165"/>
  <c r="H382" i="165"/>
  <c r="G382" i="165"/>
  <c r="F382" i="165"/>
  <c r="E85" i="170" l="1"/>
  <c r="M381" i="165"/>
  <c r="N381" i="165"/>
  <c r="H381" i="165"/>
  <c r="I381" i="165"/>
  <c r="F381" i="165"/>
  <c r="K381" i="165"/>
  <c r="H329" i="167"/>
  <c r="H318" i="167" s="1"/>
  <c r="G381" i="165"/>
  <c r="L381" i="165"/>
  <c r="J383" i="165"/>
  <c r="O382" i="165"/>
  <c r="E382" i="165"/>
  <c r="E99" i="170" l="1"/>
  <c r="E381" i="165"/>
  <c r="J382" i="165"/>
  <c r="I329" i="167"/>
  <c r="I318" i="167" s="1"/>
  <c r="P383" i="165"/>
  <c r="O381" i="165"/>
  <c r="G329" i="167" l="1"/>
  <c r="P382" i="165"/>
  <c r="J381" i="165"/>
  <c r="P381" i="165" l="1"/>
  <c r="J148" i="167" l="1"/>
  <c r="N154" i="165"/>
  <c r="M154" i="165"/>
  <c r="L154" i="165"/>
  <c r="K154" i="165"/>
  <c r="I154" i="165"/>
  <c r="H154" i="165"/>
  <c r="G154" i="165"/>
  <c r="F154" i="165"/>
  <c r="J140" i="167"/>
  <c r="J138" i="167"/>
  <c r="E154" i="165" l="1"/>
  <c r="O154" i="165"/>
  <c r="J154" i="165" l="1"/>
  <c r="F17" i="165" l="1"/>
  <c r="P154" i="165"/>
  <c r="G251" i="167"/>
  <c r="P16" i="107" l="1"/>
  <c r="P15" i="107" s="1"/>
  <c r="P14" i="107" s="1"/>
  <c r="L16" i="107"/>
  <c r="L15" i="107" s="1"/>
  <c r="L14" i="107" s="1"/>
  <c r="K16" i="107"/>
  <c r="K15" i="107" s="1"/>
  <c r="K14" i="107" s="1"/>
  <c r="J16" i="107"/>
  <c r="J15" i="107" s="1"/>
  <c r="J14" i="107" s="1"/>
  <c r="H16" i="107"/>
  <c r="H15" i="107" s="1"/>
  <c r="H14" i="107" s="1"/>
  <c r="F16" i="107"/>
  <c r="F15" i="107" s="1"/>
  <c r="F14" i="107" s="1"/>
  <c r="N419" i="165"/>
  <c r="M419" i="165"/>
  <c r="L419" i="165"/>
  <c r="K419" i="165"/>
  <c r="I419" i="165"/>
  <c r="H419" i="165"/>
  <c r="G419" i="165"/>
  <c r="F419" i="165"/>
  <c r="N413" i="165"/>
  <c r="M413" i="165"/>
  <c r="L413" i="165"/>
  <c r="K413" i="165"/>
  <c r="I413" i="165"/>
  <c r="H413" i="165"/>
  <c r="G413" i="165"/>
  <c r="O412" i="165"/>
  <c r="N405" i="165"/>
  <c r="M405" i="165"/>
  <c r="L405" i="165"/>
  <c r="K405" i="165"/>
  <c r="I405" i="165"/>
  <c r="G405" i="165"/>
  <c r="O399" i="165"/>
  <c r="N399" i="165"/>
  <c r="M399" i="165"/>
  <c r="L399" i="165"/>
  <c r="K399" i="165"/>
  <c r="I399" i="165"/>
  <c r="H399" i="165"/>
  <c r="G399" i="165"/>
  <c r="F399" i="165"/>
  <c r="N401" i="165"/>
  <c r="M401" i="165"/>
  <c r="L401" i="165"/>
  <c r="K401" i="165"/>
  <c r="I401" i="165"/>
  <c r="H401" i="165"/>
  <c r="G401" i="165"/>
  <c r="F401" i="165"/>
  <c r="N396" i="165"/>
  <c r="M396" i="165"/>
  <c r="L396" i="165"/>
  <c r="K396" i="165"/>
  <c r="I396" i="165"/>
  <c r="G396" i="165"/>
  <c r="F396" i="165"/>
  <c r="N386" i="165"/>
  <c r="M386" i="165"/>
  <c r="L386" i="165"/>
  <c r="K386" i="165"/>
  <c r="I386" i="165"/>
  <c r="G386" i="165"/>
  <c r="N65" i="165"/>
  <c r="M65" i="165"/>
  <c r="L65" i="165"/>
  <c r="K65" i="165"/>
  <c r="I65" i="165"/>
  <c r="M62" i="165"/>
  <c r="K62" i="165"/>
  <c r="I62" i="165"/>
  <c r="M59" i="165"/>
  <c r="K59" i="165"/>
  <c r="I59" i="165"/>
  <c r="N376" i="165"/>
  <c r="M376" i="165"/>
  <c r="L376" i="165"/>
  <c r="I376" i="165"/>
  <c r="H376" i="165"/>
  <c r="G376" i="165"/>
  <c r="N355" i="165"/>
  <c r="M355" i="165"/>
  <c r="L355" i="165"/>
  <c r="K355" i="165"/>
  <c r="I355" i="165"/>
  <c r="H355" i="165"/>
  <c r="G355" i="165"/>
  <c r="F355" i="165"/>
  <c r="N348" i="165"/>
  <c r="M348" i="165"/>
  <c r="L348" i="165"/>
  <c r="K348" i="165"/>
  <c r="I348" i="165"/>
  <c r="G348" i="165"/>
  <c r="N326" i="165"/>
  <c r="M326" i="165"/>
  <c r="L326" i="165"/>
  <c r="K326" i="165"/>
  <c r="I326" i="165"/>
  <c r="H326" i="165"/>
  <c r="G326" i="165"/>
  <c r="F326" i="165"/>
  <c r="N321" i="165"/>
  <c r="M321" i="165"/>
  <c r="L321" i="165"/>
  <c r="I321" i="165"/>
  <c r="H321" i="165"/>
  <c r="G321" i="165"/>
  <c r="F321" i="165"/>
  <c r="I46" i="165" l="1"/>
  <c r="K46" i="165"/>
  <c r="L352" i="165"/>
  <c r="H352" i="165"/>
  <c r="M352" i="165"/>
  <c r="I352" i="165"/>
  <c r="N352" i="165"/>
  <c r="G352" i="165"/>
  <c r="F352" i="165"/>
  <c r="K352" i="165"/>
  <c r="I411" i="165"/>
  <c r="N411" i="165"/>
  <c r="K411" i="165"/>
  <c r="L411" i="165"/>
  <c r="G411" i="165"/>
  <c r="H411" i="165"/>
  <c r="M411" i="165"/>
  <c r="L418" i="165"/>
  <c r="G418" i="165"/>
  <c r="M338" i="165"/>
  <c r="G372" i="165"/>
  <c r="M372" i="165"/>
  <c r="H418" i="165"/>
  <c r="M418" i="165"/>
  <c r="G320" i="165"/>
  <c r="I320" i="165"/>
  <c r="F324" i="165"/>
  <c r="G338" i="165"/>
  <c r="F320" i="165"/>
  <c r="L320" i="165"/>
  <c r="G324" i="165"/>
  <c r="L324" i="165"/>
  <c r="I338" i="165"/>
  <c r="N338" i="165"/>
  <c r="H372" i="165"/>
  <c r="N372" i="165"/>
  <c r="I418" i="165"/>
  <c r="N418" i="165"/>
  <c r="M320" i="165"/>
  <c r="M324" i="165"/>
  <c r="K338" i="165"/>
  <c r="I372" i="165"/>
  <c r="J412" i="165"/>
  <c r="I347" i="167" s="1"/>
  <c r="I344" i="167" s="1"/>
  <c r="F418" i="165"/>
  <c r="K418" i="165"/>
  <c r="H324" i="165"/>
  <c r="H320" i="165"/>
  <c r="N320" i="165"/>
  <c r="I324" i="165"/>
  <c r="N324" i="165"/>
  <c r="L338" i="165"/>
  <c r="L372" i="165"/>
  <c r="K324" i="165"/>
  <c r="H398" i="165"/>
  <c r="K398" i="165"/>
  <c r="G398" i="165"/>
  <c r="L398" i="165"/>
  <c r="I398" i="165"/>
  <c r="M398" i="165"/>
  <c r="F398" i="165"/>
  <c r="N398" i="165"/>
  <c r="N305" i="165"/>
  <c r="M305" i="165"/>
  <c r="L305" i="165"/>
  <c r="K305" i="165"/>
  <c r="I305" i="165"/>
  <c r="F305" i="165"/>
  <c r="N292" i="165"/>
  <c r="M292" i="165"/>
  <c r="L292" i="165"/>
  <c r="K292" i="165"/>
  <c r="I292" i="165"/>
  <c r="H292" i="165"/>
  <c r="G292" i="165"/>
  <c r="F292" i="165"/>
  <c r="N279" i="165"/>
  <c r="M279" i="165"/>
  <c r="L279" i="165"/>
  <c r="K279" i="165"/>
  <c r="I279" i="165"/>
  <c r="G279" i="165"/>
  <c r="N269" i="165"/>
  <c r="M269" i="165"/>
  <c r="L269" i="165"/>
  <c r="K269" i="165"/>
  <c r="I269" i="165"/>
  <c r="H269" i="165"/>
  <c r="G269" i="165"/>
  <c r="F269" i="165"/>
  <c r="N256" i="165"/>
  <c r="M256" i="165"/>
  <c r="L256" i="165"/>
  <c r="I256" i="165"/>
  <c r="H256" i="165"/>
  <c r="G256" i="165"/>
  <c r="F256" i="165"/>
  <c r="N237" i="165"/>
  <c r="M237" i="165"/>
  <c r="L237" i="165"/>
  <c r="K237" i="165"/>
  <c r="I237" i="165"/>
  <c r="H237" i="165"/>
  <c r="G237" i="165"/>
  <c r="F237" i="165"/>
  <c r="N232" i="165"/>
  <c r="M232" i="165"/>
  <c r="L232" i="165"/>
  <c r="I232" i="165"/>
  <c r="H232" i="165"/>
  <c r="G232" i="165"/>
  <c r="M227" i="165"/>
  <c r="I227" i="165"/>
  <c r="G227" i="165"/>
  <c r="N225" i="165"/>
  <c r="M225" i="165"/>
  <c r="L225" i="165"/>
  <c r="K225" i="165"/>
  <c r="I225" i="165"/>
  <c r="H225" i="165"/>
  <c r="G225" i="165"/>
  <c r="N222" i="165"/>
  <c r="M222" i="165"/>
  <c r="L222" i="165"/>
  <c r="K222" i="165"/>
  <c r="I222" i="165"/>
  <c r="H222" i="165"/>
  <c r="G222" i="165"/>
  <c r="M218" i="165"/>
  <c r="I218" i="165"/>
  <c r="G218" i="165"/>
  <c r="N216" i="165"/>
  <c r="M216" i="165"/>
  <c r="L216" i="165"/>
  <c r="K216" i="165"/>
  <c r="I216" i="165"/>
  <c r="G216" i="165"/>
  <c r="N211" i="165"/>
  <c r="M211" i="165"/>
  <c r="L211" i="165"/>
  <c r="K211" i="165"/>
  <c r="I211" i="165"/>
  <c r="H211" i="165"/>
  <c r="G211" i="165"/>
  <c r="F211" i="165"/>
  <c r="N201" i="165"/>
  <c r="M201" i="165"/>
  <c r="K201" i="165"/>
  <c r="I201" i="165"/>
  <c r="G201" i="165"/>
  <c r="M194" i="165"/>
  <c r="K194" i="165"/>
  <c r="I194" i="165"/>
  <c r="N189" i="165"/>
  <c r="N187" i="165" s="1"/>
  <c r="M189" i="165"/>
  <c r="M187" i="165" s="1"/>
  <c r="L189" i="165"/>
  <c r="L187" i="165" s="1"/>
  <c r="K189" i="165"/>
  <c r="K187" i="165" s="1"/>
  <c r="I189" i="165"/>
  <c r="I187" i="165" s="1"/>
  <c r="H189" i="165"/>
  <c r="H187" i="165" s="1"/>
  <c r="G189" i="165"/>
  <c r="G187" i="165" s="1"/>
  <c r="F189" i="165"/>
  <c r="F187" i="165" s="1"/>
  <c r="M176" i="165"/>
  <c r="I176" i="165"/>
  <c r="N157" i="165"/>
  <c r="M157" i="165"/>
  <c r="L157" i="165"/>
  <c r="K157" i="165"/>
  <c r="I157" i="165"/>
  <c r="H157" i="165"/>
  <c r="G157" i="165"/>
  <c r="M148" i="165"/>
  <c r="K148" i="165"/>
  <c r="I148" i="165"/>
  <c r="F148" i="165"/>
  <c r="N139" i="165"/>
  <c r="M139" i="165"/>
  <c r="L139" i="165"/>
  <c r="K139" i="165"/>
  <c r="I139" i="165"/>
  <c r="H139" i="165"/>
  <c r="G139" i="165"/>
  <c r="M255" i="165" l="1"/>
  <c r="M221" i="165"/>
  <c r="H255" i="165"/>
  <c r="N255" i="165"/>
  <c r="G255" i="165"/>
  <c r="I221" i="165"/>
  <c r="I255" i="165"/>
  <c r="G221" i="165"/>
  <c r="L255" i="165"/>
  <c r="F255" i="165"/>
  <c r="L404" i="165"/>
  <c r="M404" i="165"/>
  <c r="K404" i="165"/>
  <c r="N404" i="165"/>
  <c r="G404" i="165"/>
  <c r="I404" i="165"/>
  <c r="H351" i="165"/>
  <c r="L351" i="165"/>
  <c r="F351" i="165"/>
  <c r="N351" i="165"/>
  <c r="M351" i="165"/>
  <c r="G351" i="165"/>
  <c r="K351" i="165"/>
  <c r="I351" i="165"/>
  <c r="K283" i="165"/>
  <c r="N236" i="165"/>
  <c r="I283" i="165"/>
  <c r="G283" i="165"/>
  <c r="L283" i="165"/>
  <c r="N283" i="165"/>
  <c r="H283" i="165"/>
  <c r="M283" i="165"/>
  <c r="I239" i="165"/>
  <c r="K239" i="165"/>
  <c r="L239" i="165"/>
  <c r="M239" i="165"/>
  <c r="N239" i="165"/>
  <c r="M138" i="165"/>
  <c r="F239" i="165"/>
  <c r="G239" i="165"/>
  <c r="H239" i="165"/>
  <c r="I138" i="165"/>
  <c r="N323" i="165"/>
  <c r="H323" i="165"/>
  <c r="I369" i="165"/>
  <c r="M369" i="165"/>
  <c r="K323" i="165"/>
  <c r="I323" i="165"/>
  <c r="G369" i="165"/>
  <c r="L369" i="165"/>
  <c r="M323" i="165"/>
  <c r="N369" i="165"/>
  <c r="L323" i="165"/>
  <c r="H369" i="165"/>
  <c r="G323" i="165"/>
  <c r="F323" i="165"/>
  <c r="F179" i="165"/>
  <c r="K179" i="165"/>
  <c r="I196" i="165"/>
  <c r="F210" i="165"/>
  <c r="K210" i="165"/>
  <c r="M215" i="165"/>
  <c r="I236" i="165"/>
  <c r="L304" i="165"/>
  <c r="F395" i="165"/>
  <c r="L395" i="165"/>
  <c r="M389" i="165"/>
  <c r="L389" i="165"/>
  <c r="G179" i="165"/>
  <c r="L179" i="165"/>
  <c r="G210" i="165"/>
  <c r="L210" i="165"/>
  <c r="F236" i="165"/>
  <c r="K236" i="165"/>
  <c r="F304" i="165"/>
  <c r="M304" i="165"/>
  <c r="M395" i="165"/>
  <c r="G395" i="165"/>
  <c r="N389" i="165"/>
  <c r="K389" i="165"/>
  <c r="H179" i="165"/>
  <c r="M179" i="165"/>
  <c r="M196" i="165"/>
  <c r="H210" i="165"/>
  <c r="M210" i="165"/>
  <c r="G236" i="165"/>
  <c r="L236" i="165"/>
  <c r="I304" i="165"/>
  <c r="N304" i="165"/>
  <c r="I395" i="165"/>
  <c r="H389" i="165"/>
  <c r="G389" i="165"/>
  <c r="I179" i="165"/>
  <c r="N179" i="165"/>
  <c r="G196" i="165"/>
  <c r="I210" i="165"/>
  <c r="N210" i="165"/>
  <c r="H236" i="165"/>
  <c r="M236" i="165"/>
  <c r="K304" i="165"/>
  <c r="N395" i="165"/>
  <c r="K395" i="165"/>
  <c r="I389" i="165"/>
  <c r="F389" i="165"/>
  <c r="I266" i="165"/>
  <c r="F266" i="165"/>
  <c r="K266" i="165"/>
  <c r="G266" i="165"/>
  <c r="L266" i="165"/>
  <c r="N266" i="165"/>
  <c r="G215" i="165"/>
  <c r="H266" i="165"/>
  <c r="M266" i="165"/>
  <c r="I215" i="165"/>
  <c r="N117" i="165"/>
  <c r="M117" i="165"/>
  <c r="L117" i="165"/>
  <c r="K117" i="165"/>
  <c r="I117" i="165"/>
  <c r="N115" i="165"/>
  <c r="M115" i="165"/>
  <c r="L115" i="165"/>
  <c r="K115" i="165"/>
  <c r="I115" i="165"/>
  <c r="H115" i="165"/>
  <c r="G115" i="165"/>
  <c r="F115" i="165"/>
  <c r="N113" i="165"/>
  <c r="M113" i="165"/>
  <c r="L113" i="165"/>
  <c r="K113" i="165"/>
  <c r="I113" i="165"/>
  <c r="H113" i="165"/>
  <c r="G113" i="165"/>
  <c r="F113" i="165"/>
  <c r="O112" i="165"/>
  <c r="K45" i="165"/>
  <c r="I45" i="165"/>
  <c r="N40" i="165"/>
  <c r="N39" i="165" s="1"/>
  <c r="M40" i="165"/>
  <c r="M39" i="165" s="1"/>
  <c r="L40" i="165"/>
  <c r="L39" i="165" s="1"/>
  <c r="K40" i="165"/>
  <c r="K39" i="165" s="1"/>
  <c r="I40" i="165"/>
  <c r="I39" i="165" s="1"/>
  <c r="H40" i="165"/>
  <c r="H39" i="165" s="1"/>
  <c r="G40" i="165"/>
  <c r="G39" i="165" s="1"/>
  <c r="F40" i="165"/>
  <c r="F39" i="165" s="1"/>
  <c r="E38" i="165"/>
  <c r="N37" i="165"/>
  <c r="M37" i="165"/>
  <c r="L37" i="165"/>
  <c r="K37" i="165"/>
  <c r="I37" i="165"/>
  <c r="H37" i="165"/>
  <c r="G37" i="165"/>
  <c r="F37" i="165"/>
  <c r="N17" i="165"/>
  <c r="M17" i="165"/>
  <c r="L17" i="165"/>
  <c r="I17" i="165"/>
  <c r="J79" i="167"/>
  <c r="J78" i="167"/>
  <c r="J76" i="167"/>
  <c r="M76" i="167" s="1"/>
  <c r="J75" i="167"/>
  <c r="L347" i="165" l="1"/>
  <c r="L313" i="165"/>
  <c r="G366" i="165"/>
  <c r="I366" i="165"/>
  <c r="M347" i="165"/>
  <c r="G347" i="165"/>
  <c r="G385" i="165"/>
  <c r="K385" i="165"/>
  <c r="L385" i="165"/>
  <c r="F313" i="165"/>
  <c r="N366" i="165"/>
  <c r="I313" i="165"/>
  <c r="I347" i="165"/>
  <c r="N347" i="165"/>
  <c r="H366" i="165"/>
  <c r="L366" i="165"/>
  <c r="M366" i="165"/>
  <c r="I385" i="165"/>
  <c r="N385" i="165"/>
  <c r="M385" i="165"/>
  <c r="G313" i="165"/>
  <c r="M313" i="165"/>
  <c r="N313" i="165"/>
  <c r="K347" i="165"/>
  <c r="G33" i="165"/>
  <c r="L33" i="165"/>
  <c r="H33" i="165"/>
  <c r="M33" i="165"/>
  <c r="I33" i="165"/>
  <c r="N33" i="165"/>
  <c r="F33" i="165"/>
  <c r="K33" i="165"/>
  <c r="K263" i="165"/>
  <c r="N263" i="165"/>
  <c r="F263" i="165"/>
  <c r="M263" i="165"/>
  <c r="L263" i="165"/>
  <c r="I263" i="165"/>
  <c r="H263" i="165"/>
  <c r="G263" i="165"/>
  <c r="N291" i="165"/>
  <c r="N278" i="165" s="1"/>
  <c r="M214" i="165"/>
  <c r="G214" i="165"/>
  <c r="I214" i="165"/>
  <c r="F122" i="165"/>
  <c r="G122" i="165"/>
  <c r="H122" i="165"/>
  <c r="I122" i="165"/>
  <c r="L122" i="165"/>
  <c r="M122" i="165"/>
  <c r="N122" i="165"/>
  <c r="H291" i="165"/>
  <c r="L291" i="165"/>
  <c r="L278" i="165" s="1"/>
  <c r="K291" i="165"/>
  <c r="M291" i="165"/>
  <c r="M278" i="165" s="1"/>
  <c r="I291" i="165"/>
  <c r="I278" i="165" s="1"/>
  <c r="I193" i="165"/>
  <c r="M193" i="165"/>
  <c r="G291" i="165"/>
  <c r="F291" i="165"/>
  <c r="I22" i="165"/>
  <c r="N22" i="165"/>
  <c r="E37" i="165"/>
  <c r="F22" i="165"/>
  <c r="K22" i="165"/>
  <c r="I183" i="165"/>
  <c r="H183" i="165"/>
  <c r="L183" i="165"/>
  <c r="G22" i="165"/>
  <c r="K183" i="165"/>
  <c r="H22" i="165"/>
  <c r="J112" i="165"/>
  <c r="N183" i="165"/>
  <c r="M183" i="165"/>
  <c r="G183" i="165"/>
  <c r="F183" i="165"/>
  <c r="M22" i="165"/>
  <c r="I107" i="165"/>
  <c r="N107" i="165"/>
  <c r="L107" i="165"/>
  <c r="K107" i="165"/>
  <c r="M107" i="165"/>
  <c r="G77" i="167"/>
  <c r="J74" i="167"/>
  <c r="K278" i="165" l="1"/>
  <c r="L250" i="165"/>
  <c r="I250" i="165"/>
  <c r="G250" i="165"/>
  <c r="M250" i="165"/>
  <c r="N250" i="165"/>
  <c r="H250" i="165"/>
  <c r="F250" i="165"/>
  <c r="I103" i="165"/>
  <c r="L103" i="165"/>
  <c r="M103" i="165"/>
  <c r="N103" i="165"/>
  <c r="E33" i="165"/>
  <c r="M133" i="165"/>
  <c r="M16" i="165"/>
  <c r="N16" i="165"/>
  <c r="I16" i="165"/>
  <c r="I133" i="165"/>
  <c r="L22" i="165"/>
  <c r="J67" i="167"/>
  <c r="L16" i="165" l="1"/>
  <c r="O67" i="165"/>
  <c r="G59" i="165"/>
  <c r="F59" i="165"/>
  <c r="J61" i="165"/>
  <c r="E61" i="165"/>
  <c r="O53" i="165"/>
  <c r="E53" i="165"/>
  <c r="J81" i="167"/>
  <c r="E52" i="165" l="1"/>
  <c r="O52" i="165"/>
  <c r="E67" i="165"/>
  <c r="H74" i="167"/>
  <c r="J67" i="165"/>
  <c r="I74" i="167"/>
  <c r="F65" i="165"/>
  <c r="G65" i="165"/>
  <c r="H67" i="167"/>
  <c r="P61" i="165"/>
  <c r="F69" i="165"/>
  <c r="O70" i="165"/>
  <c r="J64" i="167"/>
  <c r="J80" i="167"/>
  <c r="M64" i="167" l="1"/>
  <c r="M48" i="165"/>
  <c r="O69" i="165"/>
  <c r="G74" i="167"/>
  <c r="I79" i="167"/>
  <c r="H79" i="167"/>
  <c r="E70" i="165"/>
  <c r="P67" i="165"/>
  <c r="M60" i="167"/>
  <c r="J70" i="165"/>
  <c r="J53" i="165"/>
  <c r="O68" i="165"/>
  <c r="E68" i="165"/>
  <c r="H62" i="165"/>
  <c r="F62" i="165"/>
  <c r="J86" i="167"/>
  <c r="O76" i="165"/>
  <c r="M46" i="165" l="1"/>
  <c r="F46" i="165"/>
  <c r="J52" i="165"/>
  <c r="P70" i="165"/>
  <c r="G79" i="167"/>
  <c r="H80" i="167"/>
  <c r="E69" i="165"/>
  <c r="J68" i="165"/>
  <c r="I81" i="167"/>
  <c r="G62" i="165"/>
  <c r="E76" i="165"/>
  <c r="J76" i="165"/>
  <c r="H81" i="167"/>
  <c r="I67" i="167"/>
  <c r="G67" i="167" s="1"/>
  <c r="J69" i="165"/>
  <c r="P53" i="165"/>
  <c r="O407" i="165"/>
  <c r="E407" i="165"/>
  <c r="I343" i="167"/>
  <c r="H386" i="165"/>
  <c r="O388" i="165"/>
  <c r="E388" i="165"/>
  <c r="F348" i="165"/>
  <c r="O350" i="165"/>
  <c r="E350" i="165"/>
  <c r="O341" i="165"/>
  <c r="E341" i="165"/>
  <c r="O316" i="165"/>
  <c r="E316" i="165"/>
  <c r="F279" i="165"/>
  <c r="F278" i="165" s="1"/>
  <c r="O281" i="165"/>
  <c r="E281" i="165"/>
  <c r="O136" i="165"/>
  <c r="E136" i="165"/>
  <c r="G46" i="165" l="1"/>
  <c r="H385" i="165"/>
  <c r="F347" i="165"/>
  <c r="M45" i="165"/>
  <c r="F45" i="165"/>
  <c r="P52" i="165"/>
  <c r="P69" i="165"/>
  <c r="P68" i="165"/>
  <c r="P76" i="165"/>
  <c r="H308" i="167"/>
  <c r="H281" i="167"/>
  <c r="J341" i="165"/>
  <c r="H241" i="167"/>
  <c r="J316" i="165"/>
  <c r="F338" i="165"/>
  <c r="H333" i="167"/>
  <c r="F405" i="165"/>
  <c r="I86" i="167"/>
  <c r="G81" i="167"/>
  <c r="J281" i="165"/>
  <c r="J388" i="165"/>
  <c r="H302" i="167"/>
  <c r="H300" i="167" s="1"/>
  <c r="J350" i="165"/>
  <c r="F386" i="165"/>
  <c r="H346" i="167"/>
  <c r="J136" i="165"/>
  <c r="J407" i="165"/>
  <c r="H86" i="167"/>
  <c r="I80" i="167"/>
  <c r="G80" i="167" s="1"/>
  <c r="H131" i="167"/>
  <c r="J343" i="167"/>
  <c r="G241" i="167" l="1"/>
  <c r="I308" i="167"/>
  <c r="G308" i="167" s="1"/>
  <c r="F385" i="165"/>
  <c r="G333" i="167"/>
  <c r="G45" i="165"/>
  <c r="F404" i="165"/>
  <c r="P350" i="165"/>
  <c r="G302" i="167"/>
  <c r="P388" i="165"/>
  <c r="P407" i="165"/>
  <c r="P316" i="165"/>
  <c r="P136" i="165"/>
  <c r="G86" i="167"/>
  <c r="G281" i="167"/>
  <c r="G346" i="167"/>
  <c r="P341" i="165"/>
  <c r="P281" i="165"/>
  <c r="I131" i="167"/>
  <c r="G131" i="167" s="1"/>
  <c r="O253" i="165"/>
  <c r="E253" i="165"/>
  <c r="H215" i="167" l="1"/>
  <c r="G215" i="167" s="1"/>
  <c r="J253" i="165"/>
  <c r="P253" i="165" l="1"/>
  <c r="O20" i="165"/>
  <c r="E20" i="165"/>
  <c r="J20" i="165" l="1"/>
  <c r="H23" i="167"/>
  <c r="G23" i="167" l="1"/>
  <c r="P20" i="165"/>
  <c r="K122" i="165" l="1"/>
  <c r="K103" i="165" l="1"/>
  <c r="F45" i="172"/>
  <c r="F42" i="172" s="1"/>
  <c r="E45" i="172"/>
  <c r="E42" i="172" l="1"/>
  <c r="F36" i="172"/>
  <c r="E36" i="172" l="1"/>
  <c r="K256" i="165"/>
  <c r="K255" i="165" l="1"/>
  <c r="J209" i="167"/>
  <c r="K250" i="165" l="1"/>
  <c r="K17" i="165"/>
  <c r="K16" i="165" l="1"/>
  <c r="O245" i="165"/>
  <c r="E245" i="165"/>
  <c r="F227" i="165"/>
  <c r="O243" i="165" l="1"/>
  <c r="E243" i="165"/>
  <c r="H227" i="165"/>
  <c r="H209" i="167"/>
  <c r="J245" i="165"/>
  <c r="J243" i="165" l="1"/>
  <c r="E239" i="165"/>
  <c r="H221" i="165"/>
  <c r="O239" i="165"/>
  <c r="P245" i="165"/>
  <c r="I209" i="167"/>
  <c r="G209" i="167" s="1"/>
  <c r="P243" i="165" l="1"/>
  <c r="J239" i="165"/>
  <c r="I17" i="107"/>
  <c r="I13" i="107" s="1"/>
  <c r="P239" i="165" l="1"/>
  <c r="I12" i="107"/>
  <c r="I28" i="107" s="1"/>
  <c r="I16" i="107"/>
  <c r="I15" i="107" s="1"/>
  <c r="I14" i="107" s="1"/>
  <c r="D89" i="170"/>
  <c r="D76" i="170"/>
  <c r="D73" i="170"/>
  <c r="F376" i="165" l="1"/>
  <c r="H405" i="165" l="1"/>
  <c r="K376" i="165"/>
  <c r="F372" i="165"/>
  <c r="J342" i="167"/>
  <c r="J340" i="167"/>
  <c r="J338" i="167" l="1"/>
  <c r="H404" i="165"/>
  <c r="F369" i="165"/>
  <c r="H396" i="165"/>
  <c r="K372" i="165"/>
  <c r="J334" i="167"/>
  <c r="H334" i="167"/>
  <c r="G332" i="167"/>
  <c r="F366" i="165" l="1"/>
  <c r="K334" i="167"/>
  <c r="H331" i="167"/>
  <c r="J331" i="167"/>
  <c r="M334" i="167"/>
  <c r="K369" i="165"/>
  <c r="H348" i="165"/>
  <c r="H395" i="165"/>
  <c r="J276" i="167"/>
  <c r="J274" i="167"/>
  <c r="J271" i="167"/>
  <c r="H271" i="167"/>
  <c r="J256" i="167"/>
  <c r="J254" i="167"/>
  <c r="J253" i="167"/>
  <c r="J247" i="167"/>
  <c r="M247" i="167" s="1"/>
  <c r="J244" i="167"/>
  <c r="M244" i="167" s="1"/>
  <c r="J243" i="167"/>
  <c r="J242" i="167"/>
  <c r="O308" i="165"/>
  <c r="J308" i="165" s="1"/>
  <c r="O306" i="165"/>
  <c r="O307" i="165"/>
  <c r="J234" i="167"/>
  <c r="J224" i="167"/>
  <c r="J219" i="167"/>
  <c r="J239" i="167" l="1"/>
  <c r="J238" i="167" s="1"/>
  <c r="M238" i="167" s="1"/>
  <c r="H347" i="165"/>
  <c r="K366" i="165"/>
  <c r="J213" i="167"/>
  <c r="H314" i="165"/>
  <c r="H279" i="165"/>
  <c r="J306" i="165"/>
  <c r="O305" i="165"/>
  <c r="I276" i="167"/>
  <c r="J195" i="167"/>
  <c r="L218" i="165"/>
  <c r="H313" i="165" l="1"/>
  <c r="I274" i="167"/>
  <c r="L215" i="165"/>
  <c r="O304" i="165"/>
  <c r="H338" i="165"/>
  <c r="N218" i="165"/>
  <c r="N227" i="165"/>
  <c r="L227" i="165"/>
  <c r="K227" i="165"/>
  <c r="K232" i="165"/>
  <c r="K221" i="165" l="1"/>
  <c r="L221" i="165"/>
  <c r="N221" i="165"/>
  <c r="N215" i="165"/>
  <c r="K218" i="165"/>
  <c r="P13" i="107"/>
  <c r="P12" i="107" s="1"/>
  <c r="P28" i="107" s="1"/>
  <c r="F216" i="165"/>
  <c r="E420" i="165"/>
  <c r="I192" i="165"/>
  <c r="J189" i="167"/>
  <c r="L214" i="165" l="1"/>
  <c r="N214" i="165"/>
  <c r="N194" i="165"/>
  <c r="H216" i="165"/>
  <c r="O194" i="165"/>
  <c r="F222" i="165"/>
  <c r="K215" i="165"/>
  <c r="L194" i="165"/>
  <c r="F225" i="165"/>
  <c r="L201" i="165"/>
  <c r="E89" i="170"/>
  <c r="F232" i="165"/>
  <c r="E419" i="165"/>
  <c r="H218" i="165"/>
  <c r="N196" i="165"/>
  <c r="F218" i="165"/>
  <c r="O212" i="165"/>
  <c r="E212" i="165"/>
  <c r="E82" i="170" s="1"/>
  <c r="F221" i="165" l="1"/>
  <c r="K214" i="165"/>
  <c r="L196" i="165"/>
  <c r="H201" i="165"/>
  <c r="F215" i="165"/>
  <c r="H215" i="165"/>
  <c r="E418" i="165"/>
  <c r="N193" i="165"/>
  <c r="F201" i="165"/>
  <c r="E211" i="165"/>
  <c r="J212" i="165"/>
  <c r="O211" i="165"/>
  <c r="H189" i="167"/>
  <c r="J173" i="167"/>
  <c r="H214" i="165" l="1"/>
  <c r="F214" i="165"/>
  <c r="L193" i="165"/>
  <c r="E210" i="165"/>
  <c r="P212" i="165"/>
  <c r="O210" i="165"/>
  <c r="I189" i="167"/>
  <c r="G189" i="167" s="1"/>
  <c r="J211" i="165"/>
  <c r="K196" i="165"/>
  <c r="F196" i="165"/>
  <c r="G272" i="167"/>
  <c r="G270" i="167"/>
  <c r="G255" i="167"/>
  <c r="G250" i="167"/>
  <c r="G240" i="167"/>
  <c r="G214" i="167"/>
  <c r="J212" i="167"/>
  <c r="K193" i="165" l="1"/>
  <c r="J210" i="165"/>
  <c r="H194" i="165"/>
  <c r="F194" i="165"/>
  <c r="H196" i="165"/>
  <c r="G194" i="165"/>
  <c r="P211" i="165"/>
  <c r="O19" i="165"/>
  <c r="E19" i="165"/>
  <c r="J19" i="165" l="1"/>
  <c r="G193" i="165"/>
  <c r="F193" i="165"/>
  <c r="P210" i="165"/>
  <c r="H193" i="165"/>
  <c r="J153" i="167"/>
  <c r="P19" i="165" l="1"/>
  <c r="L176" i="165"/>
  <c r="L148" i="165"/>
  <c r="N176" i="165"/>
  <c r="N148" i="165"/>
  <c r="J167" i="167"/>
  <c r="J163" i="167"/>
  <c r="J152" i="167"/>
  <c r="J147" i="167"/>
  <c r="J141" i="167"/>
  <c r="J137" i="167"/>
  <c r="J136" i="167"/>
  <c r="J135" i="167"/>
  <c r="J134" i="167"/>
  <c r="J133" i="167"/>
  <c r="L138" i="165" l="1"/>
  <c r="N138" i="165"/>
  <c r="J109" i="167"/>
  <c r="N133" i="165" l="1"/>
  <c r="L133" i="165"/>
  <c r="H148" i="165"/>
  <c r="G176" i="165"/>
  <c r="H134" i="165"/>
  <c r="H176" i="165"/>
  <c r="G148" i="165"/>
  <c r="J155" i="167"/>
  <c r="J127" i="167" s="1"/>
  <c r="K176" i="165"/>
  <c r="K138" i="165" l="1"/>
  <c r="G138" i="165"/>
  <c r="H138" i="165"/>
  <c r="H117" i="165"/>
  <c r="G117" i="165"/>
  <c r="F117" i="165"/>
  <c r="K133" i="165" l="1"/>
  <c r="G133" i="165"/>
  <c r="F107" i="165"/>
  <c r="G107" i="165"/>
  <c r="H107" i="165"/>
  <c r="H133" i="165"/>
  <c r="K321" i="165"/>
  <c r="F103" i="165" l="1"/>
  <c r="H103" i="165"/>
  <c r="G103" i="165"/>
  <c r="K320" i="165"/>
  <c r="F16" i="165"/>
  <c r="L59" i="165"/>
  <c r="K313" i="165" l="1"/>
  <c r="N59" i="165"/>
  <c r="L62" i="165"/>
  <c r="O59" i="165"/>
  <c r="N62" i="165"/>
  <c r="N48" i="165" l="1"/>
  <c r="L48" i="165"/>
  <c r="L46" i="165" l="1"/>
  <c r="N46" i="165"/>
  <c r="G58" i="167"/>
  <c r="N45" i="165" l="1"/>
  <c r="L45" i="165"/>
  <c r="H59" i="165" l="1"/>
  <c r="H65" i="165" l="1"/>
  <c r="J42" i="167"/>
  <c r="M42" i="167" s="1"/>
  <c r="O42" i="165"/>
  <c r="E42" i="165"/>
  <c r="J32" i="167"/>
  <c r="M32" i="167" s="1"/>
  <c r="H46" i="165" l="1"/>
  <c r="J42" i="165"/>
  <c r="E76" i="170"/>
  <c r="H42" i="167"/>
  <c r="H45" i="165" l="1"/>
  <c r="P42" i="165"/>
  <c r="I42" i="167"/>
  <c r="L42" i="167" s="1"/>
  <c r="K42" i="167"/>
  <c r="G42" i="167" l="1"/>
  <c r="G19" i="167"/>
  <c r="G17" i="165"/>
  <c r="H17" i="165" l="1"/>
  <c r="G16" i="165"/>
  <c r="H305" i="165"/>
  <c r="G305" i="165"/>
  <c r="H304" i="165" l="1"/>
  <c r="H278" i="165" s="1"/>
  <c r="G304" i="165"/>
  <c r="G278" i="165" s="1"/>
  <c r="G421" i="165" s="1"/>
  <c r="H16" i="165"/>
  <c r="O190" i="165"/>
  <c r="E190" i="165"/>
  <c r="O181" i="165"/>
  <c r="E181" i="165"/>
  <c r="O178" i="165"/>
  <c r="E178" i="165"/>
  <c r="O159" i="165"/>
  <c r="E159" i="165"/>
  <c r="O158" i="165"/>
  <c r="O156" i="165"/>
  <c r="E156" i="165"/>
  <c r="K149" i="167" s="1"/>
  <c r="O155" i="165"/>
  <c r="E155" i="165"/>
  <c r="O153" i="165"/>
  <c r="E153" i="165"/>
  <c r="O150" i="165"/>
  <c r="E150" i="165"/>
  <c r="E149" i="165"/>
  <c r="O147" i="165"/>
  <c r="E147" i="165"/>
  <c r="O145" i="165"/>
  <c r="E145" i="165"/>
  <c r="O144" i="165"/>
  <c r="E144" i="165"/>
  <c r="O143" i="165"/>
  <c r="E143" i="165"/>
  <c r="O142" i="165"/>
  <c r="E142" i="165"/>
  <c r="O141" i="165"/>
  <c r="E141" i="165"/>
  <c r="O140" i="165"/>
  <c r="O135" i="165"/>
  <c r="E135" i="165"/>
  <c r="K157" i="167" l="1"/>
  <c r="H142" i="167"/>
  <c r="O180" i="165"/>
  <c r="E180" i="165"/>
  <c r="E148" i="165"/>
  <c r="J153" i="165"/>
  <c r="J156" i="165"/>
  <c r="J141" i="165"/>
  <c r="H135" i="167"/>
  <c r="H137" i="167"/>
  <c r="H140" i="167"/>
  <c r="H148" i="167"/>
  <c r="J144" i="165"/>
  <c r="J150" i="165"/>
  <c r="J155" i="165"/>
  <c r="O134" i="165"/>
  <c r="J143" i="165"/>
  <c r="J145" i="165"/>
  <c r="J142" i="165"/>
  <c r="J147" i="165"/>
  <c r="E134" i="165"/>
  <c r="H136" i="167"/>
  <c r="H138" i="167"/>
  <c r="H147" i="167"/>
  <c r="J178" i="165"/>
  <c r="E140" i="165"/>
  <c r="F139" i="165"/>
  <c r="E158" i="165"/>
  <c r="F157" i="165"/>
  <c r="E177" i="165"/>
  <c r="H155" i="167" s="1"/>
  <c r="F176" i="165"/>
  <c r="J135" i="165"/>
  <c r="H167" i="167"/>
  <c r="E189" i="165"/>
  <c r="E187" i="165" s="1"/>
  <c r="J190" i="165"/>
  <c r="O189" i="165"/>
  <c r="O187" i="165" s="1"/>
  <c r="H163" i="167"/>
  <c r="J181" i="165"/>
  <c r="J177" i="165"/>
  <c r="O176" i="165"/>
  <c r="H153" i="167"/>
  <c r="J159" i="165"/>
  <c r="J158" i="165"/>
  <c r="O157" i="165"/>
  <c r="H141" i="167"/>
  <c r="J149" i="165"/>
  <c r="O148" i="165"/>
  <c r="J140" i="165"/>
  <c r="O139" i="165"/>
  <c r="H134" i="167"/>
  <c r="I157" i="167" l="1"/>
  <c r="G157" i="167" s="1"/>
  <c r="I142" i="167"/>
  <c r="I149" i="167"/>
  <c r="L149" i="167" s="1"/>
  <c r="P144" i="165"/>
  <c r="P156" i="165"/>
  <c r="J180" i="165"/>
  <c r="P159" i="165"/>
  <c r="F138" i="165"/>
  <c r="O138" i="165"/>
  <c r="P153" i="165"/>
  <c r="P143" i="165"/>
  <c r="P141" i="165"/>
  <c r="P150" i="165"/>
  <c r="P142" i="165"/>
  <c r="P155" i="165"/>
  <c r="P145" i="165"/>
  <c r="P147" i="165"/>
  <c r="P178" i="165"/>
  <c r="P149" i="165"/>
  <c r="O179" i="165"/>
  <c r="J134" i="165"/>
  <c r="E157" i="165"/>
  <c r="I135" i="167"/>
  <c r="I136" i="167"/>
  <c r="I134" i="167"/>
  <c r="P181" i="165"/>
  <c r="P190" i="165"/>
  <c r="P140" i="165"/>
  <c r="E179" i="165"/>
  <c r="E176" i="165"/>
  <c r="H133" i="167"/>
  <c r="I140" i="167"/>
  <c r="I138" i="167"/>
  <c r="I148" i="167"/>
  <c r="I137" i="167"/>
  <c r="I147" i="167"/>
  <c r="P158" i="165"/>
  <c r="H152" i="167"/>
  <c r="P135" i="165"/>
  <c r="P177" i="165"/>
  <c r="E139" i="165"/>
  <c r="I167" i="167"/>
  <c r="G167" i="167" s="1"/>
  <c r="J189" i="165"/>
  <c r="J187" i="165" s="1"/>
  <c r="I163" i="167"/>
  <c r="I155" i="167"/>
  <c r="J176" i="165"/>
  <c r="I153" i="167"/>
  <c r="I152" i="167"/>
  <c r="J157" i="165"/>
  <c r="I141" i="167"/>
  <c r="J148" i="165"/>
  <c r="I133" i="167"/>
  <c r="J139" i="165"/>
  <c r="E402" i="165"/>
  <c r="J400" i="165"/>
  <c r="E400" i="165"/>
  <c r="O397" i="165"/>
  <c r="E397" i="165"/>
  <c r="O387" i="165"/>
  <c r="E387" i="165"/>
  <c r="O356" i="165"/>
  <c r="E356" i="165"/>
  <c r="O349" i="165"/>
  <c r="E349" i="165"/>
  <c r="O340" i="165"/>
  <c r="E340" i="165"/>
  <c r="E308" i="165"/>
  <c r="J307" i="165"/>
  <c r="I275" i="167" s="1"/>
  <c r="E307" i="165"/>
  <c r="E306" i="165"/>
  <c r="O299" i="165"/>
  <c r="E299" i="165"/>
  <c r="O298" i="165"/>
  <c r="E298" i="165"/>
  <c r="E296" i="165"/>
  <c r="O293" i="165"/>
  <c r="E293" i="165"/>
  <c r="O289" i="165"/>
  <c r="E289" i="165"/>
  <c r="K250" i="167" s="1"/>
  <c r="O288" i="165"/>
  <c r="E288" i="165"/>
  <c r="K247" i="167" s="1"/>
  <c r="O286" i="165"/>
  <c r="E286" i="165"/>
  <c r="K244" i="167" s="1"/>
  <c r="O285" i="165"/>
  <c r="E285" i="165"/>
  <c r="O282" i="165"/>
  <c r="E282" i="165"/>
  <c r="O280" i="165"/>
  <c r="E280" i="165"/>
  <c r="M277" i="165"/>
  <c r="L277" i="165"/>
  <c r="K277" i="165"/>
  <c r="I277" i="165"/>
  <c r="H277" i="165"/>
  <c r="G277" i="165"/>
  <c r="F277" i="165"/>
  <c r="N277" i="165"/>
  <c r="E270" i="165"/>
  <c r="O267" i="165"/>
  <c r="E267" i="165"/>
  <c r="K231" i="167" s="1"/>
  <c r="O261" i="165"/>
  <c r="E261" i="165"/>
  <c r="O259" i="165"/>
  <c r="E259" i="165"/>
  <c r="O258" i="165"/>
  <c r="E258" i="165"/>
  <c r="O257" i="165"/>
  <c r="O252" i="165"/>
  <c r="E252" i="165"/>
  <c r="M249" i="165"/>
  <c r="L249" i="165"/>
  <c r="K249" i="165"/>
  <c r="M212" i="167" s="1"/>
  <c r="H249" i="165"/>
  <c r="F249" i="165"/>
  <c r="N249" i="165"/>
  <c r="I249" i="165"/>
  <c r="G249" i="165"/>
  <c r="L157" i="167" l="1"/>
  <c r="H254" i="167"/>
  <c r="K268" i="167"/>
  <c r="O284" i="165"/>
  <c r="E284" i="165"/>
  <c r="E138" i="165"/>
  <c r="H221" i="167"/>
  <c r="E339" i="165"/>
  <c r="O339" i="165"/>
  <c r="I127" i="167"/>
  <c r="E297" i="165"/>
  <c r="O297" i="165"/>
  <c r="O251" i="165"/>
  <c r="E251" i="165"/>
  <c r="E305" i="165"/>
  <c r="P180" i="165"/>
  <c r="J179" i="165"/>
  <c r="J138" i="165"/>
  <c r="P139" i="165"/>
  <c r="H310" i="167"/>
  <c r="H306" i="167" s="1"/>
  <c r="P189" i="165"/>
  <c r="P187" i="165" s="1"/>
  <c r="E295" i="165"/>
  <c r="P148" i="165"/>
  <c r="J259" i="165"/>
  <c r="H219" i="167"/>
  <c r="H224" i="167"/>
  <c r="H242" i="167"/>
  <c r="J299" i="165"/>
  <c r="P134" i="165"/>
  <c r="J258" i="165"/>
  <c r="J261" i="165"/>
  <c r="J282" i="165"/>
  <c r="J286" i="165"/>
  <c r="J289" i="165"/>
  <c r="L250" i="167" s="1"/>
  <c r="E386" i="165"/>
  <c r="J391" i="165"/>
  <c r="Q391" i="165" s="1"/>
  <c r="O183" i="165"/>
  <c r="O386" i="165"/>
  <c r="E396" i="165"/>
  <c r="P157" i="165"/>
  <c r="J288" i="165"/>
  <c r="P176" i="165"/>
  <c r="F133" i="165"/>
  <c r="E348" i="165"/>
  <c r="E279" i="165"/>
  <c r="J301" i="165"/>
  <c r="J349" i="165"/>
  <c r="O348" i="165"/>
  <c r="J356" i="165"/>
  <c r="O355" i="165"/>
  <c r="E399" i="165"/>
  <c r="J293" i="165"/>
  <c r="O292" i="165"/>
  <c r="I340" i="167"/>
  <c r="J399" i="165"/>
  <c r="H342" i="167"/>
  <c r="H338" i="167" s="1"/>
  <c r="E401" i="165"/>
  <c r="J270" i="165"/>
  <c r="O269" i="165"/>
  <c r="J296" i="165"/>
  <c r="J305" i="165"/>
  <c r="E355" i="165"/>
  <c r="J397" i="165"/>
  <c r="O396" i="165"/>
  <c r="J402" i="165"/>
  <c r="O401" i="165"/>
  <c r="H275" i="167"/>
  <c r="H256" i="167"/>
  <c r="J298" i="165"/>
  <c r="H253" i="167"/>
  <c r="E292" i="165"/>
  <c r="O279" i="165"/>
  <c r="J285" i="165"/>
  <c r="H243" i="167"/>
  <c r="J267" i="165"/>
  <c r="L231" i="167" s="1"/>
  <c r="H234" i="167"/>
  <c r="E269" i="165"/>
  <c r="J257" i="165"/>
  <c r="O256" i="165"/>
  <c r="E256" i="165"/>
  <c r="J340" i="165"/>
  <c r="J387" i="165"/>
  <c r="J252" i="165"/>
  <c r="H276" i="167"/>
  <c r="G276" i="167" s="1"/>
  <c r="P308" i="165"/>
  <c r="J280" i="165"/>
  <c r="H274" i="167"/>
  <c r="G274" i="167" s="1"/>
  <c r="P306" i="165"/>
  <c r="P307" i="165"/>
  <c r="P400" i="165"/>
  <c r="H239" i="167" l="1"/>
  <c r="H238" i="167" s="1"/>
  <c r="L216" i="167"/>
  <c r="L268" i="167"/>
  <c r="J284" i="165"/>
  <c r="I221" i="167"/>
  <c r="G221" i="167" s="1"/>
  <c r="J339" i="165"/>
  <c r="O255" i="165"/>
  <c r="E352" i="165"/>
  <c r="F36" i="108"/>
  <c r="O352" i="165"/>
  <c r="E266" i="165"/>
  <c r="E255" i="165"/>
  <c r="F421" i="165"/>
  <c r="H213" i="167"/>
  <c r="H212" i="167" s="1"/>
  <c r="L334" i="167"/>
  <c r="J300" i="165"/>
  <c r="G216" i="167"/>
  <c r="E283" i="165"/>
  <c r="J251" i="165"/>
  <c r="O283" i="165"/>
  <c r="J390" i="165"/>
  <c r="P138" i="165"/>
  <c r="P288" i="165"/>
  <c r="P286" i="165"/>
  <c r="I310" i="167"/>
  <c r="I306" i="167" s="1"/>
  <c r="P282" i="165"/>
  <c r="P259" i="165"/>
  <c r="G275" i="167"/>
  <c r="J295" i="165"/>
  <c r="E294" i="165"/>
  <c r="P391" i="165"/>
  <c r="P186" i="165"/>
  <c r="E185" i="165"/>
  <c r="H165" i="167"/>
  <c r="G165" i="167" s="1"/>
  <c r="P299" i="165"/>
  <c r="P261" i="165"/>
  <c r="P289" i="165"/>
  <c r="P258" i="165"/>
  <c r="G334" i="167"/>
  <c r="G331" i="167" s="1"/>
  <c r="P293" i="165"/>
  <c r="J348" i="165"/>
  <c r="O338" i="165"/>
  <c r="P399" i="165"/>
  <c r="P257" i="165"/>
  <c r="P285" i="165"/>
  <c r="E304" i="165"/>
  <c r="J304" i="165"/>
  <c r="O266" i="165"/>
  <c r="I242" i="167"/>
  <c r="I219" i="167"/>
  <c r="G219" i="167" s="1"/>
  <c r="P179" i="165"/>
  <c r="P298" i="165"/>
  <c r="J396" i="165"/>
  <c r="J269" i="165"/>
  <c r="I247" i="167"/>
  <c r="O133" i="165"/>
  <c r="O398" i="165"/>
  <c r="O389" i="165"/>
  <c r="E338" i="165"/>
  <c r="I244" i="167"/>
  <c r="I224" i="167"/>
  <c r="G224" i="167" s="1"/>
  <c r="J183" i="165"/>
  <c r="I254" i="167"/>
  <c r="G254" i="167" s="1"/>
  <c r="P267" i="165"/>
  <c r="I271" i="167"/>
  <c r="G271" i="167" s="1"/>
  <c r="P397" i="165"/>
  <c r="I234" i="167"/>
  <c r="G234" i="167" s="1"/>
  <c r="G340" i="167"/>
  <c r="P270" i="165"/>
  <c r="P349" i="165"/>
  <c r="P296" i="165"/>
  <c r="P340" i="165"/>
  <c r="I342" i="167"/>
  <c r="G342" i="167" s="1"/>
  <c r="J401" i="165"/>
  <c r="J355" i="165"/>
  <c r="P356" i="165"/>
  <c r="I253" i="167"/>
  <c r="G253" i="167" s="1"/>
  <c r="J292" i="165"/>
  <c r="P402" i="165"/>
  <c r="P301" i="165"/>
  <c r="E398" i="165"/>
  <c r="P387" i="165"/>
  <c r="J386" i="165"/>
  <c r="P305" i="165"/>
  <c r="I256" i="167"/>
  <c r="I243" i="167"/>
  <c r="G243" i="167" s="1"/>
  <c r="P280" i="165"/>
  <c r="J279" i="165"/>
  <c r="G231" i="167"/>
  <c r="J256" i="165"/>
  <c r="P252" i="165"/>
  <c r="G213" i="167" l="1"/>
  <c r="G242" i="167"/>
  <c r="I239" i="167"/>
  <c r="I238" i="167" s="1"/>
  <c r="G238" i="167" s="1"/>
  <c r="E351" i="165"/>
  <c r="E347" i="165" s="1"/>
  <c r="K306" i="167" s="1"/>
  <c r="P284" i="165"/>
  <c r="G247" i="167"/>
  <c r="L247" i="167"/>
  <c r="J352" i="165"/>
  <c r="E263" i="165"/>
  <c r="P339" i="165"/>
  <c r="G18" i="197"/>
  <c r="J255" i="165"/>
  <c r="O385" i="165"/>
  <c r="J266" i="165"/>
  <c r="G244" i="167"/>
  <c r="L244" i="167"/>
  <c r="G256" i="167"/>
  <c r="G338" i="167"/>
  <c r="I338" i="167"/>
  <c r="I213" i="167"/>
  <c r="I212" i="167" s="1"/>
  <c r="J297" i="165"/>
  <c r="P300" i="165"/>
  <c r="O351" i="165"/>
  <c r="P251" i="165"/>
  <c r="O263" i="165"/>
  <c r="J283" i="165"/>
  <c r="P390" i="165"/>
  <c r="E184" i="165"/>
  <c r="G310" i="167"/>
  <c r="G306" i="167" s="1"/>
  <c r="P185" i="165"/>
  <c r="E291" i="165"/>
  <c r="E278" i="165" s="1"/>
  <c r="H127" i="167"/>
  <c r="P295" i="165"/>
  <c r="J294" i="165"/>
  <c r="O291" i="165"/>
  <c r="P256" i="165"/>
  <c r="O395" i="165"/>
  <c r="J389" i="165"/>
  <c r="P304" i="165"/>
  <c r="P401" i="165"/>
  <c r="J398" i="165"/>
  <c r="E389" i="165"/>
  <c r="P279" i="165"/>
  <c r="E395" i="165"/>
  <c r="P355" i="165"/>
  <c r="P396" i="165"/>
  <c r="P386" i="165"/>
  <c r="P269" i="165"/>
  <c r="P292" i="165"/>
  <c r="P348" i="165"/>
  <c r="O331" i="165"/>
  <c r="E331" i="165"/>
  <c r="O330" i="165"/>
  <c r="E330" i="165"/>
  <c r="O329" i="165"/>
  <c r="E329" i="165"/>
  <c r="O328" i="165"/>
  <c r="E328" i="165"/>
  <c r="E327" i="165"/>
  <c r="O322" i="165"/>
  <c r="E322" i="165"/>
  <c r="O315" i="165"/>
  <c r="E315" i="165"/>
  <c r="N312" i="165"/>
  <c r="M312" i="165"/>
  <c r="I312" i="165"/>
  <c r="H312" i="165"/>
  <c r="G312" i="165"/>
  <c r="F312" i="165"/>
  <c r="G239" i="167" l="1"/>
  <c r="O278" i="165"/>
  <c r="H286" i="167"/>
  <c r="E385" i="165"/>
  <c r="J385" i="165"/>
  <c r="P352" i="165"/>
  <c r="O347" i="165"/>
  <c r="E250" i="165"/>
  <c r="E249" i="165" s="1"/>
  <c r="K212" i="167" s="1"/>
  <c r="O250" i="165"/>
  <c r="P297" i="165"/>
  <c r="E183" i="165"/>
  <c r="P255" i="165"/>
  <c r="P283" i="165"/>
  <c r="J351" i="165"/>
  <c r="J322" i="165"/>
  <c r="J263" i="165"/>
  <c r="G212" i="167"/>
  <c r="J291" i="165"/>
  <c r="P184" i="165"/>
  <c r="P294" i="165"/>
  <c r="P266" i="165"/>
  <c r="E314" i="165"/>
  <c r="J329" i="165"/>
  <c r="J331" i="165"/>
  <c r="P398" i="165"/>
  <c r="O314" i="165"/>
  <c r="E321" i="165"/>
  <c r="J328" i="165"/>
  <c r="J330" i="165"/>
  <c r="P389" i="165"/>
  <c r="O321" i="165"/>
  <c r="J315" i="165"/>
  <c r="E326" i="165"/>
  <c r="L312" i="165"/>
  <c r="O327" i="165"/>
  <c r="K312" i="165"/>
  <c r="I291" i="167" l="1"/>
  <c r="G291" i="167" s="1"/>
  <c r="P385" i="165"/>
  <c r="Q385" i="165" s="1"/>
  <c r="J347" i="165"/>
  <c r="J278" i="165"/>
  <c r="P278" i="165" s="1"/>
  <c r="Q278" i="165" s="1"/>
  <c r="E133" i="165"/>
  <c r="P183" i="165"/>
  <c r="P263" i="165"/>
  <c r="P351" i="165"/>
  <c r="P329" i="165"/>
  <c r="P330" i="165"/>
  <c r="O277" i="165"/>
  <c r="E277" i="165"/>
  <c r="K238" i="167"/>
  <c r="P328" i="165"/>
  <c r="O249" i="165"/>
  <c r="J250" i="165"/>
  <c r="P331" i="165"/>
  <c r="J314" i="165"/>
  <c r="O320" i="165"/>
  <c r="E320" i="165"/>
  <c r="J321" i="165"/>
  <c r="E324" i="165"/>
  <c r="P291" i="165"/>
  <c r="P322" i="165"/>
  <c r="P315" i="165"/>
  <c r="O326" i="165"/>
  <c r="J327" i="165"/>
  <c r="I286" i="167" l="1"/>
  <c r="P347" i="165"/>
  <c r="Q347" i="165" s="1"/>
  <c r="L306" i="167"/>
  <c r="L238" i="167"/>
  <c r="J277" i="165"/>
  <c r="P277" i="165"/>
  <c r="E323" i="165"/>
  <c r="J249" i="165"/>
  <c r="L212" i="167" s="1"/>
  <c r="P250" i="165"/>
  <c r="Q250" i="165" s="1"/>
  <c r="P314" i="165"/>
  <c r="P321" i="165"/>
  <c r="J320" i="165"/>
  <c r="O324" i="165"/>
  <c r="P327" i="165"/>
  <c r="J326" i="165"/>
  <c r="E313" i="165" l="1"/>
  <c r="E312" i="165" s="1"/>
  <c r="O323" i="165"/>
  <c r="P249" i="165"/>
  <c r="P326" i="165"/>
  <c r="P320" i="165"/>
  <c r="J324" i="165"/>
  <c r="O313" i="165" l="1"/>
  <c r="J323" i="165"/>
  <c r="P324" i="165"/>
  <c r="J210" i="167"/>
  <c r="H210" i="167"/>
  <c r="P323" i="165" l="1"/>
  <c r="O312" i="165"/>
  <c r="J313" i="165"/>
  <c r="P313" i="165" l="1"/>
  <c r="Q313" i="165" s="1"/>
  <c r="J312" i="165"/>
  <c r="M323" i="167"/>
  <c r="G322" i="167"/>
  <c r="M321" i="167"/>
  <c r="G321" i="167"/>
  <c r="J299" i="167"/>
  <c r="M299" i="167" s="1"/>
  <c r="J206" i="167"/>
  <c r="J205" i="167"/>
  <c r="J204" i="167"/>
  <c r="J203" i="167"/>
  <c r="J201" i="167"/>
  <c r="J198" i="167"/>
  <c r="J197" i="167"/>
  <c r="J196" i="167"/>
  <c r="J192" i="167"/>
  <c r="G185" i="167"/>
  <c r="G184" i="167"/>
  <c r="J183" i="167"/>
  <c r="G182" i="167"/>
  <c r="J181" i="167"/>
  <c r="J178" i="167"/>
  <c r="G179" i="167"/>
  <c r="G160" i="167"/>
  <c r="G159" i="167"/>
  <c r="G156" i="167"/>
  <c r="G150" i="167"/>
  <c r="J125" i="167"/>
  <c r="H125" i="167"/>
  <c r="G124" i="167"/>
  <c r="J117" i="167"/>
  <c r="J116" i="167"/>
  <c r="J115" i="167"/>
  <c r="J114" i="167"/>
  <c r="J108" i="167"/>
  <c r="J94" i="167"/>
  <c r="J56" i="167" s="1"/>
  <c r="G65" i="167"/>
  <c r="G61" i="167"/>
  <c r="G43" i="167"/>
  <c r="J41" i="167"/>
  <c r="M41" i="167" s="1"/>
  <c r="J40" i="167"/>
  <c r="J33" i="167"/>
  <c r="M33" i="167" s="1"/>
  <c r="G24" i="167"/>
  <c r="O420" i="165"/>
  <c r="O414" i="165"/>
  <c r="O406" i="165"/>
  <c r="G403" i="165"/>
  <c r="E406" i="165"/>
  <c r="N403" i="165"/>
  <c r="M403" i="165"/>
  <c r="L403" i="165"/>
  <c r="K403" i="165"/>
  <c r="I403" i="165"/>
  <c r="H403" i="165"/>
  <c r="G394" i="165"/>
  <c r="N394" i="165"/>
  <c r="M394" i="165"/>
  <c r="L394" i="165"/>
  <c r="K394" i="165"/>
  <c r="I394" i="165"/>
  <c r="F394" i="165"/>
  <c r="N384" i="165"/>
  <c r="M384" i="165"/>
  <c r="I384" i="165"/>
  <c r="H384" i="165"/>
  <c r="G384" i="165"/>
  <c r="O377" i="165"/>
  <c r="O374" i="165"/>
  <c r="O373" i="165"/>
  <c r="E373" i="165"/>
  <c r="N365" i="165"/>
  <c r="M365" i="165"/>
  <c r="I365" i="165"/>
  <c r="H365" i="165"/>
  <c r="G365" i="165"/>
  <c r="L365" i="165"/>
  <c r="G346" i="165"/>
  <c r="N346" i="165"/>
  <c r="M346" i="165"/>
  <c r="I346" i="165"/>
  <c r="H346" i="165"/>
  <c r="N337" i="165"/>
  <c r="M337" i="165"/>
  <c r="L337" i="165"/>
  <c r="K337" i="165"/>
  <c r="I337" i="165"/>
  <c r="F337" i="165"/>
  <c r="O238" i="165"/>
  <c r="O235" i="165"/>
  <c r="E235" i="165"/>
  <c r="O234" i="165"/>
  <c r="E234" i="165"/>
  <c r="O233" i="165"/>
  <c r="O229" i="165"/>
  <c r="J228" i="165"/>
  <c r="E228" i="165"/>
  <c r="O226" i="165"/>
  <c r="E226" i="165"/>
  <c r="O224" i="165"/>
  <c r="O223" i="165"/>
  <c r="E223" i="165"/>
  <c r="E220" i="165"/>
  <c r="E219" i="165"/>
  <c r="O217" i="165"/>
  <c r="N213" i="165"/>
  <c r="M213" i="165"/>
  <c r="L213" i="165"/>
  <c r="I213" i="165"/>
  <c r="O203" i="165"/>
  <c r="E203" i="165"/>
  <c r="E202" i="165"/>
  <c r="E199" i="165"/>
  <c r="O198" i="165"/>
  <c r="E198" i="165"/>
  <c r="O197" i="165"/>
  <c r="E197" i="165"/>
  <c r="H192" i="165"/>
  <c r="E195" i="165"/>
  <c r="N192" i="165"/>
  <c r="M192" i="165"/>
  <c r="L192" i="165"/>
  <c r="G192" i="165"/>
  <c r="M132" i="165"/>
  <c r="L132" i="165"/>
  <c r="I132" i="165"/>
  <c r="I125" i="167"/>
  <c r="E130" i="165"/>
  <c r="O119" i="165"/>
  <c r="O118" i="165"/>
  <c r="E118" i="165"/>
  <c r="O116" i="165"/>
  <c r="O114" i="165"/>
  <c r="E112" i="165"/>
  <c r="O111" i="165"/>
  <c r="E111" i="165"/>
  <c r="O110" i="165"/>
  <c r="J109" i="165"/>
  <c r="E109" i="165"/>
  <c r="E108" i="165"/>
  <c r="O105" i="165"/>
  <c r="N102" i="165"/>
  <c r="M102" i="165"/>
  <c r="L102" i="165"/>
  <c r="I102" i="165"/>
  <c r="O88" i="165"/>
  <c r="E88" i="165"/>
  <c r="O66" i="165"/>
  <c r="O64" i="165"/>
  <c r="E63" i="165"/>
  <c r="E60" i="165"/>
  <c r="E58" i="165"/>
  <c r="O50" i="165"/>
  <c r="E50" i="165"/>
  <c r="E49" i="165"/>
  <c r="E47" i="165"/>
  <c r="M44" i="165"/>
  <c r="I44" i="165"/>
  <c r="O41" i="165"/>
  <c r="O38" i="165"/>
  <c r="E30" i="165"/>
  <c r="O28" i="165"/>
  <c r="E28" i="165"/>
  <c r="O21" i="165"/>
  <c r="E18" i="165"/>
  <c r="G15" i="165"/>
  <c r="H57" i="167" l="1"/>
  <c r="K57" i="167" s="1"/>
  <c r="E87" i="165"/>
  <c r="O26" i="165"/>
  <c r="H176" i="167"/>
  <c r="H72" i="167"/>
  <c r="K72" i="167" s="1"/>
  <c r="H171" i="167"/>
  <c r="H181" i="167"/>
  <c r="H193" i="167"/>
  <c r="O104" i="165"/>
  <c r="O87" i="165"/>
  <c r="H183" i="167"/>
  <c r="H70" i="167"/>
  <c r="K70" i="167" s="1"/>
  <c r="H106" i="167"/>
  <c r="H110" i="167"/>
  <c r="H60" i="167"/>
  <c r="J170" i="167"/>
  <c r="M40" i="167"/>
  <c r="O48" i="165"/>
  <c r="E48" i="165"/>
  <c r="O37" i="165"/>
  <c r="O40" i="165"/>
  <c r="O39" i="165" s="1"/>
  <c r="O65" i="165"/>
  <c r="O115" i="165"/>
  <c r="H173" i="167"/>
  <c r="O216" i="165"/>
  <c r="O237" i="165"/>
  <c r="E405" i="165"/>
  <c r="O419" i="165"/>
  <c r="H75" i="167"/>
  <c r="O376" i="165"/>
  <c r="P312" i="165"/>
  <c r="E29" i="165"/>
  <c r="P112" i="165"/>
  <c r="H195" i="167"/>
  <c r="E225" i="165"/>
  <c r="O227" i="165"/>
  <c r="O405" i="165"/>
  <c r="O113" i="165"/>
  <c r="O201" i="165"/>
  <c r="O225" i="165"/>
  <c r="O413" i="165"/>
  <c r="P30" i="165"/>
  <c r="O62" i="165"/>
  <c r="E201" i="165"/>
  <c r="E194" i="165"/>
  <c r="O232" i="165"/>
  <c r="O222" i="165"/>
  <c r="E218" i="165"/>
  <c r="O117" i="165"/>
  <c r="E59" i="165"/>
  <c r="H64" i="167"/>
  <c r="K64" i="167" s="1"/>
  <c r="H33" i="167"/>
  <c r="K33" i="167" s="1"/>
  <c r="H32" i="167"/>
  <c r="K32" i="167" s="1"/>
  <c r="N15" i="165"/>
  <c r="I15" i="165"/>
  <c r="I421" i="165"/>
  <c r="I432" i="165" s="1"/>
  <c r="M15" i="165"/>
  <c r="M421" i="165"/>
  <c r="K384" i="165"/>
  <c r="K346" i="165"/>
  <c r="F365" i="165"/>
  <c r="G323" i="167"/>
  <c r="G318" i="167" s="1"/>
  <c r="H317" i="167"/>
  <c r="J116" i="165"/>
  <c r="E119" i="165"/>
  <c r="I317" i="167"/>
  <c r="K192" i="165"/>
  <c r="E217" i="165"/>
  <c r="J217" i="165"/>
  <c r="J38" i="165"/>
  <c r="J63" i="165"/>
  <c r="J234" i="165"/>
  <c r="L44" i="165"/>
  <c r="E110" i="165"/>
  <c r="J414" i="165"/>
  <c r="J330" i="167"/>
  <c r="M330" i="167" s="1"/>
  <c r="J226" i="165"/>
  <c r="J374" i="165"/>
  <c r="O384" i="165"/>
  <c r="J199" i="165"/>
  <c r="J198" i="165"/>
  <c r="J219" i="165"/>
  <c r="H394" i="165"/>
  <c r="E21" i="165"/>
  <c r="E24" i="165"/>
  <c r="J28" i="165"/>
  <c r="J41" i="165"/>
  <c r="J50" i="165"/>
  <c r="J60" i="165"/>
  <c r="J64" i="165"/>
  <c r="G102" i="165"/>
  <c r="I108" i="167"/>
  <c r="E114" i="165"/>
  <c r="N132" i="165"/>
  <c r="H178" i="167"/>
  <c r="J224" i="165"/>
  <c r="H204" i="167"/>
  <c r="J235" i="165"/>
  <c r="H289" i="167"/>
  <c r="H290" i="167"/>
  <c r="E337" i="165"/>
  <c r="H299" i="167"/>
  <c r="K299" i="167" s="1"/>
  <c r="E374" i="165"/>
  <c r="J377" i="165"/>
  <c r="J406" i="165"/>
  <c r="J420" i="165"/>
  <c r="E41" i="165"/>
  <c r="J197" i="165"/>
  <c r="J203" i="165"/>
  <c r="H284" i="167"/>
  <c r="J373" i="165"/>
  <c r="N44" i="165"/>
  <c r="J111" i="165"/>
  <c r="J114" i="165"/>
  <c r="H116" i="167"/>
  <c r="J119" i="165"/>
  <c r="J202" i="165"/>
  <c r="E233" i="165"/>
  <c r="E238" i="165"/>
  <c r="G337" i="165"/>
  <c r="L384" i="165"/>
  <c r="O18" i="165"/>
  <c r="E64" i="165"/>
  <c r="J88" i="165"/>
  <c r="J110" i="165"/>
  <c r="E224" i="165"/>
  <c r="J229" i="165"/>
  <c r="H205" i="167"/>
  <c r="H295" i="167"/>
  <c r="J29" i="167"/>
  <c r="J66" i="165"/>
  <c r="F102" i="165"/>
  <c r="H102" i="165"/>
  <c r="J21" i="165"/>
  <c r="E66" i="165"/>
  <c r="H94" i="167"/>
  <c r="E105" i="165"/>
  <c r="J105" i="165"/>
  <c r="E116" i="165"/>
  <c r="J118" i="165"/>
  <c r="G132" i="165"/>
  <c r="G213" i="165"/>
  <c r="H213" i="165"/>
  <c r="J223" i="165"/>
  <c r="H198" i="167"/>
  <c r="I199" i="167"/>
  <c r="J233" i="165"/>
  <c r="J238" i="165"/>
  <c r="H337" i="165"/>
  <c r="E394" i="165"/>
  <c r="G125" i="167"/>
  <c r="K321" i="167"/>
  <c r="G174" i="167"/>
  <c r="G200" i="167"/>
  <c r="J337" i="167"/>
  <c r="M337" i="167" s="1"/>
  <c r="H108" i="167"/>
  <c r="P109" i="165"/>
  <c r="F346" i="165"/>
  <c r="J47" i="165"/>
  <c r="L346" i="165"/>
  <c r="L421" i="165"/>
  <c r="O108" i="165"/>
  <c r="H132" i="165"/>
  <c r="F132" i="165"/>
  <c r="H196" i="167"/>
  <c r="G17" i="167"/>
  <c r="H15" i="165"/>
  <c r="E229" i="165"/>
  <c r="F213" i="165"/>
  <c r="K365" i="165"/>
  <c r="E377" i="165"/>
  <c r="O220" i="165"/>
  <c r="H199" i="167"/>
  <c r="P228" i="165"/>
  <c r="J295" i="167"/>
  <c r="F384" i="165"/>
  <c r="J199" i="167"/>
  <c r="J191" i="167" s="1"/>
  <c r="J122" i="167"/>
  <c r="J102" i="167" s="1"/>
  <c r="O24" i="165"/>
  <c r="O130" i="165"/>
  <c r="J284" i="167"/>
  <c r="O346" i="165"/>
  <c r="E414" i="165"/>
  <c r="G26" i="167"/>
  <c r="G128" i="167"/>
  <c r="J317" i="167"/>
  <c r="O46" i="165" l="1"/>
  <c r="K60" i="167"/>
  <c r="H279" i="167"/>
  <c r="K279" i="167" s="1"/>
  <c r="J16" i="167"/>
  <c r="M15" i="167" s="1"/>
  <c r="I57" i="167"/>
  <c r="L57" i="167" s="1"/>
  <c r="J26" i="165"/>
  <c r="K24" i="167"/>
  <c r="E26" i="165"/>
  <c r="K327" i="167"/>
  <c r="J87" i="165"/>
  <c r="I176" i="167"/>
  <c r="G176" i="167" s="1"/>
  <c r="I110" i="167"/>
  <c r="G110" i="167" s="1"/>
  <c r="I193" i="167"/>
  <c r="G193" i="167" s="1"/>
  <c r="J104" i="165"/>
  <c r="E104" i="165"/>
  <c r="O221" i="165"/>
  <c r="I72" i="167"/>
  <c r="L72" i="167" s="1"/>
  <c r="E196" i="165"/>
  <c r="O33" i="165"/>
  <c r="L327" i="167"/>
  <c r="O411" i="165"/>
  <c r="E23" i="165"/>
  <c r="O23" i="165"/>
  <c r="O372" i="165"/>
  <c r="P29" i="165"/>
  <c r="J201" i="165"/>
  <c r="J405" i="165"/>
  <c r="J216" i="165"/>
  <c r="E117" i="165"/>
  <c r="E413" i="165"/>
  <c r="J227" i="165"/>
  <c r="I173" i="167"/>
  <c r="G173" i="167" s="1"/>
  <c r="J376" i="165"/>
  <c r="I76" i="167"/>
  <c r="L76" i="167" s="1"/>
  <c r="J413" i="165"/>
  <c r="I75" i="167"/>
  <c r="G75" i="167" s="1"/>
  <c r="E216" i="165"/>
  <c r="J115" i="165"/>
  <c r="O196" i="165"/>
  <c r="E222" i="165"/>
  <c r="E237" i="165"/>
  <c r="E113" i="165"/>
  <c r="J225" i="165"/>
  <c r="J37" i="165"/>
  <c r="O418" i="165"/>
  <c r="O236" i="165"/>
  <c r="E227" i="165"/>
  <c r="J237" i="165"/>
  <c r="O17" i="165"/>
  <c r="E232" i="165"/>
  <c r="J113" i="165"/>
  <c r="J419" i="165"/>
  <c r="I64" i="167"/>
  <c r="L64" i="167" s="1"/>
  <c r="E115" i="165"/>
  <c r="I109" i="167"/>
  <c r="E376" i="165"/>
  <c r="M29" i="167"/>
  <c r="E40" i="165"/>
  <c r="E39" i="165" s="1"/>
  <c r="J40" i="165"/>
  <c r="J39" i="165" s="1"/>
  <c r="E62" i="165"/>
  <c r="H76" i="167"/>
  <c r="J59" i="165"/>
  <c r="O107" i="165"/>
  <c r="E65" i="165"/>
  <c r="H78" i="167"/>
  <c r="J65" i="165"/>
  <c r="I78" i="167"/>
  <c r="J232" i="165"/>
  <c r="P373" i="165"/>
  <c r="J222" i="165"/>
  <c r="O218" i="165"/>
  <c r="J117" i="165"/>
  <c r="H109" i="167"/>
  <c r="I33" i="167"/>
  <c r="L33" i="167" s="1"/>
  <c r="I32" i="167"/>
  <c r="L32" i="167" s="1"/>
  <c r="E17" i="165"/>
  <c r="J62" i="165"/>
  <c r="E73" i="170"/>
  <c r="K15" i="165"/>
  <c r="K421" i="165"/>
  <c r="F44" i="165"/>
  <c r="H44" i="165"/>
  <c r="H421" i="165"/>
  <c r="H434" i="165" s="1"/>
  <c r="G44" i="165"/>
  <c r="N421" i="165"/>
  <c r="N432" i="165" s="1"/>
  <c r="M317" i="167"/>
  <c r="J305" i="167"/>
  <c r="M306" i="167"/>
  <c r="P38" i="165"/>
  <c r="I192" i="167"/>
  <c r="I178" i="167"/>
  <c r="G178" i="167" s="1"/>
  <c r="I115" i="167"/>
  <c r="P234" i="165"/>
  <c r="G138" i="167"/>
  <c r="P223" i="165"/>
  <c r="P111" i="165"/>
  <c r="P50" i="165"/>
  <c r="H117" i="167"/>
  <c r="I40" i="167"/>
  <c r="F192" i="165"/>
  <c r="P203" i="165"/>
  <c r="I198" i="167"/>
  <c r="G198" i="167" s="1"/>
  <c r="P118" i="165"/>
  <c r="P199" i="165"/>
  <c r="P224" i="165"/>
  <c r="P235" i="165"/>
  <c r="P60" i="165"/>
  <c r="P198" i="165"/>
  <c r="J58" i="165"/>
  <c r="L323" i="167"/>
  <c r="G136" i="167"/>
  <c r="P406" i="165"/>
  <c r="H40" i="167"/>
  <c r="G317" i="167"/>
  <c r="P114" i="165"/>
  <c r="P226" i="165"/>
  <c r="P420" i="165"/>
  <c r="P219" i="165"/>
  <c r="P202" i="165"/>
  <c r="P21" i="165"/>
  <c r="J195" i="165"/>
  <c r="H192" i="167"/>
  <c r="G108" i="167"/>
  <c r="H337" i="167"/>
  <c r="K337" i="167" s="1"/>
  <c r="P217" i="165"/>
  <c r="P64" i="165"/>
  <c r="G199" i="167"/>
  <c r="P63" i="165"/>
  <c r="P116" i="165"/>
  <c r="H115" i="167"/>
  <c r="P41" i="165"/>
  <c r="K323" i="167"/>
  <c r="H41" i="167"/>
  <c r="K41" i="167" s="1"/>
  <c r="P28" i="165"/>
  <c r="P238" i="165"/>
  <c r="H203" i="167"/>
  <c r="P88" i="165"/>
  <c r="I204" i="167"/>
  <c r="G204" i="167" s="1"/>
  <c r="H197" i="167"/>
  <c r="H170" i="167"/>
  <c r="P374" i="165"/>
  <c r="I181" i="167"/>
  <c r="G181" i="167" s="1"/>
  <c r="P110" i="165"/>
  <c r="I94" i="167"/>
  <c r="G94" i="167" s="1"/>
  <c r="P66" i="165"/>
  <c r="J169" i="167"/>
  <c r="M169" i="167" s="1"/>
  <c r="I116" i="167"/>
  <c r="G116" i="167" s="1"/>
  <c r="P105" i="165"/>
  <c r="M432" i="165"/>
  <c r="G152" i="167"/>
  <c r="I201" i="167"/>
  <c r="J384" i="165"/>
  <c r="J49" i="165"/>
  <c r="G153" i="167"/>
  <c r="G142" i="167"/>
  <c r="H29" i="167"/>
  <c r="J24" i="165"/>
  <c r="G137" i="167"/>
  <c r="I203" i="167"/>
  <c r="G286" i="167"/>
  <c r="G135" i="167"/>
  <c r="I117" i="167"/>
  <c r="I114" i="167"/>
  <c r="G140" i="167"/>
  <c r="H114" i="167"/>
  <c r="H206" i="167"/>
  <c r="J220" i="165"/>
  <c r="P119" i="165"/>
  <c r="P233" i="165"/>
  <c r="J55" i="167"/>
  <c r="P197" i="165"/>
  <c r="I196" i="167"/>
  <c r="G196" i="167" s="1"/>
  <c r="J18" i="165"/>
  <c r="L321" i="167"/>
  <c r="I183" i="167"/>
  <c r="G183" i="167" s="1"/>
  <c r="I197" i="167"/>
  <c r="J130" i="165"/>
  <c r="I122" i="167" s="1"/>
  <c r="I206" i="167"/>
  <c r="I205" i="167"/>
  <c r="G205" i="167" s="1"/>
  <c r="G149" i="167"/>
  <c r="G141" i="167"/>
  <c r="I41" i="167"/>
  <c r="L41" i="167" s="1"/>
  <c r="G134" i="167"/>
  <c r="H330" i="167"/>
  <c r="K330" i="167" s="1"/>
  <c r="J126" i="167"/>
  <c r="M126" i="167" s="1"/>
  <c r="K132" i="165"/>
  <c r="K213" i="165"/>
  <c r="P414" i="165"/>
  <c r="O337" i="165"/>
  <c r="J338" i="165"/>
  <c r="K44" i="165"/>
  <c r="J190" i="167"/>
  <c r="P377" i="165"/>
  <c r="J108" i="165"/>
  <c r="L15" i="165"/>
  <c r="O394" i="165"/>
  <c r="J395" i="165"/>
  <c r="H201" i="167"/>
  <c r="P229" i="165"/>
  <c r="F15" i="165"/>
  <c r="K102" i="165"/>
  <c r="P47" i="165"/>
  <c r="H16" i="167" l="1"/>
  <c r="H56" i="167"/>
  <c r="E46" i="165"/>
  <c r="P26" i="165"/>
  <c r="I106" i="167"/>
  <c r="I102" i="167" s="1"/>
  <c r="E372" i="165"/>
  <c r="P104" i="165"/>
  <c r="P87" i="165"/>
  <c r="I171" i="167"/>
  <c r="I170" i="167" s="1"/>
  <c r="I70" i="167"/>
  <c r="L70" i="167" s="1"/>
  <c r="E221" i="165"/>
  <c r="J372" i="165"/>
  <c r="J221" i="165"/>
  <c r="G72" i="167"/>
  <c r="G57" i="167"/>
  <c r="I60" i="167"/>
  <c r="L60" i="167" s="1"/>
  <c r="H102" i="167"/>
  <c r="G122" i="167"/>
  <c r="H191" i="167"/>
  <c r="H190" i="167" s="1"/>
  <c r="O45" i="165"/>
  <c r="E193" i="165"/>
  <c r="L40" i="167"/>
  <c r="O404" i="165"/>
  <c r="J346" i="165"/>
  <c r="J33" i="165"/>
  <c r="J411" i="165"/>
  <c r="O122" i="165"/>
  <c r="H432" i="165"/>
  <c r="O22" i="165"/>
  <c r="J23" i="165"/>
  <c r="J48" i="165"/>
  <c r="E215" i="165"/>
  <c r="O369" i="165"/>
  <c r="P338" i="165"/>
  <c r="Q338" i="165" s="1"/>
  <c r="G64" i="167"/>
  <c r="E22" i="165"/>
  <c r="J196" i="165"/>
  <c r="P59" i="165"/>
  <c r="E107" i="165"/>
  <c r="P227" i="165"/>
  <c r="I195" i="167"/>
  <c r="G195" i="167" s="1"/>
  <c r="P237" i="165"/>
  <c r="P201" i="165"/>
  <c r="P225" i="165"/>
  <c r="P405" i="165"/>
  <c r="P37" i="165"/>
  <c r="P113" i="165"/>
  <c r="J236" i="165"/>
  <c r="O193" i="165"/>
  <c r="J17" i="165"/>
  <c r="P115" i="165"/>
  <c r="P216" i="165"/>
  <c r="P419" i="165"/>
  <c r="P413" i="165"/>
  <c r="J418" i="165"/>
  <c r="E236" i="165"/>
  <c r="P376" i="165"/>
  <c r="K40" i="167"/>
  <c r="G40" i="167"/>
  <c r="P62" i="165"/>
  <c r="P65" i="165"/>
  <c r="G78" i="167"/>
  <c r="K76" i="167"/>
  <c r="G76" i="167"/>
  <c r="K29" i="167"/>
  <c r="P232" i="165"/>
  <c r="P222" i="165"/>
  <c r="O215" i="165"/>
  <c r="J218" i="165"/>
  <c r="J107" i="165"/>
  <c r="J194" i="165"/>
  <c r="P117" i="165"/>
  <c r="P40" i="165"/>
  <c r="P39" i="165" s="1"/>
  <c r="G32" i="167"/>
  <c r="J101" i="167"/>
  <c r="M101" i="167" s="1"/>
  <c r="H278" i="167"/>
  <c r="H169" i="167"/>
  <c r="G192" i="167"/>
  <c r="J15" i="167"/>
  <c r="G115" i="167"/>
  <c r="I289" i="167"/>
  <c r="G289" i="167" s="1"/>
  <c r="P58" i="165"/>
  <c r="G117" i="167"/>
  <c r="I284" i="167"/>
  <c r="P49" i="165"/>
  <c r="G109" i="167"/>
  <c r="G305" i="167"/>
  <c r="G33" i="167"/>
  <c r="P195" i="165"/>
  <c r="G147" i="167"/>
  <c r="G41" i="167"/>
  <c r="F102" i="170" s="1"/>
  <c r="G114" i="167"/>
  <c r="G148" i="167"/>
  <c r="G203" i="167"/>
  <c r="G197" i="167"/>
  <c r="M55" i="167"/>
  <c r="P18" i="165"/>
  <c r="G155" i="167"/>
  <c r="G201" i="167"/>
  <c r="G206" i="167"/>
  <c r="I337" i="167"/>
  <c r="L337" i="167" s="1"/>
  <c r="I299" i="167"/>
  <c r="L299" i="167" s="1"/>
  <c r="G301" i="167"/>
  <c r="G300" i="167" s="1"/>
  <c r="P24" i="165"/>
  <c r="L432" i="165"/>
  <c r="I330" i="167"/>
  <c r="L330" i="167" s="1"/>
  <c r="G337" i="167"/>
  <c r="P220" i="165"/>
  <c r="I290" i="167"/>
  <c r="G290" i="167" s="1"/>
  <c r="G163" i="167"/>
  <c r="I29" i="167"/>
  <c r="I16" i="167" s="1"/>
  <c r="P130" i="165"/>
  <c r="I295" i="167"/>
  <c r="G295" i="167" s="1"/>
  <c r="G432" i="165"/>
  <c r="G330" i="167"/>
  <c r="P108" i="165"/>
  <c r="J337" i="165"/>
  <c r="E132" i="165"/>
  <c r="O132" i="165"/>
  <c r="J133" i="165"/>
  <c r="H305" i="167"/>
  <c r="E346" i="165"/>
  <c r="E384" i="165"/>
  <c r="J394" i="165"/>
  <c r="P395" i="165"/>
  <c r="Q395" i="165" s="1"/>
  <c r="H126" i="167"/>
  <c r="K126" i="167" s="1"/>
  <c r="D104" i="170" l="1"/>
  <c r="E104" i="170" s="1"/>
  <c r="D103" i="170"/>
  <c r="E103" i="170" s="1"/>
  <c r="J46" i="165"/>
  <c r="I279" i="167"/>
  <c r="L279" i="167" s="1"/>
  <c r="G70" i="167"/>
  <c r="P221" i="165"/>
  <c r="O366" i="165"/>
  <c r="O365" i="165" s="1"/>
  <c r="E45" i="165"/>
  <c r="O192" i="165"/>
  <c r="E192" i="165"/>
  <c r="E103" i="165"/>
  <c r="J45" i="165"/>
  <c r="J44" i="165" s="1"/>
  <c r="O103" i="165"/>
  <c r="J404" i="165"/>
  <c r="J403" i="165" s="1"/>
  <c r="P33" i="165"/>
  <c r="J369" i="165"/>
  <c r="G106" i="167"/>
  <c r="G102" i="167" s="1"/>
  <c r="O214" i="165"/>
  <c r="O213" i="165" s="1"/>
  <c r="E214" i="165"/>
  <c r="E213" i="165" s="1"/>
  <c r="J122" i="165"/>
  <c r="J132" i="165"/>
  <c r="P133" i="165"/>
  <c r="Q133" i="165" s="1"/>
  <c r="O16" i="165"/>
  <c r="I56" i="167"/>
  <c r="I55" i="167" s="1"/>
  <c r="O44" i="165"/>
  <c r="P48" i="165"/>
  <c r="P23" i="165"/>
  <c r="E369" i="165"/>
  <c r="P196" i="165"/>
  <c r="G36" i="108"/>
  <c r="G60" i="167"/>
  <c r="K169" i="167"/>
  <c r="E16" i="165"/>
  <c r="K15" i="167" s="1"/>
  <c r="J193" i="165"/>
  <c r="P372" i="165"/>
  <c r="P17" i="165"/>
  <c r="J22" i="165"/>
  <c r="J215" i="165"/>
  <c r="P194" i="165"/>
  <c r="P418" i="165"/>
  <c r="P218" i="165"/>
  <c r="O403" i="165"/>
  <c r="P236" i="165"/>
  <c r="H55" i="167"/>
  <c r="G171" i="167"/>
  <c r="G170" i="167" s="1"/>
  <c r="P107" i="165"/>
  <c r="H101" i="167"/>
  <c r="G299" i="167"/>
  <c r="G284" i="167"/>
  <c r="G279" i="167" s="1"/>
  <c r="H15" i="167"/>
  <c r="I305" i="167"/>
  <c r="L29" i="167"/>
  <c r="J289" i="167"/>
  <c r="I169" i="167"/>
  <c r="G29" i="167"/>
  <c r="G16" i="167" s="1"/>
  <c r="I126" i="167"/>
  <c r="L126" i="167" s="1"/>
  <c r="G133" i="167"/>
  <c r="G127" i="167" s="1"/>
  <c r="J290" i="167"/>
  <c r="P384" i="165"/>
  <c r="P394" i="165"/>
  <c r="P337" i="165"/>
  <c r="P346" i="165"/>
  <c r="O421" i="165" l="1"/>
  <c r="K101" i="167"/>
  <c r="P46" i="165"/>
  <c r="E102" i="170"/>
  <c r="J279" i="167"/>
  <c r="M279" i="167" s="1"/>
  <c r="G56" i="167"/>
  <c r="G55" i="167" s="1"/>
  <c r="L55" i="167"/>
  <c r="J16" i="165"/>
  <c r="L15" i="167" s="1"/>
  <c r="J366" i="165"/>
  <c r="J365" i="165" s="1"/>
  <c r="L317" i="167" s="1"/>
  <c r="E366" i="165"/>
  <c r="E365" i="165" s="1"/>
  <c r="K317" i="167" s="1"/>
  <c r="E102" i="165"/>
  <c r="P45" i="165"/>
  <c r="Q45" i="165" s="1"/>
  <c r="P193" i="165"/>
  <c r="Q193" i="165" s="1"/>
  <c r="J103" i="165"/>
  <c r="P122" i="165"/>
  <c r="O15" i="165"/>
  <c r="P369" i="165"/>
  <c r="K55" i="167"/>
  <c r="J192" i="165"/>
  <c r="L169" i="167"/>
  <c r="E44" i="165"/>
  <c r="J214" i="165"/>
  <c r="P214" i="165" s="1"/>
  <c r="Q214" i="165" s="1"/>
  <c r="E15" i="165"/>
  <c r="P215" i="165"/>
  <c r="P22" i="165"/>
  <c r="O102" i="165"/>
  <c r="G169" i="167"/>
  <c r="I101" i="167"/>
  <c r="G101" i="167"/>
  <c r="G15" i="167"/>
  <c r="I278" i="167"/>
  <c r="G126" i="167"/>
  <c r="I15" i="167"/>
  <c r="P132" i="165"/>
  <c r="L101" i="167" l="1"/>
  <c r="J349" i="167"/>
  <c r="N342" i="167" s="1"/>
  <c r="J15" i="165"/>
  <c r="P192" i="165"/>
  <c r="P16" i="165"/>
  <c r="Q16" i="165" s="1"/>
  <c r="P366" i="165"/>
  <c r="Q366" i="165" s="1"/>
  <c r="P44" i="165"/>
  <c r="P103" i="165"/>
  <c r="Q103" i="165" s="1"/>
  <c r="J213" i="165"/>
  <c r="P213" i="165"/>
  <c r="J102" i="165"/>
  <c r="J421" i="165"/>
  <c r="G278" i="167"/>
  <c r="J278" i="167"/>
  <c r="L349" i="167" l="1"/>
  <c r="P15" i="165"/>
  <c r="P365" i="165"/>
  <c r="P102" i="165"/>
  <c r="I210" i="167" l="1"/>
  <c r="I191" i="167" s="1"/>
  <c r="I349" i="167" s="1"/>
  <c r="M342" i="167" s="1"/>
  <c r="G210" i="167" l="1"/>
  <c r="G191" i="167" l="1"/>
  <c r="I190" i="167"/>
  <c r="G190" i="167" l="1"/>
  <c r="M19" i="107"/>
  <c r="O19" i="107"/>
  <c r="Q19" i="107" l="1"/>
  <c r="G149" i="107" l="1"/>
  <c r="F140" i="108"/>
  <c r="G148" i="107"/>
  <c r="F139" i="108"/>
  <c r="G146" i="107"/>
  <c r="F137" i="108"/>
  <c r="F138" i="108"/>
  <c r="G147" i="107"/>
  <c r="G144" i="107"/>
  <c r="F135" i="108"/>
  <c r="G145" i="107"/>
  <c r="F136" i="108"/>
  <c r="G142" i="107"/>
  <c r="F133" i="108"/>
  <c r="G141" i="107"/>
  <c r="F132" i="108"/>
  <c r="G140" i="107"/>
  <c r="F131" i="108"/>
  <c r="G139" i="107"/>
  <c r="F130" i="108"/>
  <c r="G138" i="107"/>
  <c r="F129" i="108"/>
  <c r="G137" i="107"/>
  <c r="F128" i="108"/>
  <c r="G136" i="107"/>
  <c r="F127" i="108"/>
  <c r="G135" i="107"/>
  <c r="F126" i="108"/>
  <c r="G134" i="107"/>
  <c r="F125" i="108"/>
  <c r="G133" i="107"/>
  <c r="F124" i="108"/>
  <c r="G132" i="107"/>
  <c r="F123" i="108"/>
  <c r="G130" i="107"/>
  <c r="F121" i="108"/>
  <c r="G90" i="107"/>
  <c r="G88" i="107"/>
  <c r="G87" i="107"/>
  <c r="G86" i="107"/>
  <c r="G85" i="107"/>
  <c r="G83" i="107"/>
  <c r="G82" i="107"/>
  <c r="G81" i="107"/>
  <c r="G80" i="107"/>
  <c r="G79" i="107"/>
  <c r="G78" i="107"/>
  <c r="G77" i="107"/>
  <c r="G76" i="107"/>
  <c r="G75" i="107"/>
  <c r="G74" i="107"/>
  <c r="G73" i="107"/>
  <c r="G72" i="107"/>
  <c r="G71" i="107"/>
  <c r="G70" i="107"/>
  <c r="G69" i="107"/>
  <c r="G68" i="107"/>
  <c r="G67" i="107"/>
  <c r="G66" i="107"/>
  <c r="G65" i="107"/>
  <c r="G63" i="107"/>
  <c r="G18" i="107"/>
  <c r="G157" i="107"/>
  <c r="F149" i="108"/>
  <c r="K176" i="107"/>
  <c r="J168" i="108"/>
  <c r="J142" i="108" l="1"/>
  <c r="G16" i="107"/>
  <c r="G15" i="107" s="1"/>
  <c r="G14" i="107" s="1"/>
  <c r="G13" i="107"/>
  <c r="G12" i="107" s="1"/>
  <c r="G28" i="107" s="1"/>
  <c r="O18" i="107"/>
  <c r="K12" i="107"/>
  <c r="K28" i="107" s="1"/>
  <c r="L12" i="107"/>
  <c r="L28" i="107" s="1"/>
  <c r="J12" i="107"/>
  <c r="J28" i="107" s="1"/>
  <c r="H12" i="107"/>
  <c r="H28" i="107" s="1"/>
  <c r="O17" i="107"/>
  <c r="N17" i="107"/>
  <c r="M17" i="107"/>
  <c r="K435" i="165" l="1"/>
  <c r="O16" i="107"/>
  <c r="O15" i="107" s="1"/>
  <c r="O14" i="107" s="1"/>
  <c r="L190" i="167"/>
  <c r="M190" i="167"/>
  <c r="O13" i="107"/>
  <c r="O12" i="107" s="1"/>
  <c r="O28" i="107" s="1"/>
  <c r="Q17" i="107"/>
  <c r="O435" i="165" l="1"/>
  <c r="J435" i="165"/>
  <c r="J432" i="165"/>
  <c r="K432" i="165"/>
  <c r="O432" i="165"/>
  <c r="N18" i="107"/>
  <c r="J433" i="165" l="1"/>
  <c r="N16" i="107"/>
  <c r="N15" i="107" s="1"/>
  <c r="N14" i="107" s="1"/>
  <c r="N13" i="107"/>
  <c r="N12" i="107" s="1"/>
  <c r="N28" i="107" s="1"/>
  <c r="F12" i="107"/>
  <c r="K190" i="167" l="1"/>
  <c r="F28" i="107"/>
  <c r="D24" i="108"/>
  <c r="E36" i="108" l="1"/>
  <c r="I142" i="108" s="1"/>
  <c r="E24" i="108"/>
  <c r="E423" i="165"/>
  <c r="M18" i="107"/>
  <c r="Q18" i="107" s="1"/>
  <c r="M13" i="107" l="1"/>
  <c r="M12" i="107" s="1"/>
  <c r="M28" i="107" s="1"/>
  <c r="M16" i="107"/>
  <c r="M15" i="107" s="1"/>
  <c r="M14" i="107" s="1"/>
  <c r="Q16" i="107"/>
  <c r="Q15" i="107" s="1"/>
  <c r="Q14" i="107" s="1"/>
  <c r="Q13" i="107" l="1"/>
  <c r="Q12" i="107" s="1"/>
  <c r="Q28" i="107" s="1"/>
  <c r="R28" i="107" l="1"/>
  <c r="Q423" i="165"/>
  <c r="E412" i="165"/>
  <c r="H347" i="167" s="1"/>
  <c r="G347" i="167" l="1"/>
  <c r="G344" i="167" s="1"/>
  <c r="H344" i="167"/>
  <c r="E411" i="165"/>
  <c r="P412" i="165"/>
  <c r="F403" i="165"/>
  <c r="H343" i="167" l="1"/>
  <c r="H349" i="167"/>
  <c r="L342" i="167" s="1"/>
  <c r="G343" i="167"/>
  <c r="G349" i="167"/>
  <c r="K342" i="167" s="1"/>
  <c r="E404" i="165"/>
  <c r="P411" i="165"/>
  <c r="K349" i="167" l="1"/>
  <c r="E421" i="165"/>
  <c r="P404" i="165"/>
  <c r="Q404" i="165" s="1"/>
  <c r="E403" i="165"/>
  <c r="F432" i="165"/>
  <c r="D29" i="172" l="1"/>
  <c r="D25" i="172" s="1"/>
  <c r="D15" i="172" s="1"/>
  <c r="D34" i="172" s="1"/>
  <c r="E435" i="165"/>
  <c r="F435" i="165"/>
  <c r="F433" i="165"/>
  <c r="P403" i="165"/>
  <c r="P421" i="165"/>
  <c r="Q421" i="165" s="1"/>
  <c r="E432" i="165"/>
  <c r="E433" i="165"/>
  <c r="E29" i="172" l="1"/>
  <c r="G29" i="172" s="1"/>
  <c r="P432" i="165"/>
  <c r="P433" i="165"/>
  <c r="D58" i="172"/>
  <c r="D56" i="170"/>
  <c r="E56" i="170" s="1"/>
  <c r="E25" i="172" l="1"/>
  <c r="D54" i="172"/>
  <c r="C29" i="172"/>
  <c r="C25" i="172" s="1"/>
  <c r="F29" i="172"/>
  <c r="F25" i="172" s="1"/>
  <c r="E58" i="172"/>
  <c r="D48" i="172" l="1"/>
  <c r="D59" i="172" s="1"/>
  <c r="C15" i="172"/>
  <c r="C34" i="172" s="1"/>
  <c r="F15" i="172"/>
  <c r="F34" i="172" s="1"/>
  <c r="E15" i="172"/>
  <c r="E54" i="172"/>
  <c r="F58" i="172"/>
  <c r="F54" i="172" s="1"/>
  <c r="G25" i="172"/>
  <c r="C58" i="172"/>
  <c r="C54" i="172" s="1"/>
  <c r="E65" i="170"/>
  <c r="D51" i="170"/>
  <c r="D64" i="170" s="1"/>
  <c r="E34" i="172" l="1"/>
  <c r="G15" i="172"/>
  <c r="E48" i="172"/>
  <c r="E59" i="172" s="1"/>
  <c r="F48" i="172"/>
  <c r="F59" i="172" s="1"/>
  <c r="C48" i="172"/>
  <c r="C59" i="172" s="1"/>
  <c r="D30" i="170"/>
  <c r="E30" i="170" s="1"/>
  <c r="D63" i="170"/>
  <c r="F30" i="170" l="1"/>
  <c r="E63" i="170"/>
  <c r="E64" i="170"/>
  <c r="E78" i="170"/>
</calcChain>
</file>

<file path=xl/sharedStrings.xml><?xml version="1.0" encoding="utf-8"?>
<sst xmlns="http://schemas.openxmlformats.org/spreadsheetml/2006/main" count="4433" uniqueCount="1589">
  <si>
    <t>Департамент освіти та науки Хмельницької міської ради (головний розпорядник)</t>
  </si>
  <si>
    <t>Департамент освіти та науки Хмельницької міської ради (відповідальний виконавець)</t>
  </si>
  <si>
    <t>1</t>
  </si>
  <si>
    <t>2</t>
  </si>
  <si>
    <t>Проведення навчально-тренувальних зборів і змагань з неолімпійських видів спорту</t>
  </si>
  <si>
    <t>4</t>
  </si>
  <si>
    <t>Надання пільг окремим категоріям громадян з оплати послуг зв'язку</t>
  </si>
  <si>
    <t>Компенсаційні виплати на пільговий проїзд автомобільним транспортом окремим категоріям громадян</t>
  </si>
  <si>
    <t>Компенсаційні виплати за пільговий проїзд окремих категорій громадян на залізничному транспорті</t>
  </si>
  <si>
    <t>Компенсаційні виплати на пільговий проїзд електротранспортом окремим категоріям громадян</t>
  </si>
  <si>
    <t>Утримання клубів для підлітків за місцем проживання</t>
  </si>
  <si>
    <t>Разом</t>
  </si>
  <si>
    <t>Загальний фонд</t>
  </si>
  <si>
    <t>з них</t>
  </si>
  <si>
    <t>3</t>
  </si>
  <si>
    <t>комунальні послуги та енергоносії</t>
  </si>
  <si>
    <t>Код ФКВКБ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</si>
  <si>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</si>
  <si>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Управління охорони здоров'я Хмельницької міської ради (головний розпорядник)</t>
  </si>
  <si>
    <t>Багатопрофільна стаціонарна медична допомога населенню</t>
  </si>
  <si>
    <t>Код ТПКВКМБ /
ТКВКБМС</t>
  </si>
  <si>
    <t>1110000</t>
  </si>
  <si>
    <t>1100000</t>
  </si>
  <si>
    <t>Управління молоді та спорту Хмельницької міської ради (головний розпорядник)</t>
  </si>
  <si>
    <t>Управління культури і туризму Хмельницької міської ради (головний розпорядник)</t>
  </si>
  <si>
    <t>1500000</t>
  </si>
  <si>
    <t>1510000</t>
  </si>
  <si>
    <t>Фінансове управління Хмельницької міської ради (головний розпорядник)</t>
  </si>
  <si>
    <t>1115031</t>
  </si>
  <si>
    <t>1115032</t>
  </si>
  <si>
    <t>1115061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</si>
  <si>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</si>
  <si>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1115063</t>
  </si>
  <si>
    <t>Забезпечення діяльності централізованої бухгалтерії</t>
  </si>
  <si>
    <t>Внески до статутного капіталу суб’єктів господарювання</t>
  </si>
  <si>
    <t>Управління молоді та спорту Хмельницької міської ради (відповідальний виконавець)</t>
  </si>
  <si>
    <t>Управління охорони здоров'я Хмельницької міської ради (відповідальний виконавець)</t>
  </si>
  <si>
    <t>Управління праці та соціального захисту населення Хмельницької міської ради (головний розпорядник)</t>
  </si>
  <si>
    <t>Управління праці та соціального захисту населення Хмельницької міської ради (відповідальний виконавець)</t>
  </si>
  <si>
    <t>Управління культури і туризму Хмельницької міської ради (відповідальний виконавець)</t>
  </si>
  <si>
    <t>Фінансове управління Хмельницької міської ради (відповідальний виконавець)</t>
  </si>
  <si>
    <t>Заходи з енергозбереження</t>
  </si>
  <si>
    <t>0133</t>
  </si>
  <si>
    <t>0180</t>
  </si>
  <si>
    <t>1115011</t>
  </si>
  <si>
    <t>Проведення навчально-тренувальних зборів і змагань з олімпійських видів спорту</t>
  </si>
  <si>
    <t>1115012</t>
  </si>
  <si>
    <t>1115022</t>
  </si>
  <si>
    <t>Утримання та навчально-тренувальна робота комунальних дитячо-юнацьких спортивних шкіл</t>
  </si>
  <si>
    <t>Фінансова підтримка дитячо-юнацьких спортивних шкіл фізкультурно-спортивних товариств</t>
  </si>
  <si>
    <t>1060</t>
  </si>
  <si>
    <t>0540</t>
  </si>
  <si>
    <t>Спеціальний фонд</t>
  </si>
  <si>
    <t>видатки споживання</t>
  </si>
  <si>
    <t>оплата праці</t>
  </si>
  <si>
    <t>видатки розвитку</t>
  </si>
  <si>
    <t>Додаток 1</t>
  </si>
  <si>
    <t>Код</t>
  </si>
  <si>
    <t>Податкові надходження</t>
  </si>
  <si>
    <t>Податки на доходи, податки на прибуток, податки на збільшення ринкової вартості</t>
  </si>
  <si>
    <t xml:space="preserve">Податок на доходи фізичних осіб </t>
  </si>
  <si>
    <t xml:space="preserve">Податок на  доходи фізичних осіб, що сплачуються податковими агентами, із доходів платника податку у вигляді заробітної плати </t>
  </si>
  <si>
    <t xml:space="preserve">Податок на  доходи 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 </t>
  </si>
  <si>
    <t xml:space="preserve">Податок на доходи фізичних осіб, що сплачується податковими агентами, із доходів платника податку інших ніж заробітна плата </t>
  </si>
  <si>
    <t xml:space="preserve">Податок на доходи доходів фізичних осіб, що сплачуються фізичними особами за результатами річного декларування </t>
  </si>
  <si>
    <t>Податок на прибуток підприємств</t>
  </si>
  <si>
    <t xml:space="preserve"> Податок на прибуток підприємств та фінансових установ комунальної власності </t>
  </si>
  <si>
    <t>Місцеві  податки і збори</t>
  </si>
  <si>
    <t>Податок на майно</t>
  </si>
  <si>
    <t xml:space="preserve">Податок на нерухоме майно, відмінне від земельної ділянки, сплачений юридичними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</si>
  <si>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</si>
  <si>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нежитлової нерухомості   </t>
  </si>
  <si>
    <t xml:space="preserve">Податок на нерухоме майно, відмінне від земельної ділянки, сплачений юридичними особами, які є власниками об"єктів нежитлової нерухомості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</si>
  <si>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</si>
  <si>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</si>
  <si>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</si>
  <si>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</si>
  <si>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 осіб</t>
  </si>
  <si>
    <t>Транспортний податок з юридичних осіб</t>
  </si>
  <si>
    <t xml:space="preserve">Туристичний збір </t>
  </si>
  <si>
    <t xml:space="preserve">Туристичний збір, сплачений юридичними особами  </t>
  </si>
  <si>
    <t xml:space="preserve">Туристичний збір, сплачений фізичними особами  </t>
  </si>
  <si>
    <t xml:space="preserve">Єдиний податок  </t>
  </si>
  <si>
    <t>Єдиний податок  з фізичних осіб</t>
  </si>
  <si>
    <t xml:space="preserve">Екологічний податок </t>
  </si>
  <si>
    <t>Неподаткові надходження</t>
  </si>
  <si>
    <t xml:space="preserve">Плата за розміщення тимчасово вільних коштів 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</si>
  <si>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</si>
  <si>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</si>
  <si>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 xml:space="preserve">Адміністративний збір за державну реєстрацію речових прав на нерухоме майно та їх обтяжень </t>
  </si>
  <si>
    <t xml:space="preserve">Плата за надання інших адміністративних послуг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</si>
  <si>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</t>
  </si>
  <si>
    <t xml:space="preserve">Державне мито 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</si>
  <si>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</si>
  <si>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</si>
  <si>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</si>
  <si>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 xml:space="preserve">Інші надходження </t>
  </si>
  <si>
    <t xml:space="preserve">Надходження коштів пайової участі у розвитку інфраструктури населеного пункту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</si>
  <si>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</si>
  <si>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</si>
  <si>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</si>
  <si>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 діяльності</t>
  </si>
  <si>
    <t>Плата за оренду майна бюджетних установ</t>
  </si>
  <si>
    <t>Надходження  бюджетних установ від реалізації в установленому порядку майна (крім нерухомого майна)</t>
  </si>
  <si>
    <t>Доходи від операцій з капіталом</t>
  </si>
  <si>
    <t>Надходження від продажу основного капіталу</t>
  </si>
  <si>
    <t xml:space="preserve">Кошти від реалізації безхазяйного майна,знахідок,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</t>
  </si>
  <si>
    <t xml:space="preserve">Кошти  від відчуження майна, яке належить  Автономній Республіці Крим та майна, що знаходиться у комунальній власності </t>
  </si>
  <si>
    <t>Надходження від продажу землі і нематеріальних активів</t>
  </si>
  <si>
    <t xml:space="preserve">Кошти від продажу землі </t>
  </si>
  <si>
    <t>Кошти від продажу прав на земельні ділянки несільськогосподарського призначення, що перебувають у державній або комунальній власності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</si>
  <si>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</t>
  </si>
  <si>
    <t xml:space="preserve">Субвенції  </t>
  </si>
  <si>
    <t xml:space="preserve">Освітня субвенція з державного бюджету місцевим бюджетам </t>
  </si>
  <si>
    <t>Додаток 2</t>
  </si>
  <si>
    <t>200000</t>
  </si>
  <si>
    <t>Внутрішнє фінансування</t>
  </si>
  <si>
    <t>208100</t>
  </si>
  <si>
    <t>На початок періоду</t>
  </si>
  <si>
    <t>Передача коштів із загального до бюджету розвитку (спеціального фонду)</t>
  </si>
  <si>
    <t xml:space="preserve">Фінансування за борговими операціями </t>
  </si>
  <si>
    <t xml:space="preserve">Запозичення </t>
  </si>
  <si>
    <t>600000</t>
  </si>
  <si>
    <t>Фінансування за активними операціями</t>
  </si>
  <si>
    <t>Надання кредитів</t>
  </si>
  <si>
    <t>Повернення кредитів</t>
  </si>
  <si>
    <t>Хмельницької міської ради</t>
  </si>
  <si>
    <t xml:space="preserve">Пункти Положення </t>
  </si>
  <si>
    <t>Джерела доходів</t>
  </si>
  <si>
    <t>2.1.1.</t>
  </si>
  <si>
    <t>Кошти за надлишки загальної житлової площі при приватизації державного житлового фонду</t>
  </si>
  <si>
    <t>2.1.2.</t>
  </si>
  <si>
    <t>Кошти за тимчасове користування місцями для розміщення зовнішньої реклами</t>
  </si>
  <si>
    <t>2.1.3.</t>
  </si>
  <si>
    <t>2.1.5.</t>
  </si>
  <si>
    <t xml:space="preserve">Надходження плати за виготовлення бланків і видачу свідоцтв про право власності на житлове (житлові) приміщення у гуртожитку </t>
  </si>
  <si>
    <t xml:space="preserve">Всього по джерелах доходів : </t>
  </si>
  <si>
    <t>Видатки</t>
  </si>
  <si>
    <t>3.2.1.</t>
  </si>
  <si>
    <t>Фінансове забезпечення проведення міських заходів виконавчим комітетом Хмельницької міської ради та управліннями і відділами міської ради</t>
  </si>
  <si>
    <t>3.2.3.</t>
  </si>
  <si>
    <t>Матеріальне забезпечення проведення сесій міської ради, депутатських днів та інших організаційних заходів з діяльності депутатів міської ради</t>
  </si>
  <si>
    <t>3.2.5.</t>
  </si>
  <si>
    <t>3.2.6.</t>
  </si>
  <si>
    <t>Виплата винагороди головам квартальних комітетів</t>
  </si>
  <si>
    <t>3.2.7.</t>
  </si>
  <si>
    <t>Здійснення заходів з приватизації, відчуження та передачі в оренду майна комунальної власності</t>
  </si>
  <si>
    <t>Адміністративний збір з проведення державної реєстрації юридичних осіб, фізичних осіб - підприємців та громадських формувань</t>
  </si>
  <si>
    <t>0200000</t>
  </si>
  <si>
    <t>0210000</t>
  </si>
  <si>
    <t>Виконавчий комітет Хмельницької міської ради (головний розпорядник)</t>
  </si>
  <si>
    <t>Виконавчий комітет Хмельницької міської ради  (відповідальний виконавець)</t>
  </si>
  <si>
    <t>0600000</t>
  </si>
  <si>
    <t>0610000</t>
  </si>
  <si>
    <t>0700000</t>
  </si>
  <si>
    <t>0710000</t>
  </si>
  <si>
    <t>0800000</t>
  </si>
  <si>
    <t>0810000</t>
  </si>
  <si>
    <t>1200000</t>
  </si>
  <si>
    <t>1210000</t>
  </si>
  <si>
    <t>1600000</t>
  </si>
  <si>
    <t>1610000</t>
  </si>
  <si>
    <t>3600000</t>
  </si>
  <si>
    <t>3610000</t>
  </si>
  <si>
    <t>2800000</t>
  </si>
  <si>
    <t>2810000</t>
  </si>
  <si>
    <t>2700000</t>
  </si>
  <si>
    <t>2710000</t>
  </si>
  <si>
    <t>3700000</t>
  </si>
  <si>
    <t>3710000</t>
  </si>
  <si>
    <t>0490</t>
  </si>
  <si>
    <t>4060</t>
  </si>
  <si>
    <t>1014030</t>
  </si>
  <si>
    <t>4030</t>
  </si>
  <si>
    <t>0824</t>
  </si>
  <si>
    <t>Забезпечення діяльності бібліотек</t>
  </si>
  <si>
    <t>1014040</t>
  </si>
  <si>
    <t>4040</t>
  </si>
  <si>
    <t>1014060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</si>
  <si>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</si>
  <si>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</si>
  <si>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0960</t>
  </si>
  <si>
    <t>0829</t>
  </si>
  <si>
    <t>1113121</t>
  </si>
  <si>
    <t>3121</t>
  </si>
  <si>
    <t>1040</t>
  </si>
  <si>
    <t>5011</t>
  </si>
  <si>
    <t>5012</t>
  </si>
  <si>
    <t>5022</t>
  </si>
  <si>
    <t>1113132</t>
  </si>
  <si>
    <t>3132</t>
  </si>
  <si>
    <t>1090</t>
  </si>
  <si>
    <t>5031</t>
  </si>
  <si>
    <t>5032</t>
  </si>
  <si>
    <t>5061</t>
  </si>
  <si>
    <t>0810</t>
  </si>
  <si>
    <t>5063</t>
  </si>
  <si>
    <t>7670</t>
  </si>
  <si>
    <t>0611010</t>
  </si>
  <si>
    <t>1010</t>
  </si>
  <si>
    <t>1020</t>
  </si>
  <si>
    <t>0910</t>
  </si>
  <si>
    <t>Надання дошкільної освіти</t>
  </si>
  <si>
    <t>0611020</t>
  </si>
  <si>
    <t>0921</t>
  </si>
  <si>
    <t>1030</t>
  </si>
  <si>
    <t>1070</t>
  </si>
  <si>
    <t>0922</t>
  </si>
  <si>
    <t>0611090</t>
  </si>
  <si>
    <t>0930</t>
  </si>
  <si>
    <t>0990</t>
  </si>
  <si>
    <t>2010</t>
  </si>
  <si>
    <t>7640</t>
  </si>
  <si>
    <t>0470</t>
  </si>
  <si>
    <t>0712010</t>
  </si>
  <si>
    <t>0731</t>
  </si>
  <si>
    <t>0712030</t>
  </si>
  <si>
    <t>2030</t>
  </si>
  <si>
    <t>0733</t>
  </si>
  <si>
    <t>Лікарсько-акушерська допомога вагітним, породіллям та новонародженим</t>
  </si>
  <si>
    <t>0712080</t>
  </si>
  <si>
    <t>2080</t>
  </si>
  <si>
    <t>0721</t>
  </si>
  <si>
    <t>0712100</t>
  </si>
  <si>
    <t>2100</t>
  </si>
  <si>
    <t>0722</t>
  </si>
  <si>
    <t>Стоматологічна допомога населенню</t>
  </si>
  <si>
    <t>0712111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</si>
  <si>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</si>
  <si>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</si>
  <si>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0763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</si>
  <si>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</si>
  <si>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0210150</t>
  </si>
  <si>
    <t>0150</t>
  </si>
  <si>
    <t>0111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</si>
  <si>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</si>
  <si>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</si>
  <si>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Реалізація Національної програми інформатизації</t>
  </si>
  <si>
    <t>0217520</t>
  </si>
  <si>
    <t>7520</t>
  </si>
  <si>
    <t>0460</t>
  </si>
  <si>
    <t>0218410</t>
  </si>
  <si>
    <t>8410</t>
  </si>
  <si>
    <t>0830</t>
  </si>
  <si>
    <t>Фінансова підтримка засобів масової інформації</t>
  </si>
  <si>
    <t>0219710</t>
  </si>
  <si>
    <t>9710</t>
  </si>
  <si>
    <t>0210180</t>
  </si>
  <si>
    <t>Інша діяльність у сфері державного управління</t>
  </si>
  <si>
    <t>Заходи з організації рятування на водах</t>
  </si>
  <si>
    <t>8120</t>
  </si>
  <si>
    <t>0320</t>
  </si>
  <si>
    <t>2717630</t>
  </si>
  <si>
    <t>Реалізація програм і заходів в галузі зовнішньоекономічної діяльності</t>
  </si>
  <si>
    <t>7630</t>
  </si>
  <si>
    <t>Інші заходи, пов'язані з економічною діяльністю</t>
  </si>
  <si>
    <t>2717693</t>
  </si>
  <si>
    <t>7693</t>
  </si>
  <si>
    <t>Сприяння розвитку малого та середнього підприємництва</t>
  </si>
  <si>
    <t>0411</t>
  </si>
  <si>
    <t>2717610</t>
  </si>
  <si>
    <t>7610</t>
  </si>
  <si>
    <t>Реалізація інших заходів щодо соціально-економічного розвитку територій</t>
  </si>
  <si>
    <t>0813160</t>
  </si>
  <si>
    <t>3160</t>
  </si>
  <si>
    <t>3104</t>
  </si>
  <si>
    <t>3105</t>
  </si>
  <si>
    <t>0813104</t>
  </si>
  <si>
    <t>0813105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</si>
  <si>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</si>
  <si>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</si>
  <si>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</si>
  <si>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</si>
  <si>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</si>
  <si>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3035</t>
  </si>
  <si>
    <t>0813033</t>
  </si>
  <si>
    <t>3033</t>
  </si>
  <si>
    <t>0813035</t>
  </si>
  <si>
    <t>0813036</t>
  </si>
  <si>
    <t>3036</t>
  </si>
  <si>
    <t>1216011</t>
  </si>
  <si>
    <t>6011</t>
  </si>
  <si>
    <t>Експлуатація та технічне обслуговування житлового фонду</t>
  </si>
  <si>
    <t>0620</t>
  </si>
  <si>
    <t>1216017</t>
  </si>
  <si>
    <t>6017</t>
  </si>
  <si>
    <t>6013</t>
  </si>
  <si>
    <t>Забезпечення діяльності водопровідно-каналізаційного господарства</t>
  </si>
  <si>
    <t>1216030</t>
  </si>
  <si>
    <t>6030</t>
  </si>
  <si>
    <t>Організація благоустрою населених пунктів</t>
  </si>
  <si>
    <t>7426</t>
  </si>
  <si>
    <t>Інші заходи у сфері електротранспорту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</si>
  <si>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</si>
  <si>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</si>
  <si>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0456</t>
  </si>
  <si>
    <t>1217640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</si>
  <si>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</si>
  <si>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</si>
  <si>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0217680</t>
  </si>
  <si>
    <t>7680</t>
  </si>
  <si>
    <t>1216015</t>
  </si>
  <si>
    <t>6015</t>
  </si>
  <si>
    <t>Забезпечення надійної та безперебійної експлуатації ліфтів</t>
  </si>
  <si>
    <t>0443</t>
  </si>
  <si>
    <t>7310</t>
  </si>
  <si>
    <t>3617130</t>
  </si>
  <si>
    <t>7130</t>
  </si>
  <si>
    <t>0421</t>
  </si>
  <si>
    <t>Будівництвоˈ  освітніх установ та закладів</t>
  </si>
  <si>
    <t>1517321</t>
  </si>
  <si>
    <t>7321</t>
  </si>
  <si>
    <t>1517325</t>
  </si>
  <si>
    <t>7325</t>
  </si>
  <si>
    <t>1517330</t>
  </si>
  <si>
    <t>7330</t>
  </si>
  <si>
    <t>№ п/п</t>
  </si>
  <si>
    <t>Код КПКВ</t>
  </si>
  <si>
    <t>Заходи, на які виділяються кошти</t>
  </si>
  <si>
    <t>Забезпечення діяльності інших закладів у сфері охорони здоров’я</t>
  </si>
  <si>
    <t>Інші програми та заходи у сфері охорони здоров’я</t>
  </si>
  <si>
    <t>0712151</t>
  </si>
  <si>
    <t>0712152</t>
  </si>
  <si>
    <t>2151</t>
  </si>
  <si>
    <t>2152</t>
  </si>
  <si>
    <t>0813192</t>
  </si>
  <si>
    <t>3192</t>
  </si>
  <si>
    <t>0813241</t>
  </si>
  <si>
    <t>0813242</t>
  </si>
  <si>
    <t>3241</t>
  </si>
  <si>
    <t>3242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</si>
  <si>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</si>
  <si>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</si>
  <si>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1014081</t>
  </si>
  <si>
    <t>4081</t>
  </si>
  <si>
    <t>1014082</t>
  </si>
  <si>
    <t>4082</t>
  </si>
  <si>
    <t>Інші програми та заходи у сфері освіти</t>
  </si>
  <si>
    <t>7691</t>
  </si>
  <si>
    <t>0217691</t>
  </si>
  <si>
    <t>0610</t>
  </si>
  <si>
    <t>6084</t>
  </si>
  <si>
    <t>1116084</t>
  </si>
  <si>
    <t xml:space="preserve">Кошти від продажу земельних ділянок  несільськогосподарського призначення, що перебувають у державній або комунальній власності </t>
  </si>
  <si>
    <t xml:space="preserve">Дотації з місцевих бюджетів іншим місцевим бюджетам </t>
  </si>
  <si>
    <t>Амбулаторно-поліклінічна допомога населенню, крім первинної медичної допомоги</t>
  </si>
  <si>
    <t>0726</t>
  </si>
  <si>
    <t>3180</t>
  </si>
  <si>
    <t>0813180</t>
  </si>
  <si>
    <t>Проведення навчально-тренувальних зборів і змагань та заходів зі спорту осіб з інвалідністю</t>
  </si>
  <si>
    <t>7370</t>
  </si>
  <si>
    <t>1113133</t>
  </si>
  <si>
    <t>3133</t>
  </si>
  <si>
    <t>Інші заходи та заклади молодіжної політики</t>
  </si>
  <si>
    <t>Управління економіки Хмельницької міської ради (головний розпорядник)</t>
  </si>
  <si>
    <t>Управління економіки Хмельницької міської ради (відповідальний виконавець)</t>
  </si>
  <si>
    <t xml:space="preserve">Зовнішнє фінансування </t>
  </si>
  <si>
    <t xml:space="preserve">Позики, надані міжнародними організаціями </t>
  </si>
  <si>
    <t>Одержано позик</t>
  </si>
  <si>
    <t xml:space="preserve">Погашено позик </t>
  </si>
  <si>
    <t>Зовнішні запозичення</t>
  </si>
  <si>
    <t xml:space="preserve">Погашення </t>
  </si>
  <si>
    <t>0170</t>
  </si>
  <si>
    <t>9770</t>
  </si>
  <si>
    <t>Інші субвенції з місцевого бюджету</t>
  </si>
  <si>
    <t>6082</t>
  </si>
  <si>
    <t>Придбання житла для окремих категорій населення відповідно до законодавства</t>
  </si>
  <si>
    <t>0816082</t>
  </si>
  <si>
    <t>3617650</t>
  </si>
  <si>
    <t>7650</t>
  </si>
  <si>
    <t>Проведення експертної грошової оцінки земельної ділянки чи права на неї</t>
  </si>
  <si>
    <t>Організація та проведення громадських робіт</t>
  </si>
  <si>
    <t>3210</t>
  </si>
  <si>
    <t>1050</t>
  </si>
  <si>
    <t xml:space="preserve">Плата за встановлення земельного сервітуту </t>
  </si>
  <si>
    <t xml:space="preserve"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 </t>
  </si>
  <si>
    <t>6012</t>
  </si>
  <si>
    <t>Забезпечення діяльності з виробництва, транспортування, постачання теплової енергії</t>
  </si>
  <si>
    <t>Найменування згідно з Класифікацією фінансування бюджету</t>
  </si>
  <si>
    <t xml:space="preserve">Фінансування за типом кредитора </t>
  </si>
  <si>
    <t>Загальне фінансування</t>
  </si>
  <si>
    <t>Х</t>
  </si>
  <si>
    <t xml:space="preserve">Фінансування за типом боргового зобов'язання </t>
  </si>
  <si>
    <t>Усього</t>
  </si>
  <si>
    <t>усього</t>
  </si>
  <si>
    <t>у тому числі бюджет розвитку</t>
  </si>
  <si>
    <t>загальний фонд</t>
  </si>
  <si>
    <t>спеціальний фонд</t>
  </si>
  <si>
    <t>разом</t>
  </si>
  <si>
    <t>Кредитування, усього</t>
  </si>
  <si>
    <t>Код Функціональної класифікації видатків та кредитування бюджету</t>
  </si>
  <si>
    <t>УСЬОГО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</si>
  <si>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</si>
  <si>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</si>
  <si>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</si>
  <si>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</si>
  <si>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</si>
  <si>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</si>
  <si>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</si>
  <si>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</si>
  <si>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</si>
  <si>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</si>
  <si>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</si>
  <si>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</si>
  <si>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(грн)</t>
  </si>
  <si>
    <t>Сума, грн</t>
  </si>
  <si>
    <t>Рішення 19-ї сесії Хмельницької міської ради від 21.02.2001 року №6</t>
  </si>
  <si>
    <t>Рішення 11-ї сесії Хмельницької міської ради від 25.01.2017 року №20</t>
  </si>
  <si>
    <t>Рішення позачергової 10-ї сесії Хмельницької міської ради від 29.12.2016 року №1</t>
  </si>
  <si>
    <t>Оформлення передплати на газети організаціям інвалідів, ветеранів війни і праці, окремим категоріям громадян</t>
  </si>
  <si>
    <t>Рішення позачергової 10-ї сесії Хмельницької міської ради від 29.12.2016 року №4</t>
  </si>
  <si>
    <t>Рішення позачергової 10-ї сесії Хмельницької міської ради від 29.12.2016 року №2</t>
  </si>
  <si>
    <t>7413</t>
  </si>
  <si>
    <t>0451</t>
  </si>
  <si>
    <t>Інші заходи у сфері автотранспорту</t>
  </si>
  <si>
    <t>0810160</t>
  </si>
  <si>
    <t>0710160</t>
  </si>
  <si>
    <t>1510160</t>
  </si>
  <si>
    <t>3610160</t>
  </si>
  <si>
    <t>1610160</t>
  </si>
  <si>
    <t>3710160</t>
  </si>
  <si>
    <t>1210160</t>
  </si>
  <si>
    <t>2810160</t>
  </si>
  <si>
    <t>0817691</t>
  </si>
  <si>
    <t>1217691</t>
  </si>
  <si>
    <t>Рішення 21-ї сесії Хмельницької міської ради від 11.04.2018 року №11</t>
  </si>
  <si>
    <t>у тому числі  бюджет розвитку</t>
  </si>
  <si>
    <t>Офіційні трансферти</t>
  </si>
  <si>
    <t>0813210</t>
  </si>
  <si>
    <t>Забезпечення діяльності інклюзивно-ресурсних центрів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</si>
  <si>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</si>
  <si>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0613140</t>
  </si>
  <si>
    <t>3140</t>
  </si>
  <si>
    <t>1515043</t>
  </si>
  <si>
    <t>5043</t>
  </si>
  <si>
    <t>0717670</t>
  </si>
  <si>
    <t>Програма «Здоров’я хмельничан» на 2017-2021 роки (із змінами і доповненнями)</t>
  </si>
  <si>
    <t>1517370</t>
  </si>
  <si>
    <t xml:space="preserve">Субвенції з державного бюджету місцевим бюджетам </t>
  </si>
  <si>
    <t>Залишок коштів на 01.01.2020 року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</si>
  <si>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</t>
  </si>
  <si>
    <t>Республіки Крим, органами місцевого самоврядування і місцевими органами виконавчої влади</t>
  </si>
  <si>
    <t>Членські внески до асоціацій органів місцевого самоврядування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</si>
  <si>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</si>
  <si>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1900000</t>
  </si>
  <si>
    <t>1910000</t>
  </si>
  <si>
    <t>Управління транспорту та зв'язку Хмельницької міської ради (головний розпорядник)</t>
  </si>
  <si>
    <t>Управління транспорту та зв'язку Хмельницької міської ради (відповідальний виконавець)</t>
  </si>
  <si>
    <t>1910160</t>
  </si>
  <si>
    <t>Програма
бюджетування за участі громадськості (Бюджет участі) міста Хмельницького на 2020 - 2022 роки</t>
  </si>
  <si>
    <t>Рішення 32-ї сесії Хмельницької міської ради від 26.06.2019 року №9</t>
  </si>
  <si>
    <t>Реверсна дотація</t>
  </si>
  <si>
    <t>Обслуговування місцевого боргу</t>
  </si>
  <si>
    <t xml:space="preserve"> 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</si>
  <si>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</si>
  <si>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Надання реабілітаційних послуг особам з інвалідністю та дітям з інвалідністю</t>
  </si>
  <si>
    <t>Надання пільгових довгострокових кредитів молодим сім'ям та одиноким молодим громадянам на будівництво/придбання житла</t>
  </si>
  <si>
    <t>1118821</t>
  </si>
  <si>
    <t>1118822</t>
  </si>
  <si>
    <t>8821</t>
  </si>
  <si>
    <t>8822</t>
  </si>
  <si>
    <t>Здійснення заходів із землеустрою</t>
  </si>
  <si>
    <t>Будівництвоˈ інших об'єктів комунальної власності</t>
  </si>
  <si>
    <t>Забезпечення діяльності музеїв i виставок</t>
  </si>
  <si>
    <t>Забезпечення діяльності інших закладів в галузі культури і мистецтва</t>
  </si>
  <si>
    <t>Інші заходи в галузі культури і мистецтва</t>
  </si>
  <si>
    <t>Інша діяльність, пов’язана з експлуатацією об’єктів житлово-комунального господарства</t>
  </si>
  <si>
    <t>1917413</t>
  </si>
  <si>
    <t>1917426</t>
  </si>
  <si>
    <t>Будівництвоˈ об'єктів житлово-комунального господарства</t>
  </si>
  <si>
    <t>3.2.4.</t>
  </si>
  <si>
    <t>3.2.10.</t>
  </si>
  <si>
    <t>3.2.15.</t>
  </si>
  <si>
    <t xml:space="preserve">Субвенції з місцевих бюджетів іншим місцевим бюджетам </t>
  </si>
  <si>
    <t>Субвенція з місцевого бюджету на здійснення переданих видатків у сфері освіти за рахунок коштів освітньої субвенції</t>
  </si>
  <si>
    <t>0712144</t>
  </si>
  <si>
    <t>2144</t>
  </si>
  <si>
    <t>Централізовані заходи з лікування хворих на цукровий та нецукровий діабет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</si>
  <si>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</si>
  <si>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</si>
  <si>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</si>
  <si>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</si>
  <si>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</si>
  <si>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</si>
  <si>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</si>
  <si>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</si>
  <si>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</si>
  <si>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 xml:space="preserve">Цільові фонди </t>
  </si>
  <si>
    <t>Усього доходів (без врахування міжбюджетних трансфертів)</t>
  </si>
  <si>
    <t>Рішення 34-ї сесії Хмельницької міської ради від 09.10.2019 року №38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</si>
  <si>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</si>
  <si>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</si>
  <si>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</si>
  <si>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Додаток 3</t>
  </si>
  <si>
    <t>УСЬОГО:</t>
  </si>
  <si>
    <t>Найменування місцевої / регіональної програми</t>
  </si>
  <si>
    <t>Дата і номер документа, яким затверджено місцеву / регіональну програму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</si>
  <si>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</t>
  </si>
  <si>
    <t>0611030</t>
  </si>
  <si>
    <t>Надання позашкільної освіти закладами позашкільної освіти, заходи із позашкільної роботи з дітьми</t>
  </si>
  <si>
    <t>Підготовка кадрів закладами професійної (професійно-технічної) освіти та іншими закладами освіти</t>
  </si>
  <si>
    <t>Забезпечення діяльності інших закладів у сфері освіти</t>
  </si>
  <si>
    <t>Повернення довгострокових кредитів, наданих громадянам на будівництво/реконструкцію/придбання житла</t>
  </si>
  <si>
    <t>1118842</t>
  </si>
  <si>
    <t>8842</t>
  </si>
  <si>
    <t>0712020</t>
  </si>
  <si>
    <t>Спеціалізована стаціонарна медична допомога населенню</t>
  </si>
  <si>
    <t>0732</t>
  </si>
  <si>
    <t>2020</t>
  </si>
  <si>
    <t>0719770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</si>
  <si>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</si>
  <si>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</si>
  <si>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1115062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</si>
  <si>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</si>
  <si>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</si>
  <si>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</si>
  <si>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1517324</t>
  </si>
  <si>
    <t>7324</t>
  </si>
  <si>
    <t>8110</t>
  </si>
  <si>
    <t>Заходи із запобігання та ліквідації надзвичайних ситуацій та наслідків стихійного лиха</t>
  </si>
  <si>
    <t>Придбання обладнання і предметів довгострокового користування</t>
  </si>
  <si>
    <t>2017 - 2022 роки</t>
  </si>
  <si>
    <t>2019 - 2021 роки</t>
  </si>
  <si>
    <t>Реставрація Хмельницького міського будинку культури по вул.Проскурівській, 43 в м. Хмельницькому</t>
  </si>
  <si>
    <t xml:space="preserve">Начальник фінансового управління </t>
  </si>
  <si>
    <t xml:space="preserve">С. ЯМЧУК </t>
  </si>
  <si>
    <t xml:space="preserve">                                   Начальник фінансового управління                                                                                            Ю. САБІЙ</t>
  </si>
  <si>
    <t xml:space="preserve">Рентна плата та плата за використання ішших природних ресурсів </t>
  </si>
  <si>
    <t xml:space="preserve">Рентна плата за спеціальне використання лісових ресурсів </t>
  </si>
  <si>
    <t>Рентна плата за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</si>
  <si>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 xml:space="preserve">Рентна плата за користування надрами </t>
  </si>
  <si>
    <t xml:space="preserve">Рентна плата за користуваання надрами для видобудування корисних копалин загальнодержавного значення </t>
  </si>
  <si>
    <t>Внутрішні податки на товари та послуги</t>
  </si>
  <si>
    <t>Інші податки та збори</t>
  </si>
  <si>
    <t>Надходження  від викидів забруднюючих речовин в атмосферне повітря стаціонарними джерелами забруднення (за винятком викидів в атмосферне повітря двоокису вуглецю)</t>
  </si>
  <si>
    <t>Доходи від власності та підприємницької діяльності</t>
  </si>
  <si>
    <t>Частина чистого прибутку (доходу)  державних або кумунальних унітраних підприємств та їх обєднань, що вилучається до відповідного бюджету</t>
  </si>
  <si>
    <t>Плата за надання адміністративних послуг</t>
  </si>
  <si>
    <t>Надходження від орендної плати за користування цілісним майновим комплексом та іншим державним майном</t>
  </si>
  <si>
    <t xml:space="preserve">Кошти від реалізації скарбів, майна, одержаного державною або територіальною громадою  в порядку спадкування чи дарування, а також валютні цінності і грошові кошти, власники яких невідомі </t>
  </si>
  <si>
    <t xml:space="preserve">Єдиний податок з сільськогосподарських товаровиробників, у яких частка сільськогосподарського виробництва за попередній податковий (звітний) рік дорівнює або перевищує 75 відсотків </t>
  </si>
  <si>
    <t>1400000</t>
  </si>
  <si>
    <t>1410000</t>
  </si>
  <si>
    <t>1410160</t>
  </si>
  <si>
    <t>1410180</t>
  </si>
  <si>
    <t>1416012</t>
  </si>
  <si>
    <t>1416013</t>
  </si>
  <si>
    <t>1416020</t>
  </si>
  <si>
    <t>1416030</t>
  </si>
  <si>
    <t>1417310</t>
  </si>
  <si>
    <t>1417461</t>
  </si>
  <si>
    <t>1417640</t>
  </si>
  <si>
    <t>1417670</t>
  </si>
  <si>
    <t>1417691</t>
  </si>
  <si>
    <t>1418110</t>
  </si>
  <si>
    <t>1418120</t>
  </si>
  <si>
    <t>1418130</t>
  </si>
  <si>
    <t>8130</t>
  </si>
  <si>
    <t>Забезпечення діяльності місцевої пожежної охорони</t>
  </si>
  <si>
    <t>2021 рік</t>
  </si>
  <si>
    <t>Управління комунальної інфраструктури Хмельницької міської ради (головний розпорядник)</t>
  </si>
  <si>
    <t>Управління комунальної інфраструктури Хмельницької міської ради (відповідальний виконавець)</t>
  </si>
  <si>
    <t>Управління житлової політики і майна Хмельницької міської ради (головний розпорядник)</t>
  </si>
  <si>
    <t>Управління житлової політики і майна Хмельницької міської ради (відповідальний виконавець)</t>
  </si>
  <si>
    <t>Індивідуальне навчання, одяг сиротам</t>
  </si>
  <si>
    <t>Виплата 1810 грн сиротам при досягненні 18 років</t>
  </si>
  <si>
    <t>РОЗПОДІЛ</t>
  </si>
  <si>
    <t>Найменування головного розпорядника коштів бюджету 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</si>
  <si>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доходів та видатків цільового фонду</t>
  </si>
  <si>
    <t>КОШТОРИС</t>
  </si>
  <si>
    <t>природоохоронних заходів,</t>
  </si>
  <si>
    <t>ПЕРЕЛІК</t>
  </si>
  <si>
    <t>КРЕДИТУВАННЯ</t>
  </si>
  <si>
    <t>ФІНАНСУВАННЯ</t>
  </si>
  <si>
    <t>Найменування головного розпорядника коштів бюджету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</si>
  <si>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Державний бюджет України</t>
  </si>
  <si>
    <t>0219770</t>
  </si>
  <si>
    <t>22317200000</t>
  </si>
  <si>
    <t>Районний бюджет Хмельницького району</t>
  </si>
  <si>
    <t>Бюджет Красилівської міської територіальної громади</t>
  </si>
  <si>
    <t>Бюджет Заслучненської сільської територіальної громади</t>
  </si>
  <si>
    <t>22522000000</t>
  </si>
  <si>
    <t>Бюджет Чорноострівської селищної територіальної громади</t>
  </si>
  <si>
    <t>Програма розвитку освіти Хмельницької міської територіальної громади на 2017-2021 роки (із змінами і доповненнями)</t>
  </si>
  <si>
    <t>Комплексна програма «Піклування» в Хмельницькій міській територіальній громаді на 2017 - 2021 роки (із змінами і доповненнями)</t>
  </si>
  <si>
    <t>0210160</t>
  </si>
  <si>
    <t>Рішення 42-ї сесії Хмельницької міської ради від 17.06.2020 року №39</t>
  </si>
  <si>
    <t>1019770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</si>
  <si>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2017 - 2021 роки (із змінами і доповненнями)</t>
  </si>
  <si>
    <t>Рішення позачергової 46-ї сесії Хмельницької міської ради від 07.10.2020 року №3</t>
  </si>
  <si>
    <t>Плата за гарантії, надані Верховною Радою Автономної Республіки    Крим та міськими радами</t>
  </si>
  <si>
    <t>Додаток №5</t>
  </si>
  <si>
    <t>Додаток №7</t>
  </si>
  <si>
    <t>Додаток 8</t>
  </si>
  <si>
    <t>Додаток  9</t>
  </si>
  <si>
    <t>Найменування трансферту /
Найменування бюджету – надавача міжбюджетного трансферту</t>
  </si>
  <si>
    <t>Код Класифікації доходу бюджету /
Код бюджету</t>
  </si>
  <si>
    <t>І. Трансферти до загального фонду бюджету</t>
  </si>
  <si>
    <t>ІІ. Трансферти до спеціального фонду бюджету</t>
  </si>
  <si>
    <t>УСЬОГО за розділами І, ІІ, у тому числі:</t>
  </si>
  <si>
    <t>Код Програмної класифікації видатків та кредитування місцевого бюджету /
Код бюджету</t>
  </si>
  <si>
    <t>Найменування трансферту /
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</si>
  <si>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</si>
  <si>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</si>
  <si>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3719110</t>
  </si>
  <si>
    <t>9110</t>
  </si>
  <si>
    <t>41033900</t>
  </si>
  <si>
    <t>41030000</t>
  </si>
  <si>
    <t>1117670</t>
  </si>
  <si>
    <t>2019 - 2023 роки</t>
  </si>
  <si>
    <t>Обласний бюджет Хмельницької області</t>
  </si>
  <si>
    <t>41040000</t>
  </si>
  <si>
    <t>41040200</t>
  </si>
  <si>
    <t>41050000</t>
  </si>
  <si>
    <t xml:space="preserve">Субвеції з місцевих бюджетів іншим місцевим бюджетам </t>
  </si>
  <si>
    <t>41051000</t>
  </si>
  <si>
    <t xml:space="preserve">Субвенції з місцевого бюджету на здійснення переданих видатків у сфері освіти за рахунок коштів освітньої субвенції </t>
  </si>
  <si>
    <t>41051200</t>
  </si>
  <si>
    <t>41055000</t>
  </si>
  <si>
    <t xml:space="preserve">Освітня субвенція  </t>
  </si>
  <si>
    <t xml:space="preserve"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дотації з державного бюджету </t>
  </si>
  <si>
    <t xml:space="preserve">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</si>
  <si>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 xml:space="preserve">Пальне </t>
  </si>
  <si>
    <t>Акцизний податок з вироблених в Україні підакцизних товарів (продукції)</t>
  </si>
  <si>
    <t>Акцизний податок з ввезених на митну територію  України підакцизних товарів (продукції)</t>
  </si>
  <si>
    <t>0210170</t>
  </si>
  <si>
    <t>0131</t>
  </si>
  <si>
    <t>Підвищення кваліфікації депутатів місцевих рад та посадових осіб місцевого самоврядування</t>
  </si>
  <si>
    <t>1210170</t>
  </si>
  <si>
    <t>0810170</t>
  </si>
  <si>
    <t>1410170</t>
  </si>
  <si>
    <t>1510170</t>
  </si>
  <si>
    <t>1610170</t>
  </si>
  <si>
    <t>1910170</t>
  </si>
  <si>
    <t>2810170</t>
  </si>
  <si>
    <t>3710170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</si>
  <si>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</si>
  <si>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1011080</t>
  </si>
  <si>
    <t>1080</t>
  </si>
  <si>
    <t>Утримання та забезпечення діяльності центрів соціальних служб</t>
  </si>
  <si>
    <t>Витрати, пов’язані з наданням та обслуговуванням пільгових довгострокових кредитів, наданих громадянам на будівництво/реконструкцію/ придбання житла</t>
  </si>
  <si>
    <t>Резервний фонд місцевого бюджету</t>
  </si>
  <si>
    <t>0611021</t>
  </si>
  <si>
    <t>1021</t>
  </si>
  <si>
    <t>Надання загальної середньої освіти за рахунок коштів місцевого бюджету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</si>
  <si>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</si>
  <si>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</si>
  <si>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</si>
  <si>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0611160</t>
  </si>
  <si>
    <t>1160</t>
  </si>
  <si>
    <t>Забезпечення діяльності центрів професійного розвитку педагогічних працівників</t>
  </si>
  <si>
    <t>0611022</t>
  </si>
  <si>
    <t>1022</t>
  </si>
  <si>
    <t>0611180</t>
  </si>
  <si>
    <t>1180</t>
  </si>
  <si>
    <t>Виконання заходів, спрямованих на забезпечення якісної, сучасної та доступної загальної середньої освіти «Нова українська школа»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</si>
  <si>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</si>
  <si>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</si>
  <si>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</si>
  <si>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Надання загальної середньої освіти за рахунок освітньої субвенції</t>
  </si>
  <si>
    <t>0611031</t>
  </si>
  <si>
    <t>1031</t>
  </si>
  <si>
    <t>0611070</t>
  </si>
  <si>
    <t>0611091</t>
  </si>
  <si>
    <t>1091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</si>
  <si>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</si>
  <si>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1092</t>
  </si>
  <si>
    <t>0611092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</si>
  <si>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</si>
  <si>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1140</t>
  </si>
  <si>
    <t>0611140</t>
  </si>
  <si>
    <t>Інші програми, заклади та заходи у сфері освіти</t>
  </si>
  <si>
    <t>0611141</t>
  </si>
  <si>
    <t>1141</t>
  </si>
  <si>
    <t>0611142</t>
  </si>
  <si>
    <t>1142</t>
  </si>
  <si>
    <t>0611150</t>
  </si>
  <si>
    <t>1150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</si>
  <si>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</si>
  <si>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</si>
  <si>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</si>
  <si>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</si>
  <si>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</si>
  <si>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</si>
  <si>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0210100</t>
  </si>
  <si>
    <t>0100</t>
  </si>
  <si>
    <t>Державне управління</t>
  </si>
  <si>
    <t>0217500</t>
  </si>
  <si>
    <t>7500</t>
  </si>
  <si>
    <t>Зв'язок, телекомунікації та інформатика</t>
  </si>
  <si>
    <t>Інші програми та заходи, пов'язані з економічною діяльністю</t>
  </si>
  <si>
    <t>0217600</t>
  </si>
  <si>
    <t>7600</t>
  </si>
  <si>
    <t>Інша економічна діяльність</t>
  </si>
  <si>
    <t>0217690</t>
  </si>
  <si>
    <t>7690</t>
  </si>
  <si>
    <t>0218000</t>
  </si>
  <si>
    <t>8000</t>
  </si>
  <si>
    <t>Інша діяльність</t>
  </si>
  <si>
    <t>0218400</t>
  </si>
  <si>
    <t>8400</t>
  </si>
  <si>
    <t>Засоби масової інформації</t>
  </si>
  <si>
    <t>0219000</t>
  </si>
  <si>
    <t>9000</t>
  </si>
  <si>
    <t>Міжбюджетні трансферти</t>
  </si>
  <si>
    <t>0219700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</si>
  <si>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</si>
  <si>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</si>
  <si>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0611000</t>
  </si>
  <si>
    <t>1000</t>
  </si>
  <si>
    <t>Освіта</t>
  </si>
  <si>
    <t>0613000</t>
  </si>
  <si>
    <t>3000</t>
  </si>
  <si>
    <t>Соціальний захист та соціальне забезпечення</t>
  </si>
  <si>
    <t>0710100</t>
  </si>
  <si>
    <t>0712000</t>
  </si>
  <si>
    <t>2000</t>
  </si>
  <si>
    <t>Охорона здоров’я</t>
  </si>
  <si>
    <t>0712110</t>
  </si>
  <si>
    <t>2110</t>
  </si>
  <si>
    <t>Первинна медична допомога населенню</t>
  </si>
  <si>
    <t>0712140</t>
  </si>
  <si>
    <t>2140</t>
  </si>
  <si>
    <t>Програми і централізовані заходи у галузі охорони здоров’я</t>
  </si>
  <si>
    <t>0712150</t>
  </si>
  <si>
    <t>2150</t>
  </si>
  <si>
    <t>Інші програми, заклади та заходи у сфері охорони здоров’я</t>
  </si>
  <si>
    <t>0717600</t>
  </si>
  <si>
    <t>0810100</t>
  </si>
  <si>
    <t>0813000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</si>
  <si>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</si>
  <si>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</si>
  <si>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</si>
  <si>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0813100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</si>
  <si>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</si>
  <si>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</si>
  <si>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0813190</t>
  </si>
  <si>
    <t>3190</t>
  </si>
  <si>
    <t>Соціальний захист ветеранів війни та праці</t>
  </si>
  <si>
    <t>0813240</t>
  </si>
  <si>
    <t>3240</t>
  </si>
  <si>
    <t xml:space="preserve"> Інші заклади та заходи</t>
  </si>
  <si>
    <t>0816000</t>
  </si>
  <si>
    <t>6000</t>
  </si>
  <si>
    <t>Житлово-комунальне господарство</t>
  </si>
  <si>
    <t>0816080</t>
  </si>
  <si>
    <t>6080</t>
  </si>
  <si>
    <t>Реалізація державних та місцевих житлових програм</t>
  </si>
  <si>
    <t>0217000</t>
  </si>
  <si>
    <t>7000</t>
  </si>
  <si>
    <t xml:space="preserve"> Економічна діяльність</t>
  </si>
  <si>
    <t>0717000</t>
  </si>
  <si>
    <t>0817000</t>
  </si>
  <si>
    <t>0817690</t>
  </si>
  <si>
    <t>0817600</t>
  </si>
  <si>
    <t>1011000</t>
  </si>
  <si>
    <t>1014000</t>
  </si>
  <si>
    <t>4000</t>
  </si>
  <si>
    <t>Культура i мистецтво</t>
  </si>
  <si>
    <t>1014080</t>
  </si>
  <si>
    <t>4080</t>
  </si>
  <si>
    <t>Інші заклади та заходи в галузі культури і мистецтва</t>
  </si>
  <si>
    <t>1019000</t>
  </si>
  <si>
    <t>1019700</t>
  </si>
  <si>
    <t>1113000</t>
  </si>
  <si>
    <t>1113120</t>
  </si>
  <si>
    <t>3120</t>
  </si>
  <si>
    <t>Здійснення соціальної роботи з вразливими категоріями населення</t>
  </si>
  <si>
    <t>1113130</t>
  </si>
  <si>
    <t>3130</t>
  </si>
  <si>
    <t>Реалізація державної політики у молодіжній сфері</t>
  </si>
  <si>
    <t>1115000</t>
  </si>
  <si>
    <t>5000</t>
  </si>
  <si>
    <t xml:space="preserve"> Фiзична культура i спорт</t>
  </si>
  <si>
    <t>1115010</t>
  </si>
  <si>
    <t>5010</t>
  </si>
  <si>
    <t>Проведення спортивної роботи в регіоні</t>
  </si>
  <si>
    <t>1115020</t>
  </si>
  <si>
    <t>5020</t>
  </si>
  <si>
    <t>Здійснення фізкультурно-спортивної та реабілітаційної роботи серед осіб з інвалідністю</t>
  </si>
  <si>
    <t>1115030</t>
  </si>
  <si>
    <t>5030</t>
  </si>
  <si>
    <t xml:space="preserve"> Розвиток дитячо-юнацького та резервного спорту</t>
  </si>
  <si>
    <t>1115060</t>
  </si>
  <si>
    <t>5060</t>
  </si>
  <si>
    <t>Інші заходи з розвитку фізичної культури та спорту</t>
  </si>
  <si>
    <t>1116000</t>
  </si>
  <si>
    <t>1116080</t>
  </si>
  <si>
    <t>1117000</t>
  </si>
  <si>
    <t>1117600</t>
  </si>
  <si>
    <t>1210100</t>
  </si>
  <si>
    <t>1216000</t>
  </si>
  <si>
    <t>1216010</t>
  </si>
  <si>
    <t>6010</t>
  </si>
  <si>
    <t>Утримання та ефективна експлуатація об’єктів житлово-комунального господарства</t>
  </si>
  <si>
    <t>1217000</t>
  </si>
  <si>
    <t>Економічна діяльність</t>
  </si>
  <si>
    <t>1217600</t>
  </si>
  <si>
    <t>1217690</t>
  </si>
  <si>
    <t xml:space="preserve"> Інша економічна діяльність</t>
  </si>
  <si>
    <t>1410100</t>
  </si>
  <si>
    <t>1416000</t>
  </si>
  <si>
    <t>1416010</t>
  </si>
  <si>
    <t>1417000</t>
  </si>
  <si>
    <t>1417300</t>
  </si>
  <si>
    <t>7300</t>
  </si>
  <si>
    <t>Будівництво та регіональний розвиток</t>
  </si>
  <si>
    <t>1417400</t>
  </si>
  <si>
    <t>7400</t>
  </si>
  <si>
    <t>Транспорт та транспортна інфраструктура, дорожнє господарство</t>
  </si>
  <si>
    <t>1417600</t>
  </si>
  <si>
    <t>1417690</t>
  </si>
  <si>
    <t>1418000</t>
  </si>
  <si>
    <t>1418100</t>
  </si>
  <si>
    <t>8100</t>
  </si>
  <si>
    <t>1510100</t>
  </si>
  <si>
    <t>1515000</t>
  </si>
  <si>
    <t>1515040</t>
  </si>
  <si>
    <t>5040</t>
  </si>
  <si>
    <t>Підтримка і розвиток спортивної інфраструктури</t>
  </si>
  <si>
    <t>1517000</t>
  </si>
  <si>
    <t>1517300</t>
  </si>
  <si>
    <t>1517320</t>
  </si>
  <si>
    <t>7320</t>
  </si>
  <si>
    <t>1610100</t>
  </si>
  <si>
    <t>1910100</t>
  </si>
  <si>
    <t>1917000</t>
  </si>
  <si>
    <t>1917400</t>
  </si>
  <si>
    <t>1917420</t>
  </si>
  <si>
    <t>7420</t>
  </si>
  <si>
    <t>Забезпечення надання послуг з перевезення пасажирів електротранспортом</t>
  </si>
  <si>
    <t>2717000</t>
  </si>
  <si>
    <t>2717600</t>
  </si>
  <si>
    <t>2717690</t>
  </si>
  <si>
    <t>2810100</t>
  </si>
  <si>
    <t>2818000</t>
  </si>
  <si>
    <t>2818300</t>
  </si>
  <si>
    <t>8300</t>
  </si>
  <si>
    <t>Охорона навколишнього природного середовища</t>
  </si>
  <si>
    <t>3610100</t>
  </si>
  <si>
    <t>3617000</t>
  </si>
  <si>
    <t>3617100</t>
  </si>
  <si>
    <t>7100</t>
  </si>
  <si>
    <t>Сільське, лісове, рибне господарство та мисливство</t>
  </si>
  <si>
    <t>3617600</t>
  </si>
  <si>
    <t xml:space="preserve"> Інші програми та заходи, пов'язані з економічною діяльністю</t>
  </si>
  <si>
    <t>3710100</t>
  </si>
  <si>
    <t>3718000</t>
  </si>
  <si>
    <t>Резервний фонд</t>
  </si>
  <si>
    <t>3719000</t>
  </si>
  <si>
    <t>Дотації з місцевого бюджету іншим бюджетам</t>
  </si>
  <si>
    <t>9100</t>
  </si>
  <si>
    <t>1118000</t>
  </si>
  <si>
    <t xml:space="preserve"> Інша діяльність</t>
  </si>
  <si>
    <t>1118800</t>
  </si>
  <si>
    <t>8800</t>
  </si>
  <si>
    <t>Кредитування</t>
  </si>
  <si>
    <t>1118820</t>
  </si>
  <si>
    <t>8820</t>
  </si>
  <si>
    <t>Рішення 2-ї сесії Хмельницької міської ради від 23.12.2020 року №22</t>
  </si>
  <si>
    <t xml:space="preserve">Цільова програма попередження виникнення надзвичайних ситуацій та забезпечення  пожежної і техногенної безпеки об'єктів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</t>
  </si>
  <si>
    <t>Рішення 2-ї сесії Хмельницької міської ради від 23.12.2020 року №9</t>
  </si>
  <si>
    <t>Програма економічного і соціального розвитку Хмельницької міської територіальної громади на 2021 рік</t>
  </si>
  <si>
    <t>Рішення 2-ї сесії Хмельницької міської ради від 23.12.2020 року №10</t>
  </si>
  <si>
    <t>Рішення 2-ї сесії Хмельницької міської ради від 23.12.2020 року №11</t>
  </si>
  <si>
    <t>Програма підтримки книговидання та читацької культури у Хмельницькій міській територіальній громаді на 2021-2025 роки «#ЩодняЧитай українською»</t>
  </si>
  <si>
    <t>Рішення 2-ї сесії Хмельницької міської ради від 23.12.2020 року №31</t>
  </si>
  <si>
    <t>Програма розвитку Хмельницької міської територіальної громади у сфері культури на 2021-2025 роки "Нова лінія культурних змін"</t>
  </si>
  <si>
    <t>Рішення 2-ї сесії Хмельницької міської ради від 23.12.2020 року №32</t>
  </si>
  <si>
    <t>Програма 
підтримки сім'ї на 2021-2025 рр.</t>
  </si>
  <si>
    <t>Рішення 2-ї сесії Хмельницької міської ради від 23.12.2020 року №33</t>
  </si>
  <si>
    <t>Рішення 2-ї сесії Хмельницької міської ради від 23.12.2020 року №36</t>
  </si>
  <si>
    <t>Програма розвитку, підтримки комунальних закладів охорони здоров’я та надання 
медичних послуг понад обсяг, передбачений програмою державних гарантій медичного обслуговування населення Хмельницької міської 
територіальної громади на 2021 - 2023 роки</t>
  </si>
  <si>
    <t>Рішення 2-ї сесії Хмельницької міської ради від 23.12.2020 року №50</t>
  </si>
  <si>
    <t>Програма забезпечення надання адміністративних послуг територіальних органів Міністерства внутрішніх справ України через управління адміністративних послуг Хмельницької міської ради на 2021 рік</t>
  </si>
  <si>
    <t>Рішення 2-ї сесії Хмельницької міської ради від 23.12.2020 року №57</t>
  </si>
  <si>
    <t>Рішення 2-ї сесії Хмельницької міської ради від 23.12.2020 року №67</t>
  </si>
  <si>
    <t>Програма розвитку велоінфраструктури м.Хмельницького на 2017-2025 роки</t>
  </si>
  <si>
    <t>Програма поводження з побутовими відходами "Розумне Довкілля.  Хмельницький" на 2021 - 2022 роки</t>
  </si>
  <si>
    <t>Пільгові довгострокові кредити молодим сім'ям та одиноким молодим громадянам на будівництво/реконструкцію/придбання житла та їх повернення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</si>
  <si>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</si>
  <si>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 xml:space="preserve"> Надання пільгових довгострокових кредитів молодим сім'ям та одиноким молодим громадянам на будівництво/реконструкцію/придбання житла</t>
  </si>
  <si>
    <t>99000000000</t>
  </si>
  <si>
    <t>0813170</t>
  </si>
  <si>
    <t>3170</t>
  </si>
  <si>
    <t>Забезпечення реалізації окремих програм для осіб з інвалідністю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</si>
  <si>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2021 рік</t>
  </si>
  <si>
    <t>Рішення 4-ї сесії Хмельницької міської ради від 17.02.2021 року №7</t>
  </si>
  <si>
    <t xml:space="preserve">Управління з питань екології та контролю за благоустроєм  Хмельницької міської ради  (відповідальний виконавець) </t>
  </si>
  <si>
    <t xml:space="preserve">Управління з питань екології та контролю за благоустроєм  Хмельницької міської ради  (головний розпорядник) </t>
  </si>
  <si>
    <t xml:space="preserve">Управління з питань екології та контролю за благоустроєм Хмельницької міської ради  (головний розпорядник) </t>
  </si>
  <si>
    <t xml:space="preserve">Управління з питань екології та контролю за благоустроєм Хмельницької міської ради  (відповідальний виконавець) </t>
  </si>
  <si>
    <t>Рішення 13-ї сесії Хмельницької міської ради від 22.03.2017 року №33</t>
  </si>
  <si>
    <t>Управління капітального будівництва Хмельницької міської ради (головний розпорядник)</t>
  </si>
  <si>
    <t>Управління капітального будівництва Хмельницької міської ради (відповідальний виконавець)</t>
  </si>
  <si>
    <t>Управління архітектури та містобудування Хмельницької міської ради (головний розпорядник)</t>
  </si>
  <si>
    <t>Управління архітектури та містобудування  Хмельницької міської ради  (відповідальний виконавець)</t>
  </si>
  <si>
    <t>Управління земельних ресурсів Хмельницької міської ради (відповідальний розпорядник)</t>
  </si>
  <si>
    <t>Управління земельних ресурсів Хмельницької міської ради (головний розпорядник)</t>
  </si>
  <si>
    <t xml:space="preserve">які будуть фінансуватися з Фонду охорони навколишнього природного середовища </t>
  </si>
  <si>
    <t>Управління архітектури та містобудування Хмельницької міської ради  (відповідальний виконавець)</t>
  </si>
  <si>
    <t>Управління земельних ресурсів та земельної реформи Хмельницької міської ради (головний розпорядник)</t>
  </si>
  <si>
    <t>Управління земельних ресурсів та земельної реформи  Хмельницької міської ради (відповідальний розпорядник)</t>
  </si>
  <si>
    <t>Інші субвенції з місцевого бюджету, в тому числі:</t>
  </si>
  <si>
    <t xml:space="preserve"> - пільгове медичне обслуговування осіб, які постраждали внаслідок Чорнобильської катастрофи </t>
  </si>
  <si>
    <t xml:space="preserve"> - 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</si>
  <si>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 xml:space="preserve">  - поховання учасників бойових дій та осіб з інвалідністю внаслідок війни</t>
  </si>
  <si>
    <t>Внески до статутного капіталу МКП "Хмельницькводоканал" (Реконструкція водопроводу від  вул.Проскурівська по пров. Проскурівський, вул. Пилипчука до пров. Шевченка в м. Хмельницький)</t>
  </si>
  <si>
    <t>2719000</t>
  </si>
  <si>
    <t>2719700</t>
  </si>
  <si>
    <t>2719770</t>
  </si>
  <si>
    <t>1617000</t>
  </si>
  <si>
    <t>1617300</t>
  </si>
  <si>
    <t>1617350</t>
  </si>
  <si>
    <t>7350</t>
  </si>
  <si>
    <t>Розроблення схем планування та забудови територій (містобудівної документації)</t>
  </si>
  <si>
    <t>0217693</t>
  </si>
  <si>
    <t>1017000</t>
  </si>
  <si>
    <t>1017600</t>
  </si>
  <si>
    <t>1017670</t>
  </si>
  <si>
    <t>1217670</t>
  </si>
  <si>
    <t>0810180</t>
  </si>
  <si>
    <t>0813060</t>
  </si>
  <si>
    <t>3060</t>
  </si>
  <si>
    <t>Оздоровлення громадян, які постраждали внаслідок Чорнобильської катастрофи</t>
  </si>
  <si>
    <t>0817320</t>
  </si>
  <si>
    <t>0817323</t>
  </si>
  <si>
    <t>7323</t>
  </si>
  <si>
    <t>0817300</t>
  </si>
  <si>
    <t>1517310</t>
  </si>
  <si>
    <t>1510180</t>
  </si>
  <si>
    <t>1216020</t>
  </si>
  <si>
    <t>0611060</t>
  </si>
  <si>
    <t>0611061</t>
  </si>
  <si>
    <t>1061</t>
  </si>
  <si>
    <t xml:space="preserve"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 а також коштів, необхідних для </t>
  </si>
  <si>
    <t>забезпечення безпечного навчального процесу у закладах загальної середньої освіти)</t>
  </si>
  <si>
    <t xml:space="preserve"> Надання загальної середньої освіти закладами загальної середньої освіти</t>
  </si>
  <si>
    <t>Реконструкція будівлі №45/312 (контрольно-технічний пункт), військового містечка №45 військової частини А0661</t>
  </si>
  <si>
    <t>Рішення 4-ї сесії Хмельницької міської ради від 17.02.2021 року №2</t>
  </si>
  <si>
    <t>Рішення 3-ї сесії Хмельницької міської ради від 14.01.2021 року №1</t>
  </si>
  <si>
    <t>Реконструкція існуючої будівлі краєзнавчого музею під музейний комплекс історії та культури по вул.Свободи, 22 в м.Хмельницькому</t>
  </si>
  <si>
    <t xml:space="preserve">Реконструкція з добудовою їдальні до існуючого приміщення спеціалізованої загальноосвітньої школи І-ІІІ ступенів №8 по вул. Я. Гальчевського, 34 в м.Хмельницькому </t>
  </si>
  <si>
    <t>2017 - 2025 роки</t>
  </si>
  <si>
    <t>2020 - 2025 роки</t>
  </si>
  <si>
    <t>2015 - 2025 роки</t>
  </si>
  <si>
    <t>0611210</t>
  </si>
  <si>
    <t>1210</t>
  </si>
  <si>
    <t>Внески до статутного капіталу міського комунального підприємства - Кінотеатр ім. Т.Г.Шевченка (Виготовлення науково-проектної документації «Реставрація будівлі кінотеатру ім. Т. Г. Шевченка (щойно виявлений об’єкт культурної спадщини) по вул. Проскурівській, 40 у м. Хмельницькому)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</si>
  <si>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</si>
  <si>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</si>
  <si>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41053600</t>
  </si>
  <si>
    <t>Субвенція з місцевого бюджету на здійснення природоохоронних заходів</t>
  </si>
  <si>
    <t xml:space="preserve"> - соціально-економічний розвиток</t>
  </si>
  <si>
    <t>Субвенція з місцевого бюджету на здійснення природоохоронних заходів  (Обласний фонд охорони навколишнього природного середовища)</t>
  </si>
  <si>
    <t>Інші субвенції з місцевого бюджету (соціально-економічний розвиток)</t>
  </si>
  <si>
    <t>Рішення 5-ї сесії Хмельницької міської ради від 21.04.2021 року №7</t>
  </si>
  <si>
    <t>Рішення 5-ї сесії Хмельницької міської ради від 21.04.2021 року №57</t>
  </si>
  <si>
    <t>Рішення 5-ї сесії Хмельницької міської ради від 21.04.2021 року №69</t>
  </si>
  <si>
    <t>Програма розвитку та фінансової підтримки комунального підприємства «Чайка» Хмельницької міської ради на 2021-2022 роки</t>
  </si>
  <si>
    <t>Рішення 5-ї сесії Хмельницької міської ради від 21.04.2021 року №74</t>
  </si>
  <si>
    <t>Програма для забезпечення виконання судових рішень на 2021-2025 роки</t>
  </si>
  <si>
    <t>1417460</t>
  </si>
  <si>
    <t>7460</t>
  </si>
  <si>
    <t>Утримання та розвиток автомобільних доріг та дорожньої інфраструктури</t>
  </si>
  <si>
    <t>до рішення №</t>
  </si>
  <si>
    <t xml:space="preserve">до рішення №  </t>
  </si>
  <si>
    <t xml:space="preserve">до рішення №      </t>
  </si>
  <si>
    <t>Зовнішні зобов'язання</t>
  </si>
  <si>
    <t xml:space="preserve">Довгострокові зобов'язання </t>
  </si>
  <si>
    <t xml:space="preserve">Середньострокові зобов'язання </t>
  </si>
  <si>
    <t xml:space="preserve">Фінансування за рахунок позик банківських установ </t>
  </si>
  <si>
    <t xml:space="preserve"> Одержано позик </t>
  </si>
  <si>
    <t xml:space="preserve">Фінансування за рахунок інших банків </t>
  </si>
  <si>
    <t xml:space="preserve">Внутрішні запозичення </t>
  </si>
  <si>
    <t xml:space="preserve">Фінансування за рахунок зміни залишків коштів бюджетів </t>
  </si>
  <si>
    <t>Зміни обсягів бюджетних коштів</t>
  </si>
  <si>
    <t xml:space="preserve">На початок періоду </t>
  </si>
  <si>
    <t xml:space="preserve">Інші розрахунки </t>
  </si>
  <si>
    <t xml:space="preserve">Передача коштів із загального до спеціального фонду бюджету </t>
  </si>
  <si>
    <t>Субвенція з державного бюджету місцевим бюджетам на розвиток спортивної інфраструктури</t>
  </si>
  <si>
    <t>41035700</t>
  </si>
  <si>
    <t>0217540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</si>
  <si>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</si>
  <si>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</si>
  <si>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0611182</t>
  </si>
  <si>
    <t>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</si>
  <si>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</si>
  <si>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Субвенція з державного бюджету місцевим бюджетам на реалізацію інфраструктурних проектів та розвиток об’єктів соціально-культурної сфери</t>
  </si>
  <si>
    <t>41032300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</si>
  <si>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</si>
  <si>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41035500</t>
  </si>
  <si>
    <t>41051400</t>
  </si>
  <si>
    <t>Субвенція з місцевого бюджету на забезпечення якісної, сучасної та доступної загальної середньої освіти  "Нова українська школа" за рахунок відповідної субвенції з державного бюджету</t>
  </si>
  <si>
    <t>1517600</t>
  </si>
  <si>
    <t>1517690</t>
  </si>
  <si>
    <t>1517691</t>
  </si>
  <si>
    <t>3.2.8.</t>
  </si>
  <si>
    <t>Будівництво, реконструкція та ремонт інженерно-транспортної та соціальної інфраструктури Хмельницької міської територіальної громади, відповідного мікрорайону/кварталу, в т. ч. і тих, в яких розташовані будинки житлово-будівельних кооперативів (ТОВ "ЖЕО")</t>
  </si>
  <si>
    <t>2021 - 2022 роки</t>
  </si>
  <si>
    <t>41035600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</si>
  <si>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</si>
  <si>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0611023</t>
  </si>
  <si>
    <t>1023</t>
  </si>
  <si>
    <t>0611190</t>
  </si>
  <si>
    <t>0611191</t>
  </si>
  <si>
    <t>1190</t>
  </si>
  <si>
    <t>1191</t>
  </si>
  <si>
    <t xml:space="preserve"> Виконання заходів, спрямованих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</t>
  </si>
  <si>
    <t>Співфінансування заходів, що реалізуються за рахунок субвенції з державного бюджету місцевим бюджетам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</t>
  </si>
  <si>
    <t>0611220</t>
  </si>
  <si>
    <t>0611221</t>
  </si>
  <si>
    <t>1220</t>
  </si>
  <si>
    <t>1221</t>
  </si>
  <si>
    <t xml:space="preserve"> 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</si>
  <si>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Субвенція з державного бюджету місцевим бюджетам на створення мережі спеціалізованихслужб підтрмки осіб, які постраждали від домашнього насильства та  або насильства за ознакою статі</t>
  </si>
  <si>
    <t>2.1.4.</t>
  </si>
  <si>
    <t>Кошти участі замовників у створенні і розвитку інженерно-транспортної та соціальної інфраструктури Хмельницької міської територіальної громади</t>
  </si>
  <si>
    <t>2717300</t>
  </si>
  <si>
    <t>2717370</t>
  </si>
  <si>
    <t>Забезпечення надання послуг з перевезення пасажирів автомобільним транспортом</t>
  </si>
  <si>
    <t>1917410</t>
  </si>
  <si>
    <t>7410</t>
  </si>
  <si>
    <t>Програма розвитку  та вдосконалення міського пасажирського транспорту  міста Хмельницького на 2019 - 2023 роки  (із змінами і доповненнями)</t>
  </si>
  <si>
    <t>0611192</t>
  </si>
  <si>
    <t>1192</t>
  </si>
  <si>
    <t>Виконання заходів, спрямованих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 за рахунок субвенції з державного бюджету місцевим бюджетам</t>
  </si>
  <si>
    <t>0813120</t>
  </si>
  <si>
    <t>0813124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</si>
  <si>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</si>
  <si>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</si>
  <si>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 xml:space="preserve"> Внутрішні зобов'язання </t>
  </si>
  <si>
    <t>41056600</t>
  </si>
  <si>
    <t>Субвенція з місцевого бюджету на заходи, спрямовані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 за рахунок відповідної субвенції з державного бюджету</t>
  </si>
  <si>
    <t xml:space="preserve">Субвенція з місцевого  бюджету на заходи, спрямовані на боротьбу з гострою респіраторною хворобою COVID-19, спричиненою коронавірусом  SARS- CoV-2 та її наслідками під час навчального процесу у закладах загальної середньої освіти за рахунок відповідної субвенції з державного бюджету </t>
  </si>
  <si>
    <t>0619000</t>
  </si>
  <si>
    <t>0619700</t>
  </si>
  <si>
    <t>0619770</t>
  </si>
  <si>
    <t>Розвиток готельного господарства та туризму</t>
  </si>
  <si>
    <t>1017620</t>
  </si>
  <si>
    <t>7620</t>
  </si>
  <si>
    <t>Реалізація програм і заходів в галузі туризму та курортів</t>
  </si>
  <si>
    <t>1017622</t>
  </si>
  <si>
    <t>7622</t>
  </si>
  <si>
    <t>Програма цифрового розвитку на 2021-2025 роки (із змінами)</t>
  </si>
  <si>
    <t>Рішення 7-ї сесії Хмельницької міської ради від 14.07.2021 року №9</t>
  </si>
  <si>
    <t>Разом  доходів (з врахуванням міжбюджетних трансфертів)</t>
  </si>
  <si>
    <t>Єдиний податок  з юридичних осіб</t>
  </si>
  <si>
    <t xml:space="preserve"> Інші надходження  </t>
  </si>
  <si>
    <t>Програма забезпечення охорони прав і свобод людини, профілактики злочинності та підтримання публічної безпеки і порядку на території Хмельницької міської територіальної громади на 2021 – 2025 роки (із змінами)</t>
  </si>
  <si>
    <t>Субвенція з державного бюджету місцевим бюджетам на створення навчально-практичних центрів сучасної професійної (професійно-технічної) освіти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</si>
  <si>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</si>
  <si>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</si>
  <si>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</si>
  <si>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 xml:space="preserve"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</si>
  <si>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>Субвенція з місцевого бюджету на виплату грошової компенсації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 - II групи, які стали особами з інвалідністю внаслідок 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</si>
  <si>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</si>
  <si>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>0611222</t>
  </si>
  <si>
    <t>1222</t>
  </si>
  <si>
    <t>Виконання інвестиційних проектів</t>
  </si>
  <si>
    <t>7360</t>
  </si>
  <si>
    <t>0717300</t>
  </si>
  <si>
    <t>0717360</t>
  </si>
  <si>
    <t>0717363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</si>
  <si>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</si>
  <si>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</si>
  <si>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</si>
  <si>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0813220</t>
  </si>
  <si>
    <t>3220</t>
  </si>
  <si>
    <t>0813221</t>
  </si>
  <si>
    <t>3221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</si>
  <si>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</t>
  </si>
  <si>
    <t>0813222</t>
  </si>
  <si>
    <t>3222</t>
  </si>
  <si>
    <t>0813223</t>
  </si>
  <si>
    <t>3223</t>
  </si>
  <si>
    <t>гарантії їх соціального захисту", та які потребують поліпшення житлових умов</t>
  </si>
  <si>
    <t>Грошова компенсація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I-II групи, які стали особами з інвалідністю внаслідок</t>
  </si>
  <si>
    <t>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</t>
  </si>
  <si>
    <t>потребують поліпшення житлових умов</t>
  </si>
  <si>
    <t>0813224</t>
  </si>
  <si>
    <t>3224</t>
  </si>
  <si>
    <t>0816083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</si>
  <si>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</si>
  <si>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</si>
  <si>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41034500</t>
  </si>
  <si>
    <t>41050500</t>
  </si>
  <si>
    <t>41033800</t>
  </si>
  <si>
    <t>41050400</t>
  </si>
  <si>
    <t>Субвенція з місцевого бюджету на проєктні,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числа, за рахунок відповідної субвенції з державного бюджету</t>
  </si>
  <si>
    <t>41054200</t>
  </si>
  <si>
    <t>Субвенція з місцевого бюджету на виплату грошової компенсації за належні для отримання жилі приміщення для сімей осіб, визначених у абзаці чотирнадцятому пункту 1 статті 10 Закону України «Про статус ветеранів війни, гарантії їх соціального захисту», для осіб з інвалідністю І – ІІ групи, які стали особами з інвалідністю внаслідок поранень, каліцтва, контузії чи інших ушкоджень здоров’я, одержаних під час участі у Революції Гідності, визначених пунктом 10 частини другої статті 7 Закону України «Про</t>
  </si>
  <si>
    <t xml:space="preserve">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 </t>
  </si>
  <si>
    <t xml:space="preserve">  - для забезпечення функціонування відділення боксу Хмельницької ДЮСШ №2 "Авангард" ФСТ "Україна)</t>
  </si>
  <si>
    <t xml:space="preserve">  - на нове будівництво зовнішніх мереж водопостачання в с. Копистин</t>
  </si>
  <si>
    <t>0617300</t>
  </si>
  <si>
    <t xml:space="preserve">	Економічна діяльність</t>
  </si>
  <si>
    <t>0617000</t>
  </si>
  <si>
    <t>0617320</t>
  </si>
  <si>
    <t>0617600</t>
  </si>
  <si>
    <t>0617640</t>
  </si>
  <si>
    <t>Капітальний ремонт приміщень Хмельницької міської ради за адресою: Хмеьницька область, м. Хмельницький, вулиця Пушкіна, 1 (в тому числі виготовлення проєктно-кошторисної документації)</t>
  </si>
  <si>
    <t>Капітальний ремонт системи опалення (з встановленням електричних котлів) адміністративної будівлі управління охорони здоров'я Хмельницької міської ради за адресою: вул. Грушевського, 64 в м. Хмельницькому</t>
  </si>
  <si>
    <t>2021 рsк</t>
  </si>
  <si>
    <t>Інша діяльність у сфері транспорту</t>
  </si>
  <si>
    <t>1917450</t>
  </si>
  <si>
    <t>7450</t>
  </si>
  <si>
    <t>1117300</t>
  </si>
  <si>
    <t>1117320</t>
  </si>
  <si>
    <t>1117325</t>
  </si>
  <si>
    <t>0617321</t>
  </si>
  <si>
    <t>Інші субвенції з місцевого бюджету (на нове будівництво зовнішніх мереж водопостачання в с. Копистин)</t>
  </si>
  <si>
    <t>41053900</t>
  </si>
  <si>
    <t>Інші субвенції з місцевого бюджету (для забезпечення функціонування відділення боксу Хмельницької ДЮСШ №2 "Авангард" ФСТ "Україна" (на підготовку спортсменів, проведення спортивних змагань, навчально-тренувальних зборів, придбання спортивного інвентаря та обладнання))</t>
  </si>
  <si>
    <t>Реконструкція спортивного майданчика Національної академії Державної прикордонної служби України імені Богдана Хмельницького з влаштування футбольного поля (91 х 46) зі штучним покриттям по вулиці Шевченка, 46, для проведення спільних спортивних заходів та заходів військово-патріотичного виховання молоді міста Хмельницького, пропаганди здорового способу життя, формування відповідного рівня фізичної підготовки та витривалості</t>
  </si>
  <si>
    <t>1119000</t>
  </si>
  <si>
    <t>1119700</t>
  </si>
  <si>
    <t>1119770</t>
  </si>
  <si>
    <t>ДОХОДИ</t>
  </si>
  <si>
    <t xml:space="preserve">          1. Показники міжбюджетних трансфертів з інших бюджетів</t>
  </si>
  <si>
    <t xml:space="preserve">          2. Показники міжбюджетних трансфертів іншим бюджетам</t>
  </si>
  <si>
    <t>ОБСЯГИ</t>
  </si>
  <si>
    <t>капітальних вкладень бюджету у розрізі інвестиційних проектів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</si>
  <si>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</si>
  <si>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</si>
  <si>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</si>
  <si>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бюджету Хмельницької міської територіальної громади всього, гривень</t>
  </si>
  <si>
    <t>витрат бюджету Хмельницької міської територіальної громади на реалізацію місцевих/регіональних</t>
  </si>
  <si>
    <t>Надання спеціалізованої освіти мистецькими школами</t>
  </si>
  <si>
    <t>Реконструкція відділення невідкладної допомоги та реанімації комунального підприємства "Хмельницька міська дитяча лікарня" Хмельницької міської ради за адресою: м. Хмельницький, вул. Степана Разіна, 1</t>
  </si>
  <si>
    <t>Будівництво Палацу спорту по вул.Прибузькій, 5/1а у м.Хмельницькому (коригування)</t>
  </si>
  <si>
    <t>Будівництво артезіанської свердловини, водонапірної башти та водогону в с.Малашівці Хмельницького району Хмельницької області</t>
  </si>
  <si>
    <t>2018 - 2024 роки</t>
  </si>
  <si>
    <t>Будівництво внутрішньоквартального проїзду між земельними ділянками по вул. Старокостянтинівське шосе, 2/1 "З" в м. Хмельницькому</t>
  </si>
  <si>
    <t>Реконструкція  вбудовано-прибудованої аптеки під адміністративне приміщення управління адміністративних послуг Хмельницької міської ради  по вул. Кам'янецькій, 38 в м. Хмельницькому</t>
  </si>
  <si>
    <t>2818340</t>
  </si>
  <si>
    <t>8340</t>
  </si>
  <si>
    <t>Природоохоронні заходи за рахунок цільових фондів</t>
  </si>
  <si>
    <t>0611033</t>
  </si>
  <si>
    <t>1033</t>
  </si>
  <si>
    <t>2019 - 2022 роки</t>
  </si>
  <si>
    <t>Реконструкція стадіону Хмельницької середньої загальноосвітньої школи №18 І-ІІІ ступенів ім.В.Чорновола по вул. Купріна, 12 в  м.Хмельницькому</t>
  </si>
  <si>
    <t xml:space="preserve"> Реконструкція парку-пам'ятки садово-паркового мистецтва місцевого значення "Парк ім. М.Чекмана". Ділянка колеса огляду. </t>
  </si>
  <si>
    <t>Нове будівництво парку "Молодіжний" по вул. Бандери в м. Хмельницькому 1-а черга</t>
  </si>
  <si>
    <t>2022 рік</t>
  </si>
  <si>
    <t>Підвищення енергоефективності систем водопостачання та водоочищення: Реконструкція каналізаційних насосних станцій № 2, 7, 12 у місті Хмельницькому</t>
  </si>
  <si>
    <t>Внески до статутного капіталу ХКП "Спецкомунтранс" (Реконструкція "Винос газопроводу високого тиску з тіла полігону твердих побутових відходів м.Хмельницького" (коригування))</t>
  </si>
  <si>
    <t>Внески до статутного капіталу МКП "Хмельницькводоканал" (Нове будівництво зовнішніх мереж водопроводу в  с. Шаровечка Хмельницького району, Хмельницької області (ІІ черга))</t>
  </si>
  <si>
    <t>Будівництво системи водопостачання в с.Бахматівці Хмельницького району Хмельницької області</t>
  </si>
  <si>
    <t>Будівництво другої черги водогону  від с.Чернелівка Красилівського району до м.Хмельницький</t>
  </si>
  <si>
    <t>Внески до статутного капіталу МКП "Хмельницькводоканал" (Реконструкція напірного каналізаційного колектора діаметром 225 мм від КНС-22, вул.Камянецька, 134/1Д в м.Хмельницький)</t>
  </si>
  <si>
    <t>1210180</t>
  </si>
  <si>
    <t>Проєкт Програми економічного і соціального розвитку Хмельницької міської територіальної громади на 2022 рік</t>
  </si>
  <si>
    <t>1217300</t>
  </si>
  <si>
    <t>1217310</t>
  </si>
  <si>
    <t>Інша діяльність у сфері житлово-комунального господарства</t>
  </si>
  <si>
    <t>1416090</t>
  </si>
  <si>
    <t>6090</t>
  </si>
  <si>
    <t>0640</t>
  </si>
  <si>
    <t>Рішення 2-ї сесії Хмельницької міської ради від 23.12.2020 року №23</t>
  </si>
  <si>
    <t>Програма розвитку геоінформаційної системи Хмельницької міської ради на 2021 - 2025 роки</t>
  </si>
  <si>
    <t>Реконструкція покрівлі житлового будинку по вулиці Інститутська, 13 в м.Хмельницькому</t>
  </si>
  <si>
    <t>Виконання гарантійних зобов'язань за позичальників, що отримали кредити під місцеві гарантії</t>
  </si>
  <si>
    <t>Надання коштів для забезпечення гарантійних зобов'язань за позичальників, що отримали кредити під місцеві гарантії</t>
  </si>
  <si>
    <t>Програма «Громадські ініціативи»
Хмельницької міської територіальної громади на 2021-2025 роки (із змінами)</t>
  </si>
  <si>
    <t xml:space="preserve">Збір за місця для паркування транспортних засобів </t>
  </si>
  <si>
    <t xml:space="preserve">Збір за місця для паркування транспортних засобів, сплачений юридичними особами </t>
  </si>
  <si>
    <t>Проєкт Програми розвитку освіти Хмельницької міської територіальної громади на 2022 - 2026 роки</t>
  </si>
  <si>
    <t xml:space="preserve">Дотація з місцевого бюджету на здійснення  переданих з державного бюджету видатків з утримання закладів освіти та охорони здоров'я за рахунок відповідної дотації з державного бюджету </t>
  </si>
  <si>
    <t xml:space="preserve">Будівництво центру поводження з тваринами  КП "Надія" по вул. Заводській, 165 в м. Хмельницькому </t>
  </si>
  <si>
    <t>Програма економічного і соціального розвитку Хмельницької міської територіальної громади на 2022 рік</t>
  </si>
  <si>
    <t>Рішення 10-ї сесії Хмельницької міської ради від 15.12.2021 року №8</t>
  </si>
  <si>
    <t>Рішення 10-ї сесії Хмельницької міської ради від 15.12.2021 року №9</t>
  </si>
  <si>
    <t>Програма реалізації молодіжної політики та розвитку фізичної культури і спорту в Хмельницькій міській територіальній громаді на 2022 - 2026 роки</t>
  </si>
  <si>
    <t>Рішення 10-ї сесії Хмельницької міської ради від 15.12.2021 року №25</t>
  </si>
  <si>
    <t>Рішення 10-ї сесії Хмельницької міської ради від 15.12.2021 року №45</t>
  </si>
  <si>
    <t>Програма розвитку освіти Хмельницької міської територіальної громади на 2022 - 2026 роки</t>
  </si>
  <si>
    <t>Рішення 10-ї сесії Хмельницької міської ради від 15.12.2021 року №50</t>
  </si>
  <si>
    <t>Програма підтримки і розвитку житлово-комунальної інфраструктури Хмельницької міської територіальної громади на 2022 - 2027 роки</t>
  </si>
  <si>
    <t>Рішення 10-ї сесії Хмельницької міської ради від 15.12.2021 року №52</t>
  </si>
  <si>
    <t>Рішення 10-ї сесії Хмельницької міської ради від 15.12.2021 року №65</t>
  </si>
  <si>
    <t>Нове будівництво зовнішніх мереж водопостачання в с. Копистин Хмельницького району Хмельницької області</t>
  </si>
  <si>
    <t>1917600</t>
  </si>
  <si>
    <t>1917670</t>
  </si>
  <si>
    <t>Внески до статутного капіталу суб'єктів господарювання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</si>
  <si>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2022 рік</t>
  </si>
  <si>
    <t>Рішення 11-ї сесії Хмельницької міської ради від 30.12.2021 року №7</t>
  </si>
  <si>
    <t>Розвиток спортивної інфраструктури, у тому числі реконструкція, будівельно-ремонтні роботи об'єктів закладів фізичної культури і спорту, що забезпечують розвиток резервного спорту, льодових палаців/арен та стадіонів</t>
  </si>
  <si>
    <t>0717322</t>
  </si>
  <si>
    <t>0717320</t>
  </si>
  <si>
    <t>7322</t>
  </si>
  <si>
    <t>Реконструкція системи киснепостачання в КП "Хмельницька міська лікарня" Хмельницької міської ради по провулку  Проскурівський,1 м. Хмельницький (в тому числі виготовлення проєктно-кошторисної документації)</t>
  </si>
  <si>
    <t>1417693</t>
  </si>
  <si>
    <t>Громадський порядок та безпека</t>
  </si>
  <si>
    <t>0218200</t>
  </si>
  <si>
    <t>8200</t>
  </si>
  <si>
    <t>Заходи та роботи з територіальної оборони</t>
  </si>
  <si>
    <t>0380</t>
  </si>
  <si>
    <t>0218240</t>
  </si>
  <si>
    <t>8240</t>
  </si>
  <si>
    <t>Рішення 13-ї сесії Хмельницької міської ради від 23.02.2022 року №3</t>
  </si>
  <si>
    <t>Програма шефської допомоги військовим частинам Збройних Сил України, Національної гвардії України, які розташовані на території Хмельницької міської територіальної громади на 2022-2023 роки (із змінами)</t>
  </si>
  <si>
    <t>Комплексна програма «Піклування» в Хмельницькій міській територіальній громаді на 2022 - 2026 роки (із змінами)</t>
  </si>
  <si>
    <t>1517693</t>
  </si>
  <si>
    <t>1014070</t>
  </si>
  <si>
    <t>4070</t>
  </si>
  <si>
    <t>Фінансова підтримка кінематографії</t>
  </si>
  <si>
    <t>0823</t>
  </si>
  <si>
    <t>0713000</t>
  </si>
  <si>
    <t>0713230</t>
  </si>
  <si>
    <t>3230</t>
  </si>
  <si>
    <t>Видатки, пов’язані з наданням підтримки внутрішньо переміщеним та/або евакуйованим особам у зв’язку із введенням воєнного стану</t>
  </si>
  <si>
    <t>Програма розвитку, підтримки комунальних закладів охорони здоров’я та надання 
медичних послуг понад обсяг, передбачений програмою державних гарантій медичного обслуговування населення Хмельницької міської 
територіальної громади на 2021 - 2023 роки (зі змінами)</t>
  </si>
  <si>
    <t>0813230</t>
  </si>
  <si>
    <t>3717600</t>
  </si>
  <si>
    <t>3717690</t>
  </si>
  <si>
    <t>3717693</t>
  </si>
  <si>
    <t>Програма охорони довкілля Хмельницької міської територіальної громади на 2021-2025 роки (із змінами)</t>
  </si>
  <si>
    <t xml:space="preserve"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 статті 213 Податкового кодексу України) </t>
  </si>
  <si>
    <t>Акцизний податок з реалізації суб’єктами господарювання роздрібної торгівлі підакцизними товарами</t>
  </si>
  <si>
    <t>Спрямування коштів на житлове будівництво, реконструкцію та на ремонт житла всіх форм власності, в т. ч. будинків житлово-будівельних кооперативів (ТОВ «ЖЕО»), об'єднань співвласників багатоквартирних будинків, Будинкоуправління №2 КЕВ м.Хмельницький, ТОВ «Керуюча компанія «Домком Хмельницький» та будівель і споруд комунальної власності, ремонт споруд цивільного захисту (укриття, бомбосховища, тощо) комунальної власності</t>
  </si>
  <si>
    <t>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</t>
  </si>
  <si>
    <t>0218230</t>
  </si>
  <si>
    <t>8230</t>
  </si>
  <si>
    <t>Інші заходи громадського порядку та безпеки</t>
  </si>
  <si>
    <t>0813121</t>
  </si>
  <si>
    <t>Цільова програма попередження виникнення надзвичайних ситуацій та забезпечення  пожежної і техногенної безпеки об'єктів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</t>
  </si>
  <si>
    <t>Інші дотації з місцевого бюджету</t>
  </si>
  <si>
    <t>41040400</t>
  </si>
  <si>
    <t>1918000</t>
  </si>
  <si>
    <t>1918200</t>
  </si>
  <si>
    <t>1918220</t>
  </si>
  <si>
    <t>8220</t>
  </si>
  <si>
    <t>Заходи та роботи з мобілізаційної підготовки місцевого значення</t>
  </si>
  <si>
    <t>0618000</t>
  </si>
  <si>
    <t>0618200</t>
  </si>
  <si>
    <t>0618240</t>
  </si>
  <si>
    <t>Програма соціальної підтримки осіб, які захищали незалежність, суверенітет та територіальну цілісність України, а також членів їх сімей на 2021 – 2025 роки (із змінами)</t>
  </si>
  <si>
    <t>Будівництво вулиці Мельникова (від вул.Зарічанської до вул.Трудової) в м.Хмельницькому (коригування)</t>
  </si>
  <si>
    <t xml:space="preserve"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 статті 213 Податкового кодексу України </t>
  </si>
  <si>
    <t>1218000</t>
  </si>
  <si>
    <t>1218200</t>
  </si>
  <si>
    <t>1218230</t>
  </si>
  <si>
    <t>0613230</t>
  </si>
  <si>
    <t>Програма підтримки і розвитку житлово-комунальної інфраструктури Хмельницької міської територіальної громади на 2022 - 2027 роки (із змінами)</t>
  </si>
  <si>
    <t>1513000</t>
  </si>
  <si>
    <t>1513230</t>
  </si>
  <si>
    <r>
      <t>Будівництво</t>
    </r>
    <r>
      <rPr>
        <b/>
        <vertAlign val="superscript"/>
        <sz val="36"/>
        <color rgb="FFFF0000"/>
        <rFont val="Times New Roman"/>
        <family val="1"/>
        <charset val="204"/>
      </rPr>
      <t>1</t>
    </r>
    <r>
      <rPr>
        <sz val="36"/>
        <color rgb="FFFF0000"/>
        <rFont val="Times New Roman"/>
        <family val="1"/>
        <charset val="204"/>
      </rPr>
      <t>  споруд, установ та закладів фізичної культури і спорту</t>
    </r>
  </si>
  <si>
    <r>
      <t>Будівництво</t>
    </r>
    <r>
      <rPr>
        <b/>
        <vertAlign val="superscript"/>
        <sz val="11"/>
        <color rgb="FFFF0000"/>
        <rFont val="Times New Roman"/>
        <family val="1"/>
        <charset val="204"/>
      </rPr>
      <t>1</t>
    </r>
    <r>
      <rPr>
        <sz val="11"/>
        <color rgb="FFFF0000"/>
        <rFont val="Times New Roman"/>
        <family val="1"/>
        <charset val="204"/>
      </rPr>
      <t>  освітніх установ та закладів</t>
    </r>
  </si>
  <si>
    <r>
      <t>Будівництво</t>
    </r>
    <r>
      <rPr>
        <b/>
        <vertAlign val="superscript"/>
        <sz val="11"/>
        <color rgb="FFFF0000"/>
        <rFont val="Times New Roman"/>
        <family val="1"/>
        <charset val="204"/>
      </rPr>
      <t>1</t>
    </r>
    <r>
      <rPr>
        <sz val="11"/>
        <color rgb="FFFF0000"/>
        <rFont val="Times New Roman"/>
        <family val="1"/>
        <charset val="204"/>
      </rPr>
      <t>  медичних установ та закладів</t>
    </r>
  </si>
  <si>
    <r>
      <t>Будівництво</t>
    </r>
    <r>
      <rPr>
        <b/>
        <vertAlign val="superscript"/>
        <sz val="11"/>
        <color rgb="FFFF0000"/>
        <rFont val="Times New Roman"/>
        <family val="1"/>
        <charset val="204"/>
      </rPr>
      <t>1</t>
    </r>
    <r>
      <rPr>
        <sz val="11"/>
        <color rgb="FFFF0000"/>
        <rFont val="Times New Roman"/>
        <family val="1"/>
        <charset val="204"/>
      </rPr>
      <t>  об'єктів житлово-комунального господарства</t>
    </r>
  </si>
  <si>
    <t>Вільний залишок коштів на 01.01.2023  року:</t>
  </si>
  <si>
    <t>Надходження коштів від забудовників, які без відповідного дозволу здійснили або здійснюють роботи по будівництву, реконструкції, реставрації, капітальному ремонту об'єктів містобудування</t>
  </si>
  <si>
    <t>2.1.6.</t>
  </si>
  <si>
    <t>Добровільні внески підприємств, організацій, установ та громадян на соціально-економічний та культурний розвиток громади</t>
  </si>
  <si>
    <t>2.1.7.</t>
  </si>
  <si>
    <t>Кошти за відшкодування вартості видалених та знесених зелених насаджень</t>
  </si>
  <si>
    <t>Надання грошової допомоги за поданням секретаря ради, або керуючого справами виконавчого комітету на підставі рішення виконавчого комітету Хмельницької міської ради для поховання: загиблих та померлих учасників ООС, загиблих та померлих учасників, які брали участь у відсічі під час захисту державного суверенітету та територіальної цілісності України в період військової агресії Російської Федерації проти України; Почесних громадян Хмельницької міської територіальної громади; інших осіб.
Виплата грошової винагороди у розмірі, передбаченому Положенням про звання "Почесний громадянин міста Хмельницького", Положенням "Про почесну відзнаку міської громади "Мужність і відвага"</t>
  </si>
  <si>
    <t>2819800</t>
  </si>
  <si>
    <t>2819000</t>
  </si>
  <si>
    <t>Рішення 16-ї сесії Хмельницької міської ради від 28.04.2022 року №11</t>
  </si>
  <si>
    <t>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</si>
  <si>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Обсяг капітальних вкладень бюджету Хмельницької міської територіальної громади у 2023 році, гривень</t>
  </si>
  <si>
    <t>Очікуваний рівень готовності проекту на кінець 2023 року, %</t>
  </si>
  <si>
    <t>Комплексна програма реалізації молодіжної політики та розвитку фізичної культури і спорту в Хмельницькій міській територіальній громаді на 2022-2026 роки (із змінами)</t>
  </si>
  <si>
    <t>2021 - 2023 роки</t>
  </si>
  <si>
    <t>Реконструкція футбольного поля під штучним покриттям Хмельницької дитячо-юнацької спортивної школи № 1 по вул.Спортивній,17 в м. Хмельницькому (коригування)</t>
  </si>
  <si>
    <t>0717640</t>
  </si>
  <si>
    <t>Реконструкція системи мережі киснепостачання в приміщенні комунального підприємства «Хмельницька міська дитяча лікарня» Хмельницької міської ради по вул. Олега Ольжича, 1 у м.Хмельницькому</t>
  </si>
  <si>
    <t>0710170</t>
  </si>
  <si>
    <t>Реконструкція спортивного майданчика біля житлового будинку по вул.Прибузькій, 36 в м.Хмельницькому</t>
  </si>
  <si>
    <t>Програма
підтримки обдарованих дітей м.Хмельницького (із змінами)</t>
  </si>
  <si>
    <t>1610180</t>
  </si>
  <si>
    <t>1216090</t>
  </si>
  <si>
    <t>Програма співфінансування робіт з ремонту багатоквартирних житлових будинків Хмельницької міської територіальної громади на 2020 - 2024 роки (із змінами)</t>
  </si>
  <si>
    <t>2022 - 2023 роки</t>
  </si>
  <si>
    <t>2023 рік</t>
  </si>
  <si>
    <t>1017640</t>
  </si>
  <si>
    <t>Програма розвитку  електротранспорту Хмельницької міської територіальної громади  на 2021 - 2025 роки (із змінами)</t>
  </si>
  <si>
    <t>Нове будівництво зовнішніх  мереж електропостачання індустріального парку  "Хмельницький" по вул. Вінницьке шосе, 18 в м. Хмельницькому</t>
  </si>
  <si>
    <t>Нове будівництво проїздів (штучних споруд) із інфраструктурою від вул. Прибузької до об'єкту "Будівництво Палацу спорту по вул. Прибузькій, 5/1А у м. Хмельницькому"</t>
  </si>
  <si>
    <t>2021 - 2024 роки</t>
  </si>
  <si>
    <t>2022 - 2024 роки</t>
  </si>
  <si>
    <t>За власні кошти підприємства - 445581,00 грн - ПКД, +38448,00 грн - експертиза</t>
  </si>
  <si>
    <t>Програма міжнародного співробітництва та промоції Хмельницької міської територіальної громади на 2021-2025 роки (із змінами і доповненнями)</t>
  </si>
  <si>
    <t>Надходження від скидів забруднюючих речовин безпосередньо у водні об'єкти</t>
  </si>
  <si>
    <t xml:space="preserve">Надходження від розміщення відходів у спеціально відведених місцях чи на об'єктах, крім розміщення окремих видів відходів як вторинної сировини </t>
  </si>
  <si>
    <t>Програма державного моніторингу у галузі охорони атмосферного повітря агломерації «Хмельницький» на 2022 - 2026 роки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</si>
  <si>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</si>
  <si>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</t>
  </si>
  <si>
    <t xml:space="preserve"> Надання загальної середньої освіти спеціалізованими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</si>
  <si>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</si>
  <si>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Надання загальної середньої освіти спеціалізованими закладами загальної середньої освіти за рахунок освітньої субвенції</t>
  </si>
  <si>
    <t>Захист населення і територій від надзвичайних ситуацій</t>
  </si>
  <si>
    <t>Програма економічного і соціального розвитку Хмельницької міської територіальної громади на 2023 рік</t>
  </si>
  <si>
    <t>Рішення 22-ї сесії Хмельницької міської ради від 21.12.2022 року №8</t>
  </si>
  <si>
    <t>Рішення 22-ї сесії Хмельницької міської ради від 21.12.2022 року №10</t>
  </si>
  <si>
    <t>Програма часткової компенсації вартості закупівлі генераторів для забезпечення потреб мешканців багатоквартирних житлових будинків Хмельницької міської територіальної громади на 2022 - 2023 роки</t>
  </si>
  <si>
    <t>Рішення 22-ї сесії Хмельницької міської ради від 21.12.2022 року №41</t>
  </si>
  <si>
    <t>Програма забезпечення контролю за благоустроєм, санітарним станом та стихійною торгівлею на території Хмельницької міської територіальної громади на 2023 - 2024 роки</t>
  </si>
  <si>
    <t>Рішення 22-ї сесії Хмельницької міської ради від 21.12.2022 року №44</t>
  </si>
  <si>
    <t>Штрафні санкції, що застосовуються відповідно до Закону України "Про державне ругулювання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сигарета, та пального "</t>
  </si>
  <si>
    <t>Надходження коштів від відшкодування…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</si>
  <si>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</si>
  <si>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9900000000</t>
  </si>
  <si>
    <t>2231720000</t>
  </si>
  <si>
    <t>2254800000</t>
  </si>
  <si>
    <t>2253000000</t>
  </si>
  <si>
    <t>2210000000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</si>
  <si>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2023 рік</t>
  </si>
  <si>
    <t>Рішення 23-ї сесії Хмельницької міської ради від 29.12.2022 року №4</t>
  </si>
  <si>
    <t>Програма розвитку підприємництва Хмельницької міської територіальної громади на 2022 - 2025 роки (із змінами)</t>
  </si>
  <si>
    <t>Програма організаційно-практичних заходів щодо комплексної підтримки державної установи «Хмельницький слідчий ізолятор» на 2021 – 2025 роки (із змінами)</t>
  </si>
  <si>
    <t>до рішення №   від  2023 року</t>
  </si>
  <si>
    <t>від              2023</t>
  </si>
  <si>
    <t xml:space="preserve">до рішення  №       від                    2023 року </t>
  </si>
  <si>
    <t>Додаток 4
до рішення  №    від               2023 року</t>
  </si>
  <si>
    <t>до рішення №    від            2023 року</t>
  </si>
  <si>
    <t xml:space="preserve">Додаток 6
до рішення №         від               2023 року
</t>
  </si>
  <si>
    <t xml:space="preserve">до рішення  №      від            2023 року </t>
  </si>
  <si>
    <t xml:space="preserve"> від          .2023</t>
  </si>
  <si>
    <t>від                 2023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</si>
  <si>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освітніх установ та закладів</t>
    </r>
  </si>
  <si>
    <t>2020-2023 роки</t>
  </si>
  <si>
    <t>2717640</t>
  </si>
  <si>
    <t>Рішення 46-ї сесії Хмельницької міської ради від 07.10.2020 року №3</t>
  </si>
  <si>
    <t>2718000</t>
  </si>
  <si>
    <t>2718200</t>
  </si>
  <si>
    <t>2718240</t>
  </si>
  <si>
    <t>2713000</t>
  </si>
  <si>
    <t>2713230</t>
  </si>
  <si>
    <t>0817640</t>
  </si>
  <si>
    <t>Програма взаємодії регіонального сервісного центру ГСЦ МВС в Хмельницькій області (філія ГСЦ МВС) із Хмельницькою міською радою в сфері надання адміністративних послуг населенню на 2023 рік</t>
  </si>
  <si>
    <t>Рішення 22-ї сесії Хмельницької міської ради від 21.12.2022 року №19</t>
  </si>
  <si>
    <t>Рішення 24-ї сесії Хмельницької міської ради від 10.02.2023 року №5</t>
  </si>
  <si>
    <t>Рішення 24-ї сесії Хмельницької міської ради від 10.02.2023 року №4</t>
  </si>
  <si>
    <t>Реконструкція водопроводу від вул. Проскурівська по пров. Проскурівський, вул. Пилипчука до пров. Шевченка в м.Хмельницький</t>
  </si>
  <si>
    <t>Будівництво ділянки водопроводу діам. 315 мм по вул. К. Степанкова в м.Хмельницький</t>
  </si>
  <si>
    <t>Реконструкція ділянки водопроводу від вул.Кам`янецька по вул. Проскурівського підпілля до р. Плоска в м.Хмельницький</t>
  </si>
  <si>
    <t>Реконструкція ділянки водопроводу по вул. Залізняка (перехід через вул.П.Мирного) в м.Хмельницький</t>
  </si>
  <si>
    <t>Реконструкція водопроводу по вул. Шестакова, від вул.Староміська до ж.б. № 46, 39 по вул.Шестакова в м. Хмельницький</t>
  </si>
  <si>
    <t>Реконструкція ділянки водопроводу діам. 110 мм по вул. Тернопільська між буд. № 30 - №34 в м.Хмельницький</t>
  </si>
  <si>
    <t>Реконструкція ділянки водопроводу діам. 160 мм по вул. Прибузька між буд. №10 - №12 в м.Хмельницький</t>
  </si>
  <si>
    <t>Реконструкція самопливного каналізаційного колектора діам.800 мм від ж.б.№203 до колодязя №551а по вул. Проскурівського підпілля в м.Хмельницький</t>
  </si>
  <si>
    <t>Реконструкція напірного каналізаційного колектора діаметром 225 мм від КНС-22, вул.Кам`янецька, 134/1Д в м.Хмельницький</t>
  </si>
  <si>
    <t>Реконструкція самопливного каналізаційного колектора від буд. №4А по  вул. Свободи до буд.№20/2 по вул. Зарічанській в м.Хмельницький</t>
  </si>
  <si>
    <t>Реконструкція ділянки водопроводу від ж.б. №4 до ж.б. №2 по вул. Шухевича в м. Хмельницький</t>
  </si>
  <si>
    <t>Реконструкція ділянки каналізаційної мережі від ж.б. №3 та №3/1 по вул.Січових стрільців з переходом даної вулиці в м.Хмельницькому</t>
  </si>
  <si>
    <t>Будівництво мереж водовідведення вул.Д.Нечая, вул.Блакитної, пров. Молодіжного в м.Хмельницькому</t>
  </si>
  <si>
    <t>Нове будівництво вуличних мереж водопостачання житлових будинків по вул. Глушенкова (мікрорайон Ружична) в м. Хмельницький</t>
  </si>
  <si>
    <t>70/30</t>
  </si>
  <si>
    <t>Реконструкція ділянки водопроводу діаметром 500мм по вул. Тернопільська в м. Хмельницькій</t>
  </si>
  <si>
    <t>Нове будівництво зовнішніх мереж водопостачання вулиць Старосадова, Яблунева, Пшенична, Ланок, Багалія, Колективна мікрорайону Книжківці в м. Хмельницький</t>
  </si>
  <si>
    <t>Нове будівництво станції очищення господарсько-побутових стічних вод продуктивністю БІО-S-150 30м3/добу, в с. Пирогівці Хмельницького району, Хмельницької області</t>
  </si>
  <si>
    <t>Внески до статутного капіталу 
МКП "Хмельницькводоканал", в тому числі:</t>
  </si>
  <si>
    <t>Внески до статутного капіталу 
КП "Акведук", в тому числі:</t>
  </si>
  <si>
    <t>Внески до статутного капіталу 
ХКП "Спецкомунтранс", в тому числі:</t>
  </si>
  <si>
    <t>Нове будівництво нежитлового приміщення за адресою: вул.Заводська, 165 в м.Хмельницькому</t>
  </si>
  <si>
    <t>Проєкт Програми підтримки і розвитку спеціалізованого комунального підприємства «Хмельницька міська ритуальна служба»  на 2023 – 2027 роки</t>
  </si>
  <si>
    <t>Проєкт Програми підтримки та розвитку Хмельницького комунального підприємства «Міськсвітло»  на 2023-2027 роки</t>
  </si>
  <si>
    <t>Програма забезпечення підтримання громадського порядку в суді, припинення проявів неповаги до суду, охорони приміщень суду, органів та установ системи правосуддя, виконання функцій щодо державного забезпечення особистої безпеки суддів та членів їх сімей, працівників суду, забезпечення у суді безпеки учасників судового процесу на території Хмельницької міської територіальної громади на 2023-2024 роки</t>
  </si>
  <si>
    <t>Рішення 24-ї сесії Хмельницької міської ради від 10.02.2023 року №60</t>
  </si>
  <si>
    <t>1919000</t>
  </si>
  <si>
    <t>1919800</t>
  </si>
  <si>
    <t>1117640</t>
  </si>
  <si>
    <t>Нове будівництво зовнішніх мереж водопроводу в с. Шаровечка Хмельницького району Хмельницької області</t>
  </si>
  <si>
    <t>Дотації з державного бюджету місцевим бюджетам</t>
  </si>
  <si>
    <t>41020000</t>
  </si>
  <si>
    <t>Реконструкція приміщень НВО №1 по вул. Старокостянтинівське шосе, 3Б в м.Хмельницькому (коригування)</t>
  </si>
  <si>
    <t>2012 - 2023 роки</t>
  </si>
  <si>
    <t xml:space="preserve"> Реконструкція з добудовою приміщень Хмельницького ліцею №17 під спортивну залу на вул. Героїв Майдану, 5 в м. Хмельницькому (коригування)</t>
  </si>
  <si>
    <t>2018 - 2023 роки</t>
  </si>
  <si>
    <t>Програма забезпечення антитерористичного та протидиверсійного захисту важливих державних об’єктів, місць масового перебування людей, об’єктів критичної та транспортної інфраструктури Хмельницької міської територіальної громади  на 2023-2024 роки (із змінами)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</si>
  <si>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</si>
  <si>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Сергій ЯМЧУК</t>
  </si>
  <si>
    <t>Управління капітального будівництва  Хмельницької міської ради (головний розпорядник)</t>
  </si>
  <si>
    <t>Рішення 25-ї сесії Хмельницької міської ради від 28.03.2023 року №23</t>
  </si>
  <si>
    <t>Рішення 25-ї сесії Хмельницької міської ради від 28.03.2023 року №5</t>
  </si>
  <si>
    <t>Рішення 25-ї сесії Хмельницької міської ради від 28.03.2023 року №59</t>
  </si>
  <si>
    <t>Програма співфінансування робіт з реконструкції покрівель багатоквартирних житлових будинків Хмельницької міської територіальної громади на 2023 – 2027 роки</t>
  </si>
  <si>
    <t>Рішення 25-ї сесії Хмельницької міської ради від 28.03.2023 року №40</t>
  </si>
  <si>
    <t>Програма підтримки і розвитку міського комунального підприємства «Хмельницьктеплокомуненерго» на 2023 – 2027 роки</t>
  </si>
  <si>
    <t>Рішення 25-ї сесії Хмельницької міської ради від 28.03.2023 року №66</t>
  </si>
  <si>
    <t>Рішення 25-ї сесії Хмельницької міської ради від 28.03.2023 року №73</t>
  </si>
  <si>
    <t>Рішення 25-ї сесії Хмельницької міської ради від 28.03.2023 року №61</t>
  </si>
  <si>
    <t>Рішення 25-ї сесії Хмельницької міської ради від 28.03.2023 року №62</t>
  </si>
  <si>
    <t>Рішення 25-ї сесії Хмельницької міської ради від 28.03.2023 року №70</t>
  </si>
  <si>
    <t>Програма підтримки і розвитку комунального підприємства «Парки і сквери міста Хмельницького» на 2023 – 2027 роки</t>
  </si>
  <si>
    <t>Рішення 25-ї сесії Хмельницької міської ради від 28.03.2023 року №64</t>
  </si>
  <si>
    <t>Рішення 25-ї сесії Хмельницької міської ради від 28.03.2023 року №68</t>
  </si>
  <si>
    <t>Програма міськсвітла - СФ і БР 6007800,00 грн</t>
  </si>
  <si>
    <t>Включено в загальну суму: Програма ритуалки - СФ і БР 1888 075,00 грн</t>
  </si>
  <si>
    <t>Програма підвищення рівня безпеки пасажирських перевезень на території Хмельницької міської територіальної громади на 2023 рік</t>
  </si>
  <si>
    <t>Рішення 25-ї сесії Хмельницької міської ради від 28.03.2023 року №39</t>
  </si>
  <si>
    <t>Програма розвитку та фінансової підтримки комунального підприємства «Чайка» Хмельницької міської ради на 2023 – 2024 роки</t>
  </si>
  <si>
    <t>Рішення 25-ї сесії Хмельницької міської ради від 28.03.2023 року №69</t>
  </si>
  <si>
    <t>0455</t>
  </si>
  <si>
    <t>3718800</t>
  </si>
  <si>
    <t>3718880</t>
  </si>
  <si>
    <t>3718881</t>
  </si>
  <si>
    <t>8881</t>
  </si>
  <si>
    <t>3718882</t>
  </si>
  <si>
    <t>8882</t>
  </si>
  <si>
    <t>Повернення коштів, наданих для виконання гарантійних зобов'язань за позичальників, що отримали кредити під місцеві гарантії</t>
  </si>
  <si>
    <t>4112</t>
  </si>
  <si>
    <t>Надання кредитів підприємства, установам, організаціям</t>
  </si>
  <si>
    <t xml:space="preserve"> 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</si>
  <si>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1115040</t>
  </si>
  <si>
    <t>1115049</t>
  </si>
  <si>
    <t>5049</t>
  </si>
  <si>
    <t>Виконання окремих заходів з реалізації соціального проекту "Активні парки - локації здорової України"</t>
  </si>
  <si>
    <t>Програма національно-патріотичного виховання мешканців Хмельницької міської територіальної громади на 2023-2024 роки (із змінами)</t>
  </si>
  <si>
    <t>Програма профілактики адміністративних правопорушень та покращення забезпечення громадського правопорядку для жителів Хмельницької міської територіальної громади на 2023 – 2024 роки (із змінами)</t>
  </si>
  <si>
    <t>Програма заходів національного спротиву Хмельницької міської територіальної громади на 2023 рік (із змінами)</t>
  </si>
  <si>
    <t xml:space="preserve">Програма підтримки членів сімей загиблих (померлих) ветеранів війни, членів сімей загиблих (померлих) Захисників і Захисниць України мешканців Хмельницької міської територіальної громади «Родини Героїв» на 2023 – 2025 роки (із змінами) </t>
  </si>
  <si>
    <t>Програма бюджетування за участі громадськості (Бюджет участі) Хмельницької міської територіальної громади на 2020-2023 роки (із змінами)</t>
  </si>
  <si>
    <t>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безпеки, усунення загрози небезпеки державній незалежності України, її територіальній цілісності</t>
  </si>
  <si>
    <t>0219820</t>
  </si>
  <si>
    <t>9820</t>
  </si>
  <si>
    <t>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</t>
  </si>
  <si>
    <t>Виконання заходів щодо облаштування безпечних умов у закладах загальної середньої освіти</t>
  </si>
  <si>
    <t>0611260</t>
  </si>
  <si>
    <t>1260</t>
  </si>
  <si>
    <t>0611261</t>
  </si>
  <si>
    <t>1261</t>
  </si>
  <si>
    <t>Співфінансування заходів, що реалізуються за рахунок субвенції з державного бюджету місцевим бюджетам на облаштування безпечних умов у закладах загальної середньої освіти</t>
  </si>
  <si>
    <t>0611262</t>
  </si>
  <si>
    <t>1262</t>
  </si>
  <si>
    <t>Виконання заходів щодо облаштування безпечних умов у закладах загальної середньої освіти за рахунок субвенції з державного бюджету місцевим бюджетам</t>
  </si>
  <si>
    <t>Програма розвитку освіти Хмельницької міської територіальної громади на 2022 - 2026 роки (зі змінами)</t>
  </si>
  <si>
    <t>Програма створення та розвитку індустріального парку "Хмельницький"  (із змінами)</t>
  </si>
  <si>
    <t>Частина чистого прибутку (доходу)  комунальних унітарних підприємств та їх об'єднань, що вилучається до відповідного місцевого бюджету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</si>
  <si>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"Перехідні положення" Земельного кодексу України</t>
  </si>
  <si>
    <t>Субвенція з місцевого бюджету на облаштування безпечних умов у закладах загальної середньої освіти за рахунок відповідної субвенції з державного бюджету</t>
  </si>
  <si>
    <t>Будівництво каналізаційних мереж в мікрорайоні "Озерна" в м. Хмельницькому (коригування)</t>
  </si>
  <si>
    <t>0217640</t>
  </si>
  <si>
    <t>Програма «Здійснення Управлінням ДМС у Хмельницькій області та Хмельницькою міською радою заходів у сфері громадянства, міграції, надання адміністративних послуг на 2023 рік»</t>
  </si>
  <si>
    <t>Рішення 29-ї сесії Хмельницької міської ради від 02.06.2023 року №21</t>
  </si>
  <si>
    <t xml:space="preserve">Комплексна програма мобілізації зусиль Хмельницької міської ради та Головного управління Державної податкової служби у Хмельницькій області по забезпеченню надходжень до бюджету Хмельницької міської територіальної громади на 2021-2023 роки (із змінами) </t>
  </si>
  <si>
    <t>Нове будівництво нежитлового приміщення за адресою: вул.Заводська, 165 в м.Хмельницькому (коригування)</t>
  </si>
  <si>
    <t>Програма підтримки і розвитку комунального підприємства "Елеватор" Хмельницької міської ради на 2023 - 2027 роки (із змінами)</t>
  </si>
  <si>
    <t>Програма підтримки і розвитку міського комунального підприємства «Хмельницькводоканал» на 2023-2027 роки (із змінами)</t>
  </si>
  <si>
    <t>1416016</t>
  </si>
  <si>
    <t>6016</t>
  </si>
  <si>
    <t>Впровадження засобів обліку витрат та регулювання споживання води та теплової енергії</t>
  </si>
  <si>
    <t>Програма підтримки і розвитку міського комунального підприємства «Хмельницьктеплокомуненерго» на 2023 – 2027 роки (із змінами)</t>
  </si>
  <si>
    <t>Програма підтримки і розвитку комунального підприємства по зеленому будівництву і благоустрою міста виконавчого комітету Хмельницької міської ради на 2023 - 2027 роки (із змінами)</t>
  </si>
  <si>
    <t xml:space="preserve">Програма підтримки і розвитку комунального підприємства по будівництву, ремонту та експлуатації доріг виконавчого комітету Хмельницької міської ради на 2023-2027 роки </t>
  </si>
  <si>
    <t xml:space="preserve">Програма підтримки і розвитку комунального підприємства «Акведук» Хмельницької міської ради на 2023 – 2027 роки </t>
  </si>
  <si>
    <t>Програма підтримки та розвитку Хмельницького комунального підприємства «Спецкомунтранс» на 2023 – 2027 роки (із змінами)</t>
  </si>
  <si>
    <t>Реконструкція каналізаційної мережі по вул. С. Бандери,22 в м. Хмельницький</t>
  </si>
  <si>
    <t>Будівництво вуличних мереж каналізації по пров. Північному в м.Хмельницький</t>
  </si>
  <si>
    <t>Реконструкція ділянки водопроводу по вул. Гоголя від вул. О.Теліги до ж.б.№99 по вул. Гоголя в м. Хмельницький</t>
  </si>
  <si>
    <t>Програма розвитку та вдосконалення міського пасажирського транспорту  міста Хмельницького на 2019 - 2023 роки  (із змінами і доповненнями)</t>
  </si>
  <si>
    <t>Програма розвитку електротранспорту Хмельницької міської територіальної громади на 2021 - 2025 роки</t>
  </si>
  <si>
    <t xml:space="preserve"> Реконструкція приміщень рентгенкабінету під приміщення ангіографії з облаштуванням даху, вхідної групи центрального входу приміщень фойє та коридору (заходи з енергозбереження та дотримання умов доступності маломобільних груп населення ) першого поверху корпусу №3 комунального підприємства «Хмельницька міська лікарня» Хмельницької міської ради  за  адресою: м.Хмельницький, провулок Проскурівський,1</t>
  </si>
  <si>
    <t>Нове будівництво зовнішніх мереж газопостачання індустріального парку "Хмельницький" по вул. Вінницьке шосе, 18 в м. Хмельницькому (коригування)</t>
  </si>
  <si>
    <t xml:space="preserve"> Нове будівництво зовнішніх мереж  водопостачання та каналізації індустріального парку  "Хмельницький" по  вул. Вінницьке шосе, 18 в м. Хмельницькому (коригування)</t>
  </si>
  <si>
    <t>Субвенція з місцевого бюджету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</si>
  <si>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</si>
  <si>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</t>
  </si>
  <si>
    <t xml:space="preserve">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</si>
  <si>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</t>
  </si>
  <si>
    <t xml:space="preserve">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</si>
  <si>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</t>
  </si>
  <si>
    <t>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</si>
  <si>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Грошова компенсація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</t>
  </si>
  <si>
    <t>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</t>
  </si>
  <si>
    <t>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</t>
  </si>
  <si>
    <t>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</si>
  <si>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 xml:space="preserve">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</t>
  </si>
  <si>
    <t>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</t>
  </si>
  <si>
    <t>України "Про статус ветеранів війни, гарантії їх соціального захисту", та які потребують поліпшення житлових умов</t>
  </si>
  <si>
    <t xml:space="preserve"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 з числа </t>
  </si>
  <si>
    <t>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</t>
  </si>
  <si>
    <t>Виконання заходів щодо створення навчально-практичних центрів сучасної професійної (професійно-технічної) освіти</t>
  </si>
  <si>
    <t>Реконструкція ділянки водопроводу по вул. Проскурівська, 66 в  м. Хмельницький</t>
  </si>
  <si>
    <t>Програма розвитку та організації надання адміністративних послуг на території Хмельницької міської територіальної громади на 2023 рік</t>
  </si>
  <si>
    <t>Рішення 31-ї сесії Хмельницької міської ради від 28.07.2023 року №20</t>
  </si>
  <si>
    <t xml:space="preserve">Секретар міської ради </t>
  </si>
  <si>
    <t xml:space="preserve">Віталій ДІДЕНКО </t>
  </si>
  <si>
    <t>Програма підтримки 
Хмельницькою міською радою
державних стандартів у сфері 
забезпечення доступу громадян до 
правосуддя на 2023 рік</t>
  </si>
  <si>
    <t>Рішення 33-ї сесії Хмельницької міської ради від 15.09.2023 року №12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</si>
  <si>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</si>
  <si>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Рішення 31-ї сесії Хмельницької міської ради від 28.07.2023 року №48</t>
  </si>
  <si>
    <t>Програма підтримки і розвитку Хмельницького комунального підприємства «Міськсвітло» на 2023-2027 роки</t>
  </si>
  <si>
    <t>Програма підтримки і розвитку Спеціалізованого комунального підприємства «Хмельницька міська ритуальна служба» на 2023-2027 роки</t>
  </si>
  <si>
    <t>Рішення 33-ї сесії Хмельницької міської ради від 15.09.2023 року №43</t>
  </si>
  <si>
    <t>Програма підтримки і розвитку комунального підприємства "Акведук" Хмельницької міської ради на 2023 - 2027 роки (із змінами)</t>
  </si>
  <si>
    <t>Програма єдності та підтримки громад України, що постраждали внаслідок бойових дій, терористичних актів, диверсій, спричинених збройною агресією російської федерації проти України на 2023-2027 роки</t>
  </si>
  <si>
    <t>Рішення 31-ї сесії Хмельницької міської ради від 28.07.202 року №33</t>
  </si>
  <si>
    <t>Реконструкція будівель за адресою Хмельницька область, Хмельницький район, с.Головчинці, вул.Підлісна, 4/1 для облаштування місць проживання та реабілітації внутрішньо переміщених та евакуйованих осіб з впровадженням заходів з енергоефективності, а саме: Котельня. Теплові мережі</t>
  </si>
  <si>
    <t>2023 - 2024 роки</t>
  </si>
  <si>
    <t>Нове будівництво споруди цивільного захисту для Хмельницької спеціалізованої загальноосвітньої школи І-ІІІ ступенів №19 імені академіка Михайла Павловського на вул. Кам'янецька, 164 м.Хмельницького</t>
  </si>
  <si>
    <t>Нове будівництво споруди цивільного захисту для Хмельницького закладу дошкільної освіти №18 "Зірочка" Хмельницької міської ради Хмельницької області на вул. Кам'янецька, 65/1, м.Хмельницького</t>
  </si>
  <si>
    <t>Нове будівництво споруди цивільного захисту для Спеціалізованої загальноосвітньої школи І-ІІІ ступенів №12 м.Хмельницького на вул.Довженка, 6 м.Хмельницького</t>
  </si>
  <si>
    <t>1270</t>
  </si>
  <si>
    <t>0611270</t>
  </si>
  <si>
    <t>Виконання заходів за рахунок коштів освітньої субвенції з державного бюджету місцевим бюджетам (за спеціальним фондом державного бюджету)</t>
  </si>
  <si>
    <t>0611271</t>
  </si>
  <si>
    <t>1271</t>
  </si>
  <si>
    <t>0611272</t>
  </si>
  <si>
    <t>1272</t>
  </si>
  <si>
    <t>Реалізація заходів, що реалізуються за рахунок освітньої субвенції з державного бюджету місцевим бюджетам (за спеціальним фондом державного бюджету)</t>
  </si>
  <si>
    <t>Співфінансування заходів за рахунок освітньої субвенції з державного бюджету місцевим бюджетам (за спеціальним фондом державного бюджету)</t>
  </si>
  <si>
    <t>Програма сприяння розвитку волонтерства на території Хмельницької міської територіальної громади на 2023-2027 роки</t>
  </si>
  <si>
    <t>Рішення 29-ї сесії Хмельницької міської ради від 02.06.2023 року №27</t>
  </si>
  <si>
    <t xml:space="preserve"> Зміни обсягів депозитів і цінних паперів, що використовуються для управління ліквідністю </t>
  </si>
  <si>
    <t>Повернення бюджетних коштів з депозитів, надходження внаслідок продажу/пред'явлення цінних паперів</t>
  </si>
  <si>
    <t xml:space="preserve"> Розміщення бюджетних коштів на депозитах, придбання цінних паперів</t>
  </si>
  <si>
    <t>Надходження внаслідок продажу/пред'явлення цінних паперів</t>
  </si>
  <si>
    <t xml:space="preserve"> Придбання цінних паперів</t>
  </si>
  <si>
    <t xml:space="preserve"> Зміни обсягів депозитів і цінних паперів, що використовуються для управління ліквідністю</t>
  </si>
  <si>
    <t>Розміщення бюджетних коштів на депозитах, придбання цінних паперів</t>
  </si>
  <si>
    <t>Придбання цінних паперів</t>
  </si>
  <si>
    <t xml:space="preserve">Керуючий справами </t>
  </si>
  <si>
    <t>Юлія САБІЙ</t>
  </si>
  <si>
    <t xml:space="preserve">Секретар міської ради  </t>
  </si>
  <si>
    <t>1419000</t>
  </si>
  <si>
    <t>1419700</t>
  </si>
  <si>
    <t>1419770</t>
  </si>
  <si>
    <t>80/20</t>
  </si>
  <si>
    <t>Видатки, що здійснюються згідно розпоряджень міського голови, рішень міської ради та її виконавчого комітету</t>
  </si>
  <si>
    <t>Нове будівництво споруди цивільного захисту для Шаровечківської ЗОШ I-III ступенів Хмельницької міської ради Хмельницької області, за адресою: с. Шаровечка, вул. Шкільна, 10, Хмельницького району, Хмельницької області</t>
  </si>
  <si>
    <t>Нове будівництво споруди цивільного захисту для Хмельницького закладу дошкільної освіти № 15 "Червона шапочка" Хмельницької міської ради Хмельницької області на вул. М. Трембовецької, 23 м. Хмельницький</t>
  </si>
  <si>
    <t>Програма підтримки ОСББ Хмельницької міської територіальної громади на 2023 – 2026 роки</t>
  </si>
  <si>
    <t>Рішення 35-ї сесії Хмельницької міської ради від 10.11.2023 року №36</t>
  </si>
  <si>
    <t>Реконструкція під'їзної дороги від вул.Вінницьке шосе до вул.Вінницьке шосе, 18 (індустріальний парк) в м.Хмеьницькому</t>
  </si>
  <si>
    <r>
      <t>Будівництво</t>
    </r>
    <r>
      <rPr>
        <b/>
        <vertAlign val="superscript"/>
        <sz val="36"/>
        <color rgb="FFFF0000"/>
        <rFont val="Times New Roman"/>
        <family val="1"/>
        <charset val="204"/>
      </rPr>
      <t>1</t>
    </r>
    <r>
      <rPr>
        <sz val="36"/>
        <color rgb="FFFF0000"/>
        <rFont val="Times New Roman"/>
        <family val="1"/>
        <charset val="204"/>
      </rPr>
      <t>  об'єктів соціально-культурного призначення</t>
    </r>
  </si>
  <si>
    <r>
      <t>Будівництво</t>
    </r>
    <r>
      <rPr>
        <b/>
        <vertAlign val="superscript"/>
        <sz val="36"/>
        <color rgb="FFFF0000"/>
        <rFont val="Times New Roman"/>
        <family val="1"/>
        <charset val="204"/>
      </rPr>
      <t>1</t>
    </r>
    <r>
      <rPr>
        <sz val="36"/>
        <color rgb="FFFF0000"/>
        <rFont val="Times New Roman"/>
        <family val="1"/>
        <charset val="204"/>
      </rPr>
      <t>  освітніх установ та закладів</t>
    </r>
  </si>
  <si>
    <r>
      <t>Будівництво</t>
    </r>
    <r>
      <rPr>
        <b/>
        <i/>
        <vertAlign val="superscript"/>
        <sz val="36"/>
        <color rgb="FFFF0000"/>
        <rFont val="Times New Roman"/>
        <family val="1"/>
        <charset val="204"/>
      </rPr>
      <t>1</t>
    </r>
    <r>
      <rPr>
        <i/>
        <sz val="36"/>
        <color rgb="FFFF0000"/>
        <rFont val="Times New Roman"/>
        <family val="1"/>
        <charset val="204"/>
      </rPr>
      <t>  об'єктів соціально-культурного призначення</t>
    </r>
  </si>
  <si>
    <r>
      <t>Будівництво</t>
    </r>
    <r>
      <rPr>
        <b/>
        <vertAlign val="superscript"/>
        <sz val="36"/>
        <color rgb="FFFF0000"/>
        <rFont val="Times New Roman"/>
        <family val="1"/>
        <charset val="204"/>
      </rPr>
      <t>1</t>
    </r>
    <r>
      <rPr>
        <sz val="36"/>
        <color rgb="FFFF0000"/>
        <rFont val="Times New Roman"/>
        <family val="1"/>
        <charset val="204"/>
      </rPr>
      <t>  установ та закладів соціальної сфери</t>
    </r>
  </si>
  <si>
    <r>
      <t>Будівництво</t>
    </r>
    <r>
      <rPr>
        <b/>
        <vertAlign val="superscript"/>
        <sz val="36"/>
        <color rgb="FFFF0000"/>
        <rFont val="Times New Roman"/>
        <family val="1"/>
        <charset val="204"/>
      </rPr>
      <t>1</t>
    </r>
    <r>
      <rPr>
        <sz val="36"/>
        <color rgb="FFFF0000"/>
        <rFont val="Times New Roman"/>
        <family val="1"/>
        <charset val="204"/>
      </rPr>
      <t>  об'єктів житлово-комунального господарства</t>
    </r>
  </si>
  <si>
    <r>
      <t>Будівництво</t>
    </r>
    <r>
      <rPr>
        <b/>
        <vertAlign val="superscript"/>
        <sz val="36"/>
        <color rgb="FFFF0000"/>
        <rFont val="Times New Roman"/>
        <family val="1"/>
        <charset val="204"/>
      </rPr>
      <t>1</t>
    </r>
    <r>
      <rPr>
        <sz val="36"/>
        <color rgb="FFFF0000"/>
        <rFont val="Times New Roman"/>
        <family val="1"/>
        <charset val="204"/>
      </rPr>
      <t>  установ та закладів культури</t>
    </r>
  </si>
  <si>
    <r>
      <t>Будівництво</t>
    </r>
    <r>
      <rPr>
        <b/>
        <vertAlign val="superscript"/>
        <sz val="36"/>
        <color rgb="FFFF0000"/>
        <rFont val="Times New Roman"/>
        <family val="1"/>
        <charset val="204"/>
      </rPr>
      <t>1</t>
    </r>
    <r>
      <rPr>
        <sz val="36"/>
        <color rgb="FFFF0000"/>
        <rFont val="Times New Roman"/>
        <family val="1"/>
        <charset val="204"/>
      </rPr>
      <t> інших об'єктів комунальної власності</t>
    </r>
  </si>
  <si>
    <r>
      <t>Реконструкція ділянки водопроводу від вул. Партизанської до вул. Волочиської в м. Хмельницькому</t>
    </r>
    <r>
      <rPr>
        <sz val="16"/>
        <color rgb="FFFF0000"/>
        <rFont val="Times New Roman"/>
        <family val="1"/>
        <charset val="204"/>
      </rPr>
      <t xml:space="preserve"> </t>
    </r>
  </si>
  <si>
    <r>
      <t>Будівництво</t>
    </r>
    <r>
      <rPr>
        <b/>
        <vertAlign val="superscript"/>
        <sz val="11"/>
        <color rgb="FFFF0000"/>
        <rFont val="Times New Roman"/>
        <family val="1"/>
        <charset val="204"/>
      </rPr>
      <t>1</t>
    </r>
    <r>
      <rPr>
        <sz val="11"/>
        <color rgb="FFFF0000"/>
        <rFont val="Times New Roman"/>
        <family val="1"/>
        <charset val="204"/>
      </rPr>
      <t>  установ та закладів культури</t>
    </r>
  </si>
  <si>
    <t>видатків бюджету Хмельницької міської територіальної громади на 2024 рік</t>
  </si>
  <si>
    <t>програм у 2024 році</t>
  </si>
  <si>
    <t>1218100</t>
  </si>
  <si>
    <t>1218110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</si>
  <si>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житлово-комунального господарства</t>
    </r>
  </si>
  <si>
    <t>2020 - 2024 роки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</si>
  <si>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освітніх установ та закладів</t>
    </r>
  </si>
  <si>
    <r>
      <t xml:space="preserve">Нове </t>
    </r>
    <r>
      <rPr>
        <sz val="12"/>
        <rFont val="Times New Roman"/>
        <family val="1"/>
        <charset val="204"/>
      </rPr>
      <t xml:space="preserve">будівництво споруди цивільного захисту для Хмельницької середньої загальноосвітньої школи І-ІІІ ступенів № 13 імені М.К. Чекмана на вул. Профспілковій, 39 в м. Хмельницькому </t>
    </r>
  </si>
  <si>
    <r>
      <rPr>
        <sz val="12"/>
        <rFont val="Times New Roman"/>
        <family val="1"/>
        <charset val="204"/>
      </rPr>
      <t>Реконструкція будівлі Хмельницького закладу дошкільної освіти № 23 «Вогник» Хмельницької міської ради для улаштування споруди цивільного захисту на вул. Бажана, 2 в м. Хмельницькому</t>
    </r>
  </si>
  <si>
    <r>
      <rPr>
        <sz val="12"/>
        <rFont val="Times New Roman"/>
        <family val="1"/>
        <charset val="204"/>
      </rPr>
      <t xml:space="preserve">Реконструкція будівлі Хмельницької спеціалізованої середньої загальноосвітньої школи І-ІІІ ступенів № 6 з поглибленим вивченням німецької мови з 1-го класу для улаштування споруди цивільного захисту на пров. Володимирський, 12 в м. Хмельницькому </t>
    </r>
  </si>
  <si>
    <r>
      <rPr>
        <sz val="12"/>
        <rFont val="Times New Roman"/>
        <family val="1"/>
        <charset val="204"/>
      </rPr>
      <t xml:space="preserve">Реконструкція будівлі спеціалізованої загальноосвітньої школи І-ІІІ ступенів № 7 міста Хмельницького для улаштування споруди цивільного захисту на вул. Заводська, 33 в м. Хмельницькому 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</si>
  <si>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інших об'єктів комунальної власності</t>
    </r>
  </si>
  <si>
    <t>Нове будівництво зовнішніх газових мереж газопостачання індустріального парку "Хмельницький" по вул. Вінницьке шосе, 18 в м. Хмельницькому (в частині зовнішні мережі - нестандартне приєднання)</t>
  </si>
  <si>
    <t>2024 рік</t>
  </si>
  <si>
    <r>
      <t>Будівництво</t>
    </r>
    <r>
      <rPr>
        <b/>
        <i/>
        <vertAlign val="superscript"/>
        <sz val="36"/>
        <rFont val="Times New Roman"/>
        <family val="1"/>
        <charset val="204"/>
      </rPr>
      <t>1</t>
    </r>
    <r>
      <rPr>
        <i/>
        <sz val="36"/>
        <rFont val="Times New Roman"/>
        <family val="1"/>
        <charset val="204"/>
      </rPr>
      <t>  об'єктів соціально-культурного призначення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</si>
  <si>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установ та закладів культури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</si>
  <si>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споруд, установ та закладів фізичної культури і спорту</t>
    </r>
  </si>
  <si>
    <t>Хмельницької міської територіальної громади у 2024 році</t>
  </si>
  <si>
    <t>Заходи з озеленення</t>
  </si>
  <si>
    <t>Проведення науково-технічних конференцій і семінарів, організація виставок, фестивалів та інших заходів щодо пропаганди охорони навколишнього середовища, видання поліграфічної продукції з екологічної тематики тощо</t>
  </si>
  <si>
    <t>Заходи щодо відновлення і підтримання сприятливого гідрологічного режиму та санітарного стану водойм. (біологічна меліорація водойм)</t>
  </si>
  <si>
    <t>Наукові дослідження, проектні та проектно-конструкторські розроблення, в тому числі моніторингові дослідження</t>
  </si>
  <si>
    <t>Ліквідація стихійних сміттєзвалищ</t>
  </si>
  <si>
    <t>Програма економічного і соціального розвитку Хмельницької міської територіальної громади на 2024 рік</t>
  </si>
  <si>
    <t>Програма заходів національного спротиву Хмельницької міської територіальної громади на 2024 рік</t>
  </si>
  <si>
    <t>бюджету Хмельницької міської територіальної громади у 2024 році</t>
  </si>
  <si>
    <t>бюджету Хмельницької міської територіальної громади на 2024 рік</t>
  </si>
  <si>
    <r>
      <t xml:space="preserve">1 </t>
    </r>
    <r>
      <rPr>
        <sz val="20"/>
        <rFont val="Times New Roman"/>
        <family val="1"/>
        <charset val="204"/>
      </rPr>
      <t>Будівни́цтво — будівництво, реконструкція і реставрація об'єктів виробничої, комунікаційної та соціальної інфраструктури за рахунок власних коштів місцевих бюджетів.</t>
    </r>
  </si>
  <si>
    <t>Програма підтримки сім’ї на 2021-2025 роки  (із змінами)</t>
  </si>
  <si>
    <t xml:space="preserve">Програма зайнятості населення Хмельницької міської територіальної громади на 2024 - 2026 роки </t>
  </si>
  <si>
    <t>у 2024 році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</si>
  <si>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соціально-культурного призначення</t>
    </r>
  </si>
  <si>
    <t>Програма висвітлення діяльності Хмельницької міської ради та її виконавчих органів на 2024 рік</t>
  </si>
  <si>
    <t>Програма шефської допомоги військовим частинам Збройних Сил України, Національної гвардії України, які розташовані на території Хмельницької міської територіальної громади на 2022-2024 роки (із змінами)</t>
  </si>
  <si>
    <t>Програма фінансової підтримки комунальної установи Хмельницької міської ради "Агенція розвитку Хмельницького" на 2022-2024 роки (із змінами)</t>
  </si>
  <si>
    <t xml:space="preserve">Програма заходів національного спротиву Хмельницької міської територіальної громади на 2024 рік </t>
  </si>
  <si>
    <t>Програма підготовки мешканців Хмельницької міської територіальної громади до національного спротиву на 2024-2025 роки</t>
  </si>
  <si>
    <t xml:space="preserve">Програма розвитку міського комунального підприємства «Муніципальна телерадіокомпанія «Місто» на 2024-2028 роки </t>
  </si>
  <si>
    <t>МІЖБЮДЖЕТНІ ТРАНСФЕРТИ НА 2024 РІК</t>
  </si>
  <si>
    <t>на 2024 рік</t>
  </si>
  <si>
    <t>Програма розвитку інформаційної інфраструктури туристичних послуг на 2024-2026 роки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</si>
  <si>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медичних установ та закладів</t>
    </r>
  </si>
  <si>
    <t>Програма розвитку, підтримки комунальних закладів охорони здоров’я та надання 
медичних послуг понад обсяг, передбачений програмою державних гарантій медичного обслуговування населення Хмельницької міської 
територіальної громади на 2024 - 2026 роки</t>
  </si>
  <si>
    <t>бюджету Хмельницької міської територіальної громади  на 2024 рік</t>
  </si>
  <si>
    <r>
      <t xml:space="preserve">Найменування згідно
 з </t>
    </r>
    <r>
      <rPr>
        <b/>
        <u/>
        <sz val="10"/>
        <rFont val="Times New Roman"/>
        <family val="1"/>
        <charset val="204"/>
      </rPr>
      <t>Класифікацією доходів бюджету</t>
    </r>
  </si>
  <si>
    <t>Податок на доходи фізичних осіб із доходів спеціалістів резидента Дія Сіті</t>
  </si>
  <si>
    <t>Податок на доходи фізичних осіб у вигляді мінімального податкового зобов'язання, що підлягає сплаті фізичними особами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</si>
  <si>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</si>
  <si>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</si>
  <si>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</si>
  <si>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 xml:space="preserve"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 </t>
  </si>
  <si>
    <r>
      <t xml:space="preserve">1 </t>
    </r>
    <r>
      <rPr>
        <sz val="10"/>
        <rFont val="Times New Roman"/>
        <family val="1"/>
        <charset val="204"/>
      </rPr>
      <t>Будівни́цтво — будівництво, реконструкція і реставрація об'єктів виробничої, комунікаційної та соціальної інфраструктури за рахунок власних коштів місцевих бюджетів.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</si>
</sst>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₴_-;\-* #,##0.00\ _₴_-;_-* &quot;-&quot;??\ _₴_-;_-@_-"/>
    <numFmt numFmtId="165" formatCode="_-* #,##0.00_₴_-;\-* #,##0.00_₴_-;_-* &quot;-&quot;??_₴_-;_-@_-"/>
    <numFmt numFmtId="166" formatCode="#,##0.0"/>
    <numFmt numFmtId="167" formatCode="0.0"/>
    <numFmt numFmtId="168" formatCode="#,##0.00000"/>
    <numFmt numFmtId="169" formatCode="_-* #,##0.00_₴_-;\-* #,##0.00_₴_-;_-* \-??_₴_-;_-@_-"/>
  </numFmts>
  <fonts count="196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11"/>
      <color indexed="19"/>
      <name val="Calibri"/>
      <family val="2"/>
      <charset val="204"/>
    </font>
    <font>
      <b/>
      <sz val="36"/>
      <name val="Times New Roman"/>
      <family val="1"/>
      <charset val="204"/>
    </font>
    <font>
      <sz val="36"/>
      <name val="Times New Roman"/>
      <family val="1"/>
      <charset val="204"/>
    </font>
    <font>
      <b/>
      <sz val="37"/>
      <name val="Times New Roman"/>
      <family val="1"/>
      <charset val="204"/>
    </font>
    <font>
      <sz val="37"/>
      <name val="Times New Roman"/>
      <family val="1"/>
      <charset val="204"/>
    </font>
    <font>
      <sz val="36"/>
      <name val="Arial Cyr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i/>
      <sz val="10"/>
      <name val="Arial Cyr"/>
      <charset val="204"/>
    </font>
    <font>
      <b/>
      <sz val="36"/>
      <name val="Times New Roman Cyr"/>
      <family val="1"/>
      <charset val="204"/>
    </font>
    <font>
      <sz val="10"/>
      <name val="Arial"/>
      <family val="2"/>
      <charset val="204"/>
    </font>
    <font>
      <b/>
      <sz val="12.5"/>
      <name val="Times New Roman"/>
      <family val="1"/>
      <charset val="204"/>
    </font>
    <font>
      <sz val="12"/>
      <name val="Arial Cyr"/>
      <charset val="204"/>
    </font>
    <font>
      <sz val="28"/>
      <name val="Arial Cyr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48"/>
      <name val="Times New Roman Cyr"/>
      <family val="1"/>
      <charset val="204"/>
    </font>
    <font>
      <vertAlign val="superscript"/>
      <sz val="20"/>
      <name val="Times New Roman"/>
      <family val="1"/>
      <charset val="204"/>
    </font>
    <font>
      <sz val="20"/>
      <name val="Arial Cyr"/>
      <charset val="204"/>
    </font>
    <font>
      <sz val="10"/>
      <name val="Arial Cyr"/>
      <family val="2"/>
      <charset val="204"/>
    </font>
    <font>
      <sz val="36"/>
      <name val="Times New Roman Cyr"/>
      <family val="1"/>
      <charset val="204"/>
    </font>
    <font>
      <sz val="50"/>
      <name val="Arial Cyr"/>
      <charset val="204"/>
    </font>
    <font>
      <sz val="11"/>
      <color theme="1"/>
      <name val="Calibri"/>
      <family val="2"/>
      <scheme val="minor"/>
    </font>
    <font>
      <u/>
      <sz val="10"/>
      <name val="Arial Cyr"/>
      <charset val="204"/>
    </font>
    <font>
      <sz val="28"/>
      <name val="Times New Roman Cyr"/>
      <family val="1"/>
      <charset val="204"/>
    </font>
    <font>
      <b/>
      <sz val="36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b/>
      <i/>
      <sz val="36"/>
      <color rgb="FFFF0000"/>
      <name val="Times New Roman"/>
      <family val="1"/>
      <charset val="204"/>
    </font>
    <font>
      <sz val="36"/>
      <color rgb="FFFF0000"/>
      <name val="Times New Roman"/>
      <family val="1"/>
      <charset val="204"/>
    </font>
    <font>
      <sz val="37"/>
      <color rgb="FFFF0000"/>
      <name val="Times New Roman"/>
      <family val="1"/>
      <charset val="204"/>
    </font>
    <font>
      <b/>
      <sz val="12.5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37"/>
      <color rgb="FFFF0000"/>
      <name val="Times New Roman"/>
      <family val="1"/>
      <charset val="204"/>
    </font>
    <font>
      <b/>
      <i/>
      <sz val="36"/>
      <name val="Times New Roman"/>
      <family val="1"/>
      <charset val="204"/>
    </font>
    <font>
      <i/>
      <sz val="10"/>
      <color rgb="FFFF0000"/>
      <name val="Arial Cyr"/>
      <charset val="204"/>
    </font>
    <font>
      <sz val="36"/>
      <color rgb="FFFF0000"/>
      <name val="Arial Cyr"/>
      <charset val="204"/>
    </font>
    <font>
      <b/>
      <sz val="36"/>
      <color rgb="FFFF0000"/>
      <name val="Arial Cyr"/>
      <charset val="204"/>
    </font>
    <font>
      <b/>
      <sz val="48"/>
      <color rgb="FFFF0000"/>
      <name val="Times New Roman Cyr"/>
      <family val="1"/>
      <charset val="204"/>
    </font>
    <font>
      <b/>
      <sz val="36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Times New Roman CYR"/>
      <charset val="204"/>
    </font>
    <font>
      <b/>
      <sz val="14"/>
      <color rgb="FFFF0000"/>
      <name val="Times New Roman CYR"/>
      <charset val="204"/>
    </font>
    <font>
      <sz val="10"/>
      <color rgb="FFFF0000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b/>
      <i/>
      <sz val="37"/>
      <color rgb="FFFF0000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i/>
      <sz val="37"/>
      <name val="Times New Roman"/>
      <family val="1"/>
      <charset val="204"/>
    </font>
    <font>
      <b/>
      <sz val="37"/>
      <color theme="1"/>
      <name val="Times New Roman"/>
      <family val="1"/>
      <charset val="204"/>
    </font>
    <font>
      <sz val="10"/>
      <color rgb="FFFF0000"/>
      <name val="Times New Roman Cyr"/>
      <family val="1"/>
      <charset val="204"/>
    </font>
    <font>
      <sz val="48"/>
      <name val="Times New Roman Cyr"/>
      <family val="1"/>
      <charset val="204"/>
    </font>
    <font>
      <i/>
      <sz val="37"/>
      <name val="Times New Roman"/>
      <family val="1"/>
      <charset val="204"/>
    </font>
    <font>
      <b/>
      <i/>
      <sz val="10"/>
      <name val="Arial Cyr"/>
      <charset val="204"/>
    </font>
    <font>
      <b/>
      <i/>
      <sz val="36"/>
      <color rgb="FFFF0000"/>
      <name val="Arial Cyr"/>
      <charset val="204"/>
    </font>
    <font>
      <i/>
      <sz val="36"/>
      <color rgb="FFFF0000"/>
      <name val="Times New Roman"/>
      <family val="1"/>
      <charset val="204"/>
    </font>
    <font>
      <u/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indexed="62"/>
      <name val="Cambria"/>
      <family val="2"/>
      <charset val="204"/>
    </font>
    <font>
      <sz val="10"/>
      <color rgb="FF00FFCC"/>
      <name val="Arial Cyr"/>
      <charset val="204"/>
    </font>
    <font>
      <b/>
      <sz val="48"/>
      <color rgb="FF00FFCC"/>
      <name val="Times New Roman Cyr"/>
      <family val="1"/>
      <charset val="204"/>
    </font>
    <font>
      <sz val="36"/>
      <color rgb="FF00FFCC"/>
      <name val="Times New Roman"/>
      <family val="1"/>
      <charset val="204"/>
    </font>
    <font>
      <sz val="36"/>
      <color rgb="FF00FFCC"/>
      <name val="Arial Cyr"/>
      <charset val="204"/>
    </font>
    <font>
      <b/>
      <sz val="37"/>
      <color rgb="FF00FFCC"/>
      <name val="Times New Roman"/>
      <family val="1"/>
      <charset val="204"/>
    </font>
    <font>
      <b/>
      <i/>
      <sz val="37"/>
      <color rgb="FF00FFCC"/>
      <name val="Times New Roman"/>
      <family val="1"/>
      <charset val="204"/>
    </font>
    <font>
      <sz val="48"/>
      <color rgb="FF00FFCC"/>
      <name val="Arial Cyr"/>
      <charset val="204"/>
    </font>
    <font>
      <sz val="36"/>
      <color rgb="FF00FFCC"/>
      <name val="Times New Roman Cyr"/>
      <family val="1"/>
      <charset val="204"/>
    </font>
    <font>
      <sz val="48"/>
      <color rgb="FF00FFCC"/>
      <name val="Times New Roman Cyr"/>
      <family val="1"/>
      <charset val="204"/>
    </font>
    <font>
      <sz val="22"/>
      <color rgb="FF00FFCC"/>
      <name val="Times New Roman Cyr"/>
      <family val="1"/>
      <charset val="204"/>
    </font>
    <font>
      <b/>
      <sz val="10"/>
      <color rgb="FF00FFCC"/>
      <name val="Times New Roman Cyr"/>
      <family val="1"/>
      <charset val="204"/>
    </font>
    <font>
      <sz val="10"/>
      <color rgb="FF00FFCC"/>
      <name val="Times New Roman Cyr"/>
      <family val="1"/>
      <charset val="204"/>
    </font>
    <font>
      <sz val="22"/>
      <color rgb="FF00FFCC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i/>
      <sz val="37"/>
      <color rgb="FFFF0000"/>
      <name val="Times New Roman"/>
      <family val="1"/>
      <charset val="204"/>
    </font>
    <font>
      <i/>
      <sz val="36"/>
      <color rgb="FFFF0000"/>
      <name val="Arial Cyr"/>
      <charset val="204"/>
    </font>
    <font>
      <b/>
      <vertAlign val="superscript"/>
      <sz val="36"/>
      <color rgb="FFFF0000"/>
      <name val="Times New Roman"/>
      <family val="1"/>
      <charset val="204"/>
    </font>
    <font>
      <b/>
      <i/>
      <sz val="10"/>
      <color rgb="FFFF0000"/>
      <name val="Arial Cyr"/>
      <charset val="204"/>
    </font>
    <font>
      <vertAlign val="superscript"/>
      <sz val="20"/>
      <color rgb="FFFF0000"/>
      <name val="Times New Roman"/>
      <family val="1"/>
      <charset val="204"/>
    </font>
    <font>
      <sz val="20"/>
      <color rgb="FFFF0000"/>
      <name val="Arial Cyr"/>
      <charset val="204"/>
    </font>
    <font>
      <sz val="9"/>
      <color rgb="FFFF0000"/>
      <name val="Times New Roman CYR"/>
      <charset val="204"/>
    </font>
    <font>
      <sz val="11"/>
      <color rgb="FFFF0000"/>
      <name val="Times New Roman Cyr"/>
      <family val="1"/>
      <charset val="204"/>
    </font>
    <font>
      <b/>
      <sz val="11"/>
      <color rgb="FFFF0000"/>
      <name val="Times New Roman Cyr"/>
      <family val="1"/>
      <charset val="204"/>
    </font>
    <font>
      <i/>
      <sz val="11"/>
      <color rgb="FFFF0000"/>
      <name val="Times New Roman Cyr"/>
      <family val="1"/>
      <charset val="204"/>
    </font>
    <font>
      <sz val="11"/>
      <color rgb="FFFF0000"/>
      <name val="Times New Roman Cyr"/>
      <charset val="204"/>
    </font>
    <font>
      <sz val="72"/>
      <color rgb="FFFF0000"/>
      <name val="Arial Cyr"/>
      <charset val="204"/>
    </font>
    <font>
      <sz val="22"/>
      <color rgb="FFFF0000"/>
      <name val="Arial Cyr"/>
      <charset val="204"/>
    </font>
    <font>
      <b/>
      <sz val="28"/>
      <color rgb="FFFF0000"/>
      <name val="Arial Cyr"/>
      <charset val="204"/>
    </font>
    <font>
      <b/>
      <sz val="28"/>
      <color rgb="FFFF0000"/>
      <name val="Times New Roman"/>
      <family val="1"/>
      <charset val="204"/>
    </font>
    <font>
      <b/>
      <vertAlign val="superscript"/>
      <sz val="11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48"/>
      <color rgb="FFFF0000"/>
      <name val="Times New Roman"/>
      <family val="1"/>
      <charset val="204"/>
    </font>
    <font>
      <sz val="34"/>
      <color rgb="FFFF0000"/>
      <name val="Times New Roman"/>
      <family val="1"/>
      <charset val="204"/>
    </font>
    <font>
      <sz val="72"/>
      <color rgb="FFFF0000"/>
      <name val="Times New Roman"/>
      <family val="1"/>
      <charset val="204"/>
    </font>
    <font>
      <b/>
      <sz val="72"/>
      <color rgb="FFFF0000"/>
      <name val="Times New Roman"/>
      <family val="1"/>
      <charset val="204"/>
    </font>
    <font>
      <sz val="36"/>
      <color rgb="FFFF0000"/>
      <name val="Times New Roman Cyr"/>
      <family val="1"/>
      <charset val="204"/>
    </font>
    <font>
      <b/>
      <sz val="36"/>
      <color rgb="FFFF0000"/>
      <name val="Times New Roman Cyr"/>
      <family val="1"/>
      <charset val="204"/>
    </font>
    <font>
      <b/>
      <sz val="10"/>
      <color rgb="FFFF0000"/>
      <name val="Times New Roman Cyr"/>
      <family val="1"/>
      <charset val="204"/>
    </font>
    <font>
      <sz val="50"/>
      <color rgb="FFFF0000"/>
      <name val="Arial Cyr"/>
      <charset val="204"/>
    </font>
    <font>
      <sz val="12.5"/>
      <color rgb="FFFF0000"/>
      <name val="Times New Roman"/>
      <family val="1"/>
      <charset val="204"/>
    </font>
    <font>
      <b/>
      <i/>
      <sz val="10"/>
      <color rgb="FFFF0000"/>
      <name val="Arial"/>
      <family val="2"/>
      <charset val="204"/>
    </font>
    <font>
      <sz val="12"/>
      <name val="Arial"/>
      <family val="2"/>
      <charset val="204"/>
    </font>
    <font>
      <u/>
      <sz val="36"/>
      <name val="Times New Roman"/>
      <family val="1"/>
      <charset val="204"/>
    </font>
    <font>
      <u/>
      <sz val="36"/>
      <name val="Arial Cyr"/>
      <charset val="204"/>
    </font>
    <font>
      <sz val="10"/>
      <color rgb="FF00FFCC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i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 Cyr"/>
      <charset val="204"/>
    </font>
    <font>
      <b/>
      <vertAlign val="superscript"/>
      <sz val="11"/>
      <name val="Times New Roman"/>
      <family val="1"/>
      <charset val="204"/>
    </font>
    <font>
      <i/>
      <sz val="10"/>
      <color rgb="FF00FFCC"/>
      <name val="Times New Roman"/>
      <family val="1"/>
      <charset val="204"/>
    </font>
    <font>
      <sz val="14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36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i/>
      <vertAlign val="superscript"/>
      <sz val="36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31"/>
      <color rgb="FFFF0000"/>
      <name val="Times New Roman"/>
      <family val="1"/>
      <charset val="204"/>
    </font>
    <font>
      <b/>
      <i/>
      <sz val="12.5"/>
      <color rgb="FFFF0000"/>
      <name val="Times New Roman"/>
      <family val="1"/>
      <charset val="204"/>
    </font>
    <font>
      <b/>
      <vertAlign val="superscript"/>
      <sz val="36"/>
      <name val="Times New Roman"/>
      <family val="1"/>
      <charset val="204"/>
    </font>
    <font>
      <b/>
      <i/>
      <vertAlign val="superscript"/>
      <sz val="3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FFCC"/>
      <name val="Times New Roman"/>
      <family val="1"/>
      <charset val="204"/>
    </font>
    <font>
      <sz val="10"/>
      <name val="Times New Roman CYR"/>
      <charset val="204"/>
    </font>
    <font>
      <sz val="8"/>
      <name val="Times New Roman"/>
      <family val="1"/>
      <charset val="204"/>
    </font>
    <font>
      <b/>
      <sz val="10"/>
      <name val="Times New Roman CYR"/>
      <charset val="204"/>
    </font>
    <font>
      <i/>
      <sz val="11"/>
      <name val="Times New Roman"/>
      <family val="1"/>
      <charset val="204"/>
    </font>
    <font>
      <b/>
      <sz val="12"/>
      <color rgb="FF00FFCC"/>
      <name val="Times New Roman CYR"/>
      <charset val="204"/>
    </font>
    <font>
      <u/>
      <sz val="9"/>
      <name val="Times New Roman"/>
      <family val="1"/>
      <charset val="204"/>
    </font>
    <font>
      <u/>
      <sz val="9"/>
      <name val="Arial Cyr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20"/>
      <name val="Times New Roman"/>
      <family val="1"/>
      <charset val="204"/>
    </font>
    <font>
      <b/>
      <sz val="28"/>
      <color rgb="FF00FFCC"/>
      <name val="Times New Roman"/>
      <family val="1"/>
      <charset val="204"/>
    </font>
    <font>
      <sz val="22"/>
      <name val="Times New Roman"/>
      <family val="1"/>
      <charset val="204"/>
    </font>
    <font>
      <b/>
      <sz val="36"/>
      <color rgb="FF00FFCC"/>
      <name val="Times New Roman"/>
      <family val="1"/>
      <charset val="204"/>
    </font>
    <font>
      <sz val="12.5"/>
      <name val="Times New Roman"/>
      <family val="1"/>
      <charset val="204"/>
    </font>
    <font>
      <b/>
      <i/>
      <sz val="12.5"/>
      <name val="Times New Roman"/>
      <family val="1"/>
      <charset val="204"/>
    </font>
    <font>
      <b/>
      <sz val="14"/>
      <color rgb="FF00FFCC"/>
      <name val="Times New Roman"/>
      <family val="1"/>
      <charset val="204"/>
    </font>
    <font>
      <sz val="34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10"/>
      <color rgb="FF00FFCC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sz val="16"/>
      <color rgb="FF00FFCC"/>
      <name val="Times New Roman"/>
      <family val="1"/>
      <charset val="204"/>
    </font>
    <font>
      <b/>
      <sz val="72"/>
      <color rgb="FF00FFCC"/>
      <name val="Times New Roman"/>
      <family val="1"/>
      <charset val="204"/>
    </font>
  </fonts>
  <fills count="47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gradientFill type="path" left="0.5" right="0.5" top="0.5" bottom="0.5">
        <stop position="0">
          <color theme="0"/>
        </stop>
        <stop position="1">
          <color rgb="FFCCFFCC"/>
        </stop>
      </gradientFill>
    </fill>
    <fill>
      <patternFill patternType="solid">
        <fgColor rgb="FFFF00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FF99"/>
        <bgColor auto="1"/>
      </patternFill>
    </fill>
    <fill>
      <patternFill patternType="solid">
        <fgColor rgb="FF00CCFF"/>
        <bgColor indexed="64"/>
      </patternFill>
    </fill>
    <fill>
      <gradientFill degree="270">
        <stop position="0">
          <color theme="0"/>
        </stop>
        <stop position="1">
          <color rgb="FF00CCFF"/>
        </stop>
      </gradientFill>
    </fill>
    <fill>
      <patternFill patternType="solid">
        <fgColor rgb="FFCCFF99"/>
        <bgColor indexed="64"/>
      </patternFill>
    </fill>
    <fill>
      <gradientFill degree="270">
        <stop position="0">
          <color theme="0"/>
        </stop>
        <stop position="1">
          <color rgb="FFCCFF99"/>
        </stop>
      </gradientFill>
    </fill>
    <fill>
      <gradientFill degree="225">
        <stop position="0">
          <color theme="0"/>
        </stop>
        <stop position="1">
          <color rgb="FFFFFF99"/>
        </stop>
      </gradientFill>
    </fill>
    <fill>
      <gradientFill degree="270">
        <stop position="0">
          <color theme="0"/>
        </stop>
        <stop position="1">
          <color rgb="FF00FFCC"/>
        </stop>
      </gradientFill>
    </fill>
    <fill>
      <gradientFill degree="90">
        <stop position="0">
          <color rgb="FF00FFCC"/>
        </stop>
        <stop position="1">
          <color rgb="FF00FFCC"/>
        </stop>
      </gradient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auto="1"/>
      </patternFill>
    </fill>
    <fill>
      <gradientFill type="path" left="0.5" right="0.5" top="0.5" bottom="0.5">
        <stop position="0">
          <color theme="0"/>
        </stop>
        <stop position="1">
          <color theme="5" tint="0.80001220740379042"/>
        </stop>
      </gradientFill>
    </fill>
    <fill>
      <gradientFill degree="90">
        <stop position="0">
          <color theme="0"/>
        </stop>
        <stop position="0.5">
          <color rgb="FFCCFF99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theme="9" tint="0.59999389629810485"/>
        </stop>
        <stop position="1">
          <color theme="0"/>
        </stop>
      </gradient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7" tint="0.80001220740379042"/>
        </stop>
      </gradientFill>
    </fill>
    <fill>
      <patternFill patternType="solid">
        <fgColor rgb="FF00FFCC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thin">
        <color indexed="64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10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</borders>
  <cellStyleXfs count="191">
    <xf numFmtId="0" fontId="0" fillId="0" borderId="0"/>
    <xf numFmtId="0" fontId="10" fillId="0" borderId="0"/>
    <xf numFmtId="0" fontId="17" fillId="2" borderId="1" applyNumberFormat="0" applyAlignment="0" applyProtection="0"/>
    <xf numFmtId="0" fontId="25" fillId="3" borderId="0" applyNumberFormat="0" applyBorder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35" fillId="0" borderId="0"/>
    <xf numFmtId="0" fontId="27" fillId="0" borderId="0"/>
    <xf numFmtId="0" fontId="10" fillId="0" borderId="0"/>
    <xf numFmtId="0" fontId="35" fillId="0" borderId="0"/>
    <xf numFmtId="0" fontId="10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4" fillId="0" borderId="0">
      <alignment vertical="top"/>
    </xf>
    <xf numFmtId="0" fontId="21" fillId="5" borderId="5" applyNumberFormat="0" applyAlignment="0" applyProtection="0"/>
    <xf numFmtId="0" fontId="22" fillId="0" borderId="0" applyNumberFormat="0" applyFill="0" applyBorder="0" applyAlignment="0" applyProtection="0"/>
    <xf numFmtId="0" fontId="10" fillId="0" borderId="0"/>
    <xf numFmtId="0" fontId="35" fillId="0" borderId="0"/>
    <xf numFmtId="0" fontId="12" fillId="0" borderId="0"/>
    <xf numFmtId="0" fontId="38" fillId="0" borderId="0" applyNumberFormat="0" applyFont="0" applyFill="0" applyBorder="0" applyAlignment="0" applyProtection="0">
      <alignment vertical="top"/>
    </xf>
    <xf numFmtId="0" fontId="26" fillId="0" borderId="0"/>
    <xf numFmtId="0" fontId="11" fillId="0" borderId="0" applyNumberFormat="0" applyFont="0" applyFill="0" applyBorder="0" applyAlignment="0" applyProtection="0">
      <alignment vertical="top"/>
    </xf>
    <xf numFmtId="0" fontId="12" fillId="0" borderId="0"/>
    <xf numFmtId="0" fontId="26" fillId="0" borderId="0"/>
    <xf numFmtId="0" fontId="23" fillId="0" borderId="6" applyNumberFormat="0" applyFill="0" applyAlignment="0" applyProtection="0"/>
    <xf numFmtId="0" fontId="28" fillId="4" borderId="0" applyNumberFormat="0" applyBorder="0" applyAlignment="0" applyProtection="0"/>
    <xf numFmtId="0" fontId="26" fillId="0" borderId="0"/>
    <xf numFmtId="0" fontId="24" fillId="0" borderId="0" applyNumberFormat="0" applyFill="0" applyBorder="0" applyAlignment="0" applyProtection="0"/>
    <xf numFmtId="0" fontId="10" fillId="0" borderId="0"/>
    <xf numFmtId="0" fontId="43" fillId="7" borderId="0" applyNumberFormat="0" applyBorder="0" applyAlignment="0" applyProtection="0"/>
    <xf numFmtId="0" fontId="43" fillId="8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3" borderId="0" applyNumberFormat="0" applyBorder="0" applyAlignment="0" applyProtection="0"/>
    <xf numFmtId="0" fontId="43" fillId="2" borderId="0" applyNumberFormat="0" applyBorder="0" applyAlignment="0" applyProtection="0"/>
    <xf numFmtId="0" fontId="43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43" fillId="10" borderId="0" applyNumberFormat="0" applyBorder="0" applyAlignment="0" applyProtection="0"/>
    <xf numFmtId="0" fontId="43" fillId="11" borderId="0" applyNumberFormat="0" applyBorder="0" applyAlignment="0" applyProtection="0"/>
    <xf numFmtId="0" fontId="43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2" borderId="0" applyNumberFormat="0" applyBorder="0" applyAlignment="0" applyProtection="0"/>
    <xf numFmtId="0" fontId="44" fillId="13" borderId="0" applyNumberFormat="0" applyBorder="0" applyAlignment="0" applyProtection="0"/>
    <xf numFmtId="0" fontId="44" fillId="16" borderId="0" applyNumberFormat="0" applyBorder="0" applyAlignment="0" applyProtection="0"/>
    <xf numFmtId="0" fontId="44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44" fillId="20" borderId="0" applyNumberFormat="0" applyBorder="0" applyAlignment="0" applyProtection="0"/>
    <xf numFmtId="0" fontId="44" fillId="21" borderId="0" applyNumberFormat="0" applyBorder="0" applyAlignment="0" applyProtection="0"/>
    <xf numFmtId="0" fontId="44" fillId="16" borderId="0" applyNumberFormat="0" applyBorder="0" applyAlignment="0" applyProtection="0"/>
    <xf numFmtId="0" fontId="44" fillId="17" borderId="0" applyNumberFormat="0" applyBorder="0" applyAlignment="0" applyProtection="0"/>
    <xf numFmtId="0" fontId="44" fillId="22" borderId="0" applyNumberFormat="0" applyBorder="0" applyAlignment="0" applyProtection="0"/>
    <xf numFmtId="0" fontId="17" fillId="2" borderId="1" applyNumberFormat="0" applyAlignment="0" applyProtection="0"/>
    <xf numFmtId="0" fontId="45" fillId="23" borderId="11" applyNumberFormat="0" applyAlignment="0" applyProtection="0"/>
    <xf numFmtId="0" fontId="46" fillId="23" borderId="1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7" fillId="0" borderId="12" applyNumberFormat="0" applyFill="0" applyAlignment="0" applyProtection="0"/>
    <xf numFmtId="0" fontId="21" fillId="5" borderId="5" applyNumberFormat="0" applyAlignment="0" applyProtection="0"/>
    <xf numFmtId="0" fontId="22" fillId="0" borderId="0" applyNumberFormat="0" applyFill="0" applyBorder="0" applyAlignment="0" applyProtection="0"/>
    <xf numFmtId="0" fontId="48" fillId="4" borderId="0" applyNumberFormat="0" applyBorder="0" applyAlignment="0" applyProtection="0"/>
    <xf numFmtId="0" fontId="49" fillId="8" borderId="0" applyNumberFormat="0" applyBorder="0" applyAlignment="0" applyProtection="0"/>
    <xf numFmtId="0" fontId="50" fillId="0" borderId="0" applyNumberFormat="0" applyFill="0" applyBorder="0" applyAlignment="0" applyProtection="0"/>
    <xf numFmtId="0" fontId="43" fillId="24" borderId="13" applyNumberFormat="0" applyFont="0" applyAlignment="0" applyProtection="0"/>
    <xf numFmtId="0" fontId="23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9" borderId="0" applyNumberFormat="0" applyBorder="0" applyAlignment="0" applyProtection="0"/>
    <xf numFmtId="0" fontId="54" fillId="0" borderId="0"/>
    <xf numFmtId="0" fontId="10" fillId="0" borderId="0"/>
    <xf numFmtId="0" fontId="9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57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3" fillId="0" borderId="0"/>
    <xf numFmtId="0" fontId="17" fillId="4" borderId="1" applyNumberFormat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24" fillId="0" borderId="25" applyNumberFormat="0" applyFill="0" applyAlignment="0" applyProtection="0"/>
    <xf numFmtId="0" fontId="93" fillId="0" borderId="0" applyNumberFormat="0" applyFill="0" applyBorder="0" applyAlignment="0" applyProtection="0"/>
    <xf numFmtId="0" fontId="34" fillId="0" borderId="0"/>
    <xf numFmtId="0" fontId="43" fillId="0" borderId="0"/>
    <xf numFmtId="0" fontId="57" fillId="0" borderId="0"/>
    <xf numFmtId="0" fontId="38" fillId="0" borderId="0"/>
    <xf numFmtId="0" fontId="2" fillId="0" borderId="0"/>
    <xf numFmtId="0" fontId="2" fillId="0" borderId="0"/>
    <xf numFmtId="0" fontId="38" fillId="0" borderId="0"/>
    <xf numFmtId="0" fontId="54" fillId="0" borderId="0"/>
    <xf numFmtId="0" fontId="38" fillId="0" borderId="0"/>
    <xf numFmtId="0" fontId="54" fillId="0" borderId="0"/>
    <xf numFmtId="0" fontId="12" fillId="0" borderId="0"/>
    <xf numFmtId="0" fontId="16" fillId="0" borderId="0"/>
    <xf numFmtId="0" fontId="38" fillId="0" borderId="0"/>
    <xf numFmtId="0" fontId="43" fillId="0" borderId="0"/>
    <xf numFmtId="0" fontId="43" fillId="0" borderId="0"/>
    <xf numFmtId="0" fontId="16" fillId="0" borderId="0"/>
    <xf numFmtId="0" fontId="16" fillId="0" borderId="0"/>
    <xf numFmtId="0" fontId="43" fillId="0" borderId="0"/>
    <xf numFmtId="0" fontId="10" fillId="0" borderId="0"/>
    <xf numFmtId="0" fontId="2" fillId="0" borderId="0"/>
    <xf numFmtId="0" fontId="2" fillId="0" borderId="0"/>
    <xf numFmtId="0" fontId="54" fillId="0" borderId="0"/>
    <xf numFmtId="0" fontId="92" fillId="0" borderId="0"/>
    <xf numFmtId="165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9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54" fillId="0" borderId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2" borderId="1" applyNumberFormat="0" applyAlignment="0" applyProtection="0"/>
    <xf numFmtId="0" fontId="2" fillId="0" borderId="0"/>
    <xf numFmtId="0" fontId="2" fillId="0" borderId="0"/>
    <xf numFmtId="0" fontId="23" fillId="0" borderId="6" applyNumberFormat="0" applyFill="0" applyAlignment="0" applyProtection="0"/>
    <xf numFmtId="0" fontId="21" fillId="5" borderId="5" applyNumberFormat="0" applyAlignment="0" applyProtection="0"/>
    <xf numFmtId="0" fontId="22" fillId="0" borderId="0" applyNumberFormat="0" applyFill="0" applyBorder="0" applyAlignment="0" applyProtection="0"/>
    <xf numFmtId="0" fontId="92" fillId="0" borderId="0"/>
    <xf numFmtId="0" fontId="10" fillId="0" borderId="0"/>
    <xf numFmtId="0" fontId="12" fillId="0" borderId="0"/>
    <xf numFmtId="0" fontId="24" fillId="0" borderId="0" applyNumberFormat="0" applyFill="0" applyBorder="0" applyAlignment="0" applyProtection="0"/>
    <xf numFmtId="0" fontId="1" fillId="0" borderId="0"/>
  </cellStyleXfs>
  <cellXfs count="894">
    <xf numFmtId="0" fontId="0" fillId="0" borderId="0" xfId="0"/>
    <xf numFmtId="0" fontId="16" fillId="0" borderId="0" xfId="39" applyFont="1"/>
    <xf numFmtId="0" fontId="30" fillId="0" borderId="0" xfId="0" applyFont="1" applyAlignment="1">
      <alignment horizontal="left" vertical="center"/>
    </xf>
    <xf numFmtId="0" fontId="30" fillId="0" borderId="0" xfId="39" applyFont="1"/>
    <xf numFmtId="0" fontId="62" fillId="0" borderId="0" xfId="0" applyFont="1"/>
    <xf numFmtId="0" fontId="70" fillId="0" borderId="0" xfId="0" applyFont="1"/>
    <xf numFmtId="0" fontId="71" fillId="0" borderId="0" xfId="0" applyFont="1"/>
    <xf numFmtId="0" fontId="76" fillId="0" borderId="0" xfId="35" applyFont="1"/>
    <xf numFmtId="0" fontId="77" fillId="0" borderId="0" xfId="35" applyFont="1" applyAlignment="1">
      <alignment horizontal="center" vertical="center"/>
    </xf>
    <xf numFmtId="0" fontId="65" fillId="0" borderId="0" xfId="0" applyFont="1"/>
    <xf numFmtId="2" fontId="79" fillId="0" borderId="0" xfId="36" applyNumberFormat="1" applyFont="1" applyFill="1" applyAlignment="1">
      <alignment horizontal="center" vertical="top"/>
    </xf>
    <xf numFmtId="0" fontId="75" fillId="0" borderId="0" xfId="35" applyFont="1" applyAlignment="1">
      <alignment horizontal="center" vertical="center"/>
    </xf>
    <xf numFmtId="0" fontId="65" fillId="0" borderId="0" xfId="36" applyFont="1">
      <alignment vertical="top"/>
    </xf>
    <xf numFmtId="0" fontId="61" fillId="0" borderId="0" xfId="0" applyFont="1"/>
    <xf numFmtId="0" fontId="91" fillId="0" borderId="0" xfId="0" applyFont="1" applyAlignment="1">
      <alignment horizontal="left" vertical="center"/>
    </xf>
    <xf numFmtId="0" fontId="52" fillId="0" borderId="0" xfId="0" applyFont="1" applyAlignment="1">
      <alignment horizontal="left" vertical="center"/>
    </xf>
    <xf numFmtId="0" fontId="53" fillId="0" borderId="0" xfId="0" applyFont="1" applyAlignment="1">
      <alignment horizontal="left" vertical="center"/>
    </xf>
    <xf numFmtId="4" fontId="29" fillId="0" borderId="0" xfId="36" applyNumberFormat="1" applyFont="1" applyFill="1" applyBorder="1" applyAlignment="1">
      <alignment horizontal="center" vertical="center" wrapText="1"/>
    </xf>
    <xf numFmtId="0" fontId="13" fillId="28" borderId="0" xfId="0" applyFont="1" applyFill="1" applyAlignment="1">
      <alignment vertical="center"/>
    </xf>
    <xf numFmtId="0" fontId="30" fillId="28" borderId="0" xfId="0" applyFont="1" applyFill="1" applyAlignment="1">
      <alignment vertical="center"/>
    </xf>
    <xf numFmtId="0" fontId="61" fillId="28" borderId="0" xfId="0" applyFont="1" applyFill="1"/>
    <xf numFmtId="0" fontId="0" fillId="28" borderId="0" xfId="0" applyFill="1"/>
    <xf numFmtId="0" fontId="30" fillId="28" borderId="0" xfId="0" applyFont="1" applyFill="1" applyAlignment="1">
      <alignment horizontal="right" vertical="center"/>
    </xf>
    <xf numFmtId="0" fontId="64" fillId="28" borderId="0" xfId="38" applyFont="1" applyFill="1" applyBorder="1" applyAlignment="1" applyProtection="1">
      <alignment horizontal="center" vertical="center" wrapText="1"/>
      <protection locked="0"/>
    </xf>
    <xf numFmtId="0" fontId="15" fillId="28" borderId="0" xfId="0" applyFont="1" applyFill="1"/>
    <xf numFmtId="0" fontId="62" fillId="28" borderId="0" xfId="0" applyFont="1" applyFill="1"/>
    <xf numFmtId="4" fontId="29" fillId="28" borderId="0" xfId="0" applyNumberFormat="1" applyFont="1" applyFill="1" applyAlignment="1">
      <alignment horizontal="left" vertical="center"/>
    </xf>
    <xf numFmtId="4" fontId="69" fillId="28" borderId="0" xfId="0" applyNumberFormat="1" applyFont="1" applyFill="1" applyAlignment="1">
      <alignment horizontal="left" vertical="center"/>
    </xf>
    <xf numFmtId="0" fontId="87" fillId="28" borderId="0" xfId="0" applyFont="1" applyFill="1"/>
    <xf numFmtId="4" fontId="74" fillId="28" borderId="0" xfId="0" applyNumberFormat="1" applyFont="1" applyFill="1" applyAlignment="1">
      <alignment horizontal="left" vertical="center"/>
    </xf>
    <xf numFmtId="4" fontId="60" fillId="28" borderId="0" xfId="0" applyNumberFormat="1" applyFont="1" applyFill="1" applyAlignment="1">
      <alignment horizontal="left" vertical="center"/>
    </xf>
    <xf numFmtId="4" fontId="63" fillId="28" borderId="0" xfId="0" applyNumberFormat="1" applyFont="1" applyFill="1" applyAlignment="1">
      <alignment horizontal="left" vertical="center"/>
    </xf>
    <xf numFmtId="4" fontId="89" fillId="28" borderId="0" xfId="0" applyNumberFormat="1" applyFont="1" applyFill="1" applyAlignment="1">
      <alignment horizontal="left" vertical="center"/>
    </xf>
    <xf numFmtId="0" fontId="36" fillId="28" borderId="0" xfId="0" applyFont="1" applyFill="1"/>
    <xf numFmtId="4" fontId="81" fillId="28" borderId="0" xfId="0" applyNumberFormat="1" applyFont="1" applyFill="1" applyAlignment="1">
      <alignment horizontal="left" vertical="center"/>
    </xf>
    <xf numFmtId="4" fontId="64" fillId="28" borderId="0" xfId="0" applyNumberFormat="1" applyFont="1" applyFill="1" applyAlignment="1">
      <alignment horizontal="left" vertical="center"/>
    </xf>
    <xf numFmtId="0" fontId="70" fillId="28" borderId="0" xfId="0" applyFont="1" applyFill="1"/>
    <xf numFmtId="4" fontId="30" fillId="28" borderId="0" xfId="0" applyNumberFormat="1" applyFont="1" applyFill="1" applyAlignment="1">
      <alignment horizontal="left" vertical="center"/>
    </xf>
    <xf numFmtId="4" fontId="41" fillId="28" borderId="0" xfId="0" applyNumberFormat="1" applyFont="1" applyFill="1"/>
    <xf numFmtId="4" fontId="72" fillId="28" borderId="0" xfId="0" applyNumberFormat="1" applyFont="1" applyFill="1" applyAlignment="1">
      <alignment horizontal="left" vertical="center"/>
    </xf>
    <xf numFmtId="4" fontId="88" fillId="28" borderId="0" xfId="0" applyNumberFormat="1" applyFont="1" applyFill="1" applyAlignment="1">
      <alignment horizontal="left" vertical="center"/>
    </xf>
    <xf numFmtId="49" fontId="64" fillId="28" borderId="15" xfId="0" applyNumberFormat="1" applyFont="1" applyFill="1" applyBorder="1" applyAlignment="1">
      <alignment horizontal="center" vertical="center" wrapText="1"/>
    </xf>
    <xf numFmtId="4" fontId="68" fillId="28" borderId="15" xfId="0" applyNumberFormat="1" applyFont="1" applyFill="1" applyBorder="1" applyAlignment="1">
      <alignment horizontal="center" vertical="center" wrapText="1"/>
    </xf>
    <xf numFmtId="4" fontId="65" fillId="28" borderId="15" xfId="0" applyNumberFormat="1" applyFont="1" applyFill="1" applyBorder="1" applyAlignment="1">
      <alignment horizontal="center" vertical="center" wrapText="1"/>
    </xf>
    <xf numFmtId="4" fontId="65" fillId="28" borderId="15" xfId="0" applyNumberFormat="1" applyFont="1" applyFill="1" applyBorder="1" applyAlignment="1">
      <alignment horizontal="center" vertical="center"/>
    </xf>
    <xf numFmtId="4" fontId="31" fillId="28" borderId="0" xfId="0" applyNumberFormat="1" applyFont="1" applyFill="1" applyAlignment="1">
      <alignment horizontal="center" vertical="center" wrapText="1"/>
    </xf>
    <xf numFmtId="4" fontId="31" fillId="28" borderId="0" xfId="0" applyNumberFormat="1" applyFont="1" applyFill="1" applyAlignment="1">
      <alignment horizontal="left" vertical="center" wrapText="1"/>
    </xf>
    <xf numFmtId="4" fontId="68" fillId="28" borderId="0" xfId="0" applyNumberFormat="1" applyFont="1" applyFill="1" applyAlignment="1">
      <alignment horizontal="center" vertical="center" wrapText="1"/>
    </xf>
    <xf numFmtId="4" fontId="32" fillId="28" borderId="0" xfId="0" applyNumberFormat="1" applyFont="1" applyFill="1" applyAlignment="1">
      <alignment horizontal="left" vertical="center" wrapText="1"/>
    </xf>
    <xf numFmtId="4" fontId="32" fillId="28" borderId="0" xfId="0" applyNumberFormat="1" applyFont="1" applyFill="1" applyAlignment="1">
      <alignment horizontal="center" vertical="center" wrapText="1"/>
    </xf>
    <xf numFmtId="4" fontId="68" fillId="28" borderId="0" xfId="0" applyNumberFormat="1" applyFont="1" applyFill="1" applyAlignment="1">
      <alignment horizontal="left" vertical="center" wrapText="1"/>
    </xf>
    <xf numFmtId="4" fontId="80" fillId="28" borderId="0" xfId="0" applyNumberFormat="1" applyFont="1" applyFill="1" applyAlignment="1">
      <alignment horizontal="left" vertical="center" wrapText="1"/>
    </xf>
    <xf numFmtId="4" fontId="86" fillId="28" borderId="0" xfId="0" applyNumberFormat="1" applyFont="1" applyFill="1" applyAlignment="1">
      <alignment horizontal="left" vertical="center" wrapText="1"/>
    </xf>
    <xf numFmtId="4" fontId="82" fillId="28" borderId="0" xfId="0" applyNumberFormat="1" applyFont="1" applyFill="1" applyAlignment="1">
      <alignment horizontal="left" vertical="center" wrapText="1"/>
    </xf>
    <xf numFmtId="4" fontId="83" fillId="28" borderId="0" xfId="0" applyNumberFormat="1" applyFont="1" applyFill="1" applyAlignment="1">
      <alignment horizontal="center" vertical="center" wrapText="1"/>
    </xf>
    <xf numFmtId="4" fontId="51" fillId="28" borderId="0" xfId="0" applyNumberFormat="1" applyFont="1" applyFill="1" applyAlignment="1">
      <alignment vertical="center"/>
    </xf>
    <xf numFmtId="4" fontId="64" fillId="28" borderId="0" xfId="0" applyNumberFormat="1" applyFont="1" applyFill="1" applyAlignment="1">
      <alignment horizontal="center" vertical="center"/>
    </xf>
    <xf numFmtId="0" fontId="14" fillId="28" borderId="0" xfId="0" applyFont="1" applyFill="1" applyAlignment="1">
      <alignment vertical="center"/>
    </xf>
    <xf numFmtId="0" fontId="84" fillId="28" borderId="0" xfId="0" applyFont="1" applyFill="1" applyAlignment="1">
      <alignment vertical="center"/>
    </xf>
    <xf numFmtId="4" fontId="14" fillId="28" borderId="0" xfId="0" applyNumberFormat="1" applyFont="1" applyFill="1" applyAlignment="1">
      <alignment vertical="center"/>
    </xf>
    <xf numFmtId="4" fontId="13" fillId="28" borderId="0" xfId="0" applyNumberFormat="1" applyFont="1" applyFill="1" applyAlignment="1">
      <alignment vertical="center"/>
    </xf>
    <xf numFmtId="0" fontId="85" fillId="28" borderId="0" xfId="0" applyFont="1" applyFill="1" applyAlignment="1">
      <alignment vertical="center"/>
    </xf>
    <xf numFmtId="4" fontId="55" fillId="28" borderId="0" xfId="0" applyNumberFormat="1" applyFont="1" applyFill="1" applyAlignment="1">
      <alignment vertical="center"/>
    </xf>
    <xf numFmtId="168" fontId="37" fillId="28" borderId="0" xfId="0" applyNumberFormat="1" applyFont="1" applyFill="1" applyAlignment="1">
      <alignment vertical="center"/>
    </xf>
    <xf numFmtId="4" fontId="29" fillId="29" borderId="0" xfId="36" applyNumberFormat="1" applyFont="1" applyFill="1" applyBorder="1" applyAlignment="1">
      <alignment horizontal="center" vertical="center" wrapText="1"/>
    </xf>
    <xf numFmtId="4" fontId="73" fillId="28" borderId="0" xfId="0" applyNumberFormat="1" applyFont="1" applyFill="1" applyAlignment="1">
      <alignment vertical="center"/>
    </xf>
    <xf numFmtId="0" fontId="29" fillId="28" borderId="0" xfId="0" applyFont="1" applyFill="1" applyAlignment="1">
      <alignment horizontal="right" vertical="center"/>
    </xf>
    <xf numFmtId="0" fontId="55" fillId="28" borderId="0" xfId="0" applyFont="1" applyFill="1" applyAlignment="1">
      <alignment vertical="center"/>
    </xf>
    <xf numFmtId="4" fontId="59" fillId="28" borderId="0" xfId="0" applyNumberFormat="1" applyFont="1" applyFill="1" applyAlignment="1">
      <alignment vertical="center"/>
    </xf>
    <xf numFmtId="4" fontId="37" fillId="28" borderId="0" xfId="0" applyNumberFormat="1" applyFont="1" applyFill="1" applyAlignment="1">
      <alignment vertical="center"/>
    </xf>
    <xf numFmtId="0" fontId="56" fillId="28" borderId="0" xfId="0" applyFont="1" applyFill="1"/>
    <xf numFmtId="10" fontId="37" fillId="28" borderId="0" xfId="0" applyNumberFormat="1" applyFont="1" applyFill="1" applyAlignment="1">
      <alignment vertical="center"/>
    </xf>
    <xf numFmtId="0" fontId="37" fillId="28" borderId="0" xfId="0" applyFont="1" applyFill="1" applyAlignment="1">
      <alignment vertical="center"/>
    </xf>
    <xf numFmtId="4" fontId="64" fillId="28" borderId="15" xfId="0" applyNumberFormat="1" applyFont="1" applyFill="1" applyBorder="1" applyAlignment="1">
      <alignment horizontal="center" vertical="center" wrapText="1"/>
    </xf>
    <xf numFmtId="2" fontId="78" fillId="28" borderId="0" xfId="36" applyNumberFormat="1" applyFont="1" applyFill="1" applyAlignment="1">
      <alignment horizontal="center" vertical="top"/>
    </xf>
    <xf numFmtId="0" fontId="13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4" fontId="95" fillId="28" borderId="0" xfId="0" applyNumberFormat="1" applyFont="1" applyFill="1" applyAlignment="1">
      <alignment vertical="center"/>
    </xf>
    <xf numFmtId="0" fontId="94" fillId="0" borderId="0" xfId="0" applyFont="1"/>
    <xf numFmtId="0" fontId="94" fillId="28" borderId="0" xfId="0" applyFont="1" applyFill="1"/>
    <xf numFmtId="4" fontId="97" fillId="28" borderId="0" xfId="0" applyNumberFormat="1" applyFont="1" applyFill="1"/>
    <xf numFmtId="4" fontId="96" fillId="28" borderId="0" xfId="0" applyNumberFormat="1" applyFont="1" applyFill="1" applyAlignment="1">
      <alignment horizontal="center" vertical="center"/>
    </xf>
    <xf numFmtId="4" fontId="98" fillId="29" borderId="15" xfId="0" applyNumberFormat="1" applyFont="1" applyFill="1" applyBorder="1" applyAlignment="1">
      <alignment horizontal="center" vertical="center"/>
    </xf>
    <xf numFmtId="4" fontId="100" fillId="28" borderId="0" xfId="0" applyNumberFormat="1" applyFont="1" applyFill="1" applyAlignment="1">
      <alignment vertical="center"/>
    </xf>
    <xf numFmtId="4" fontId="101" fillId="28" borderId="0" xfId="0" applyNumberFormat="1" applyFont="1" applyFill="1" applyAlignment="1">
      <alignment vertical="center"/>
    </xf>
    <xf numFmtId="0" fontId="102" fillId="28" borderId="0" xfId="0" applyFont="1" applyFill="1" applyAlignment="1">
      <alignment vertical="center"/>
    </xf>
    <xf numFmtId="0" fontId="103" fillId="28" borderId="0" xfId="0" applyFont="1" applyFill="1" applyAlignment="1">
      <alignment vertical="center"/>
    </xf>
    <xf numFmtId="166" fontId="104" fillId="28" borderId="0" xfId="0" applyNumberFormat="1" applyFont="1" applyFill="1" applyAlignment="1">
      <alignment horizontal="right" vertical="center" wrapText="1"/>
    </xf>
    <xf numFmtId="166" fontId="105" fillId="28" borderId="0" xfId="0" applyNumberFormat="1" applyFont="1" applyFill="1" applyAlignment="1">
      <alignment horizontal="right" vertical="center" wrapText="1"/>
    </xf>
    <xf numFmtId="166" fontId="95" fillId="28" borderId="0" xfId="0" applyNumberFormat="1" applyFont="1" applyFill="1" applyAlignment="1">
      <alignment horizontal="right" vertical="center" wrapText="1"/>
    </xf>
    <xf numFmtId="0" fontId="105" fillId="28" borderId="0" xfId="0" applyFont="1" applyFill="1" applyAlignment="1">
      <alignment vertical="center"/>
    </xf>
    <xf numFmtId="0" fontId="104" fillId="28" borderId="0" xfId="0" applyFont="1" applyFill="1" applyAlignment="1">
      <alignment vertical="center"/>
    </xf>
    <xf numFmtId="4" fontId="104" fillId="28" borderId="0" xfId="0" applyNumberFormat="1" applyFont="1" applyFill="1" applyAlignment="1">
      <alignment vertical="center"/>
    </xf>
    <xf numFmtId="2" fontId="106" fillId="28" borderId="0" xfId="0" applyNumberFormat="1" applyFont="1" applyFill="1" applyAlignment="1">
      <alignment horizontal="center" vertical="center"/>
    </xf>
    <xf numFmtId="4" fontId="99" fillId="29" borderId="14" xfId="0" applyNumberFormat="1" applyFont="1" applyFill="1" applyBorder="1" applyAlignment="1">
      <alignment horizontal="center" vertical="center" wrapText="1"/>
    </xf>
    <xf numFmtId="10" fontId="101" fillId="28" borderId="0" xfId="0" applyNumberFormat="1" applyFont="1" applyFill="1" applyAlignment="1">
      <alignment vertical="center"/>
    </xf>
    <xf numFmtId="0" fontId="39" fillId="0" borderId="0" xfId="36" applyFont="1" applyAlignment="1">
      <alignment horizontal="center" vertical="center"/>
    </xf>
    <xf numFmtId="0" fontId="78" fillId="0" borderId="0" xfId="36" applyFont="1">
      <alignment vertical="top"/>
    </xf>
    <xf numFmtId="0" fontId="39" fillId="0" borderId="0" xfId="36" applyFont="1" applyAlignment="1">
      <alignment horizontal="center"/>
    </xf>
    <xf numFmtId="0" fontId="39" fillId="0" borderId="0" xfId="0" applyFont="1" applyAlignment="1">
      <alignment horizontal="center"/>
    </xf>
    <xf numFmtId="0" fontId="39" fillId="0" borderId="0" xfId="36" applyFont="1" applyAlignment="1">
      <alignment horizontal="center" vertical="top"/>
    </xf>
    <xf numFmtId="49" fontId="30" fillId="0" borderId="15" xfId="0" applyNumberFormat="1" applyFont="1" applyBorder="1" applyAlignment="1">
      <alignment horizontal="center" vertical="center" wrapText="1"/>
    </xf>
    <xf numFmtId="0" fontId="75" fillId="0" borderId="0" xfId="39" applyFont="1"/>
    <xf numFmtId="0" fontId="67" fillId="0" borderId="0" xfId="39" applyFont="1" applyAlignment="1">
      <alignment wrapText="1"/>
    </xf>
    <xf numFmtId="0" fontId="110" fillId="0" borderId="0" xfId="39" applyFont="1" applyAlignment="1">
      <alignment wrapText="1"/>
    </xf>
    <xf numFmtId="0" fontId="111" fillId="0" borderId="0" xfId="39" applyFont="1" applyAlignment="1">
      <alignment wrapText="1"/>
    </xf>
    <xf numFmtId="0" fontId="75" fillId="0" borderId="0" xfId="39" applyFont="1" applyAlignment="1">
      <alignment wrapText="1"/>
    </xf>
    <xf numFmtId="0" fontId="114" fillId="0" borderId="0" xfId="39" applyFont="1" applyAlignment="1">
      <alignment wrapText="1"/>
    </xf>
    <xf numFmtId="4" fontId="112" fillId="28" borderId="24" xfId="39" applyNumberFormat="1" applyFont="1" applyFill="1" applyBorder="1" applyAlignment="1">
      <alignment horizontal="center" vertical="center" wrapText="1"/>
    </xf>
    <xf numFmtId="4" fontId="113" fillId="28" borderId="24" xfId="39" applyNumberFormat="1" applyFont="1" applyFill="1" applyBorder="1" applyAlignment="1">
      <alignment horizontal="center" vertical="center" wrapText="1"/>
    </xf>
    <xf numFmtId="0" fontId="75" fillId="0" borderId="0" xfId="39" applyFont="1" applyAlignment="1">
      <alignment vertical="center"/>
    </xf>
    <xf numFmtId="4" fontId="75" fillId="0" borderId="0" xfId="39" applyNumberFormat="1" applyFont="1"/>
    <xf numFmtId="0" fontId="107" fillId="0" borderId="0" xfId="0" applyFont="1" applyAlignment="1">
      <alignment horizontal="justify" vertical="center"/>
    </xf>
    <xf numFmtId="0" fontId="108" fillId="0" borderId="0" xfId="39" applyFont="1"/>
    <xf numFmtId="4" fontId="61" fillId="28" borderId="0" xfId="0" applyNumberFormat="1" applyFont="1" applyFill="1"/>
    <xf numFmtId="4" fontId="61" fillId="0" borderId="0" xfId="0" applyNumberFormat="1" applyFont="1"/>
    <xf numFmtId="0" fontId="75" fillId="28" borderId="24" xfId="0" applyFont="1" applyFill="1" applyBorder="1" applyAlignment="1">
      <alignment horizontal="center" vertical="center" wrapText="1"/>
    </xf>
    <xf numFmtId="0" fontId="75" fillId="28" borderId="24" xfId="0" applyFont="1" applyFill="1" applyBorder="1" applyAlignment="1">
      <alignment horizontal="left" vertical="center" wrapText="1"/>
    </xf>
    <xf numFmtId="4" fontId="75" fillId="28" borderId="24" xfId="0" applyNumberFormat="1" applyFont="1" applyFill="1" applyBorder="1" applyAlignment="1">
      <alignment horizontal="center" vertical="center" wrapText="1"/>
    </xf>
    <xf numFmtId="4" fontId="62" fillId="28" borderId="0" xfId="0" applyNumberFormat="1" applyFont="1" applyFill="1"/>
    <xf numFmtId="4" fontId="62" fillId="0" borderId="0" xfId="0" applyNumberFormat="1" applyFont="1"/>
    <xf numFmtId="0" fontId="75" fillId="0" borderId="0" xfId="0" applyFont="1"/>
    <xf numFmtId="0" fontId="64" fillId="0" borderId="0" xfId="0" applyFont="1"/>
    <xf numFmtId="49" fontId="60" fillId="0" borderId="15" xfId="0" applyNumberFormat="1" applyFont="1" applyBorder="1" applyAlignment="1">
      <alignment horizontal="center" vertical="center" wrapText="1"/>
    </xf>
    <xf numFmtId="49" fontId="64" fillId="28" borderId="0" xfId="0" applyNumberFormat="1" applyFont="1" applyFill="1" applyAlignment="1">
      <alignment horizontal="center" vertical="center" wrapText="1"/>
    </xf>
    <xf numFmtId="4" fontId="68" fillId="0" borderId="15" xfId="0" applyNumberFormat="1" applyFont="1" applyBorder="1" applyAlignment="1">
      <alignment horizontal="center" vertical="center" wrapText="1"/>
    </xf>
    <xf numFmtId="49" fontId="64" fillId="0" borderId="15" xfId="0" applyNumberFormat="1" applyFont="1" applyBorder="1" applyAlignment="1">
      <alignment horizontal="center" vertical="center" wrapText="1"/>
    </xf>
    <xf numFmtId="4" fontId="65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65" fillId="0" borderId="15" xfId="38" applyNumberFormat="1" applyFont="1" applyFill="1" applyBorder="1" applyAlignment="1">
      <alignment horizontal="center" vertical="center" wrapText="1"/>
    </xf>
    <xf numFmtId="4" fontId="68" fillId="0" borderId="15" xfId="38" applyNumberFormat="1" applyFont="1" applyFill="1" applyBorder="1" applyAlignment="1">
      <alignment horizontal="center" vertical="center" wrapText="1"/>
    </xf>
    <xf numFmtId="4" fontId="65" fillId="0" borderId="15" xfId="0" applyNumberFormat="1" applyFont="1" applyBorder="1" applyAlignment="1">
      <alignment horizontal="center" vertical="center"/>
    </xf>
    <xf numFmtId="0" fontId="109" fillId="28" borderId="0" xfId="0" applyFont="1" applyFill="1"/>
    <xf numFmtId="4" fontId="65" fillId="0" borderId="15" xfId="0" applyNumberFormat="1" applyFont="1" applyBorder="1" applyAlignment="1">
      <alignment horizontal="center" vertical="center" wrapText="1"/>
    </xf>
    <xf numFmtId="0" fontId="112" fillId="28" borderId="0" xfId="0" applyFont="1" applyFill="1"/>
    <xf numFmtId="49" fontId="63" fillId="0" borderId="15" xfId="0" applyNumberFormat="1" applyFont="1" applyBorder="1" applyAlignment="1">
      <alignment horizontal="center" vertical="center" wrapText="1"/>
    </xf>
    <xf numFmtId="4" fontId="80" fillId="0" borderId="15" xfId="0" applyNumberFormat="1" applyFont="1" applyBorder="1" applyAlignment="1">
      <alignment horizontal="center" vertical="center" wrapText="1"/>
    </xf>
    <xf numFmtId="0" fontId="113" fillId="28" borderId="0" xfId="0" applyFont="1" applyFill="1"/>
    <xf numFmtId="0" fontId="75" fillId="28" borderId="0" xfId="0" applyFont="1" applyFill="1"/>
    <xf numFmtId="49" fontId="89" fillId="0" borderId="15" xfId="0" applyNumberFormat="1" applyFont="1" applyBorder="1" applyAlignment="1">
      <alignment horizontal="center" vertical="center" wrapText="1"/>
    </xf>
    <xf numFmtId="4" fontId="115" fillId="0" borderId="15" xfId="0" applyNumberFormat="1" applyFont="1" applyBorder="1" applyAlignment="1">
      <alignment horizontal="center" vertical="center" wrapText="1"/>
    </xf>
    <xf numFmtId="4" fontId="116" fillId="28" borderId="0" xfId="0" applyNumberFormat="1" applyFont="1" applyFill="1" applyAlignment="1">
      <alignment horizontal="center" vertical="center"/>
    </xf>
    <xf numFmtId="4" fontId="71" fillId="28" borderId="0" xfId="0" applyNumberFormat="1" applyFont="1" applyFill="1"/>
    <xf numFmtId="49" fontId="89" fillId="28" borderId="15" xfId="0" applyNumberFormat="1" applyFont="1" applyFill="1" applyBorder="1" applyAlignment="1">
      <alignment horizontal="center" vertical="center" wrapText="1"/>
    </xf>
    <xf numFmtId="4" fontId="115" fillId="28" borderId="15" xfId="0" applyNumberFormat="1" applyFont="1" applyFill="1" applyBorder="1" applyAlignment="1">
      <alignment horizontal="center" vertical="center" wrapText="1"/>
    </xf>
    <xf numFmtId="49" fontId="60" fillId="28" borderId="15" xfId="0" applyNumberFormat="1" applyFont="1" applyFill="1" applyBorder="1" applyAlignment="1">
      <alignment horizontal="center" vertical="center" wrapText="1"/>
    </xf>
    <xf numFmtId="49" fontId="63" fillId="28" borderId="15" xfId="0" applyNumberFormat="1" applyFont="1" applyFill="1" applyBorder="1" applyAlignment="1">
      <alignment horizontal="center" vertical="center" wrapText="1"/>
    </xf>
    <xf numFmtId="4" fontId="80" fillId="28" borderId="15" xfId="0" applyNumberFormat="1" applyFont="1" applyFill="1" applyBorder="1" applyAlignment="1">
      <alignment horizontal="center" vertical="center" wrapText="1"/>
    </xf>
    <xf numFmtId="0" fontId="118" fillId="28" borderId="0" xfId="0" applyFont="1" applyFill="1"/>
    <xf numFmtId="4" fontId="65" fillId="28" borderId="0" xfId="0" applyNumberFormat="1" applyFont="1" applyFill="1" applyAlignment="1">
      <alignment horizontal="center" vertical="center" wrapText="1"/>
    </xf>
    <xf numFmtId="0" fontId="64" fillId="0" borderId="15" xfId="0" applyFont="1" applyBorder="1" applyAlignment="1">
      <alignment horizontal="center" vertical="center" wrapText="1"/>
    </xf>
    <xf numFmtId="4" fontId="68" fillId="0" borderId="15" xfId="38" applyNumberFormat="1" applyFont="1" applyFill="1" applyBorder="1" applyAlignment="1" applyProtection="1">
      <alignment horizontal="center" vertical="center" wrapText="1"/>
      <protection locked="0"/>
    </xf>
    <xf numFmtId="0" fontId="89" fillId="0" borderId="15" xfId="38" applyFont="1" applyFill="1" applyBorder="1" applyAlignment="1" applyProtection="1">
      <alignment horizontal="center" vertical="center" wrapText="1"/>
      <protection locked="0"/>
    </xf>
    <xf numFmtId="0" fontId="64" fillId="28" borderId="15" xfId="38" applyFont="1" applyFill="1" applyBorder="1" applyAlignment="1" applyProtection="1">
      <alignment horizontal="center" vertical="center" wrapText="1"/>
      <protection locked="0"/>
    </xf>
    <xf numFmtId="0" fontId="64" fillId="0" borderId="0" xfId="38" applyFont="1" applyFill="1" applyBorder="1" applyAlignment="1" applyProtection="1">
      <alignment horizontal="center" wrapText="1"/>
      <protection locked="0"/>
    </xf>
    <xf numFmtId="0" fontId="64" fillId="0" borderId="17" xfId="38" applyFont="1" applyFill="1" applyBorder="1" applyAlignment="1" applyProtection="1">
      <alignment horizontal="center" vertical="top" wrapText="1"/>
      <protection locked="0"/>
    </xf>
    <xf numFmtId="4" fontId="115" fillId="28" borderId="0" xfId="0" applyNumberFormat="1" applyFont="1" applyFill="1" applyAlignment="1">
      <alignment horizontal="center" vertical="center" wrapText="1"/>
    </xf>
    <xf numFmtId="4" fontId="115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80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68" fillId="28" borderId="15" xfId="38" applyNumberFormat="1" applyFont="1" applyFill="1" applyBorder="1" applyAlignment="1" applyProtection="1">
      <alignment horizontal="center" vertical="center" wrapText="1"/>
      <protection locked="0"/>
    </xf>
    <xf numFmtId="4" fontId="65" fillId="28" borderId="15" xfId="38" applyNumberFormat="1" applyFont="1" applyFill="1" applyBorder="1" applyAlignment="1" applyProtection="1">
      <alignment horizontal="center" vertical="center" wrapText="1"/>
      <protection locked="0"/>
    </xf>
    <xf numFmtId="0" fontId="107" fillId="28" borderId="0" xfId="0" applyFont="1" applyFill="1"/>
    <xf numFmtId="0" fontId="64" fillId="28" borderId="0" xfId="38" applyFont="1" applyFill="1" applyBorder="1" applyAlignment="1" applyProtection="1">
      <alignment horizontal="center" wrapText="1"/>
      <protection locked="0"/>
    </xf>
    <xf numFmtId="0" fontId="64" fillId="28" borderId="17" xfId="38" applyFont="1" applyFill="1" applyBorder="1" applyAlignment="1" applyProtection="1">
      <alignment horizontal="center" vertical="top" wrapText="1"/>
      <protection locked="0"/>
    </xf>
    <xf numFmtId="4" fontId="63" fillId="0" borderId="15" xfId="38" applyNumberFormat="1" applyFont="1" applyFill="1" applyBorder="1" applyAlignment="1" applyProtection="1">
      <alignment horizontal="center" vertical="center" wrapText="1"/>
      <protection locked="0"/>
    </xf>
    <xf numFmtId="0" fontId="63" fillId="0" borderId="15" xfId="0" applyFont="1" applyBorder="1" applyAlignment="1">
      <alignment horizontal="center" vertical="center" wrapText="1"/>
    </xf>
    <xf numFmtId="0" fontId="89" fillId="0" borderId="15" xfId="0" applyFont="1" applyBorder="1" applyAlignment="1">
      <alignment horizontal="center" vertical="center" wrapText="1"/>
    </xf>
    <xf numFmtId="0" fontId="119" fillId="0" borderId="0" xfId="0" applyFont="1" applyAlignment="1">
      <alignment horizontal="left" vertical="center"/>
    </xf>
    <xf numFmtId="0" fontId="120" fillId="0" borderId="0" xfId="0" applyFont="1" applyAlignment="1">
      <alignment horizontal="left" vertical="center"/>
    </xf>
    <xf numFmtId="0" fontId="75" fillId="0" borderId="0" xfId="35" applyFont="1"/>
    <xf numFmtId="0" fontId="76" fillId="0" borderId="9" xfId="35" applyFont="1" applyBorder="1"/>
    <xf numFmtId="0" fontId="76" fillId="0" borderId="10" xfId="35" applyFont="1" applyBorder="1"/>
    <xf numFmtId="0" fontId="111" fillId="0" borderId="0" xfId="35" applyFont="1"/>
    <xf numFmtId="49" fontId="114" fillId="36" borderId="15" xfId="0" applyNumberFormat="1" applyFont="1" applyFill="1" applyBorder="1" applyAlignment="1">
      <alignment horizontal="center" vertical="center" wrapText="1"/>
    </xf>
    <xf numFmtId="0" fontId="114" fillId="36" borderId="15" xfId="38" applyFont="1" applyFill="1" applyBorder="1" applyAlignment="1" applyProtection="1">
      <alignment horizontal="center" vertical="center" wrapText="1"/>
      <protection locked="0"/>
    </xf>
    <xf numFmtId="4" fontId="114" fillId="36" borderId="15" xfId="0" applyNumberFormat="1" applyFont="1" applyFill="1" applyBorder="1" applyAlignment="1">
      <alignment horizontal="center" vertical="center" wrapText="1"/>
    </xf>
    <xf numFmtId="0" fontId="121" fillId="0" borderId="0" xfId="35" applyFont="1"/>
    <xf numFmtId="49" fontId="110" fillId="35" borderId="15" xfId="0" applyNumberFormat="1" applyFont="1" applyFill="1" applyBorder="1" applyAlignment="1">
      <alignment horizontal="center" vertical="center" wrapText="1"/>
    </xf>
    <xf numFmtId="0" fontId="110" fillId="35" borderId="15" xfId="38" applyFont="1" applyFill="1" applyBorder="1" applyAlignment="1" applyProtection="1">
      <alignment horizontal="center" vertical="center" wrapText="1"/>
      <protection locked="0"/>
    </xf>
    <xf numFmtId="4" fontId="110" fillId="35" borderId="15" xfId="0" applyNumberFormat="1" applyFont="1" applyFill="1" applyBorder="1" applyAlignment="1">
      <alignment horizontal="center" vertical="center" wrapText="1"/>
    </xf>
    <xf numFmtId="0" fontId="67" fillId="0" borderId="0" xfId="35" applyFont="1" applyAlignment="1">
      <alignment horizontal="center" vertical="center" wrapText="1"/>
    </xf>
    <xf numFmtId="4" fontId="110" fillId="0" borderId="0" xfId="35" applyNumberFormat="1" applyFont="1" applyAlignment="1">
      <alignment horizontal="center" vertical="center"/>
    </xf>
    <xf numFmtId="0" fontId="122" fillId="0" borderId="0" xfId="0" applyFont="1" applyAlignment="1">
      <alignment vertical="center"/>
    </xf>
    <xf numFmtId="4" fontId="123" fillId="0" borderId="0" xfId="0" applyNumberFormat="1" applyFont="1" applyAlignment="1">
      <alignment vertical="center"/>
    </xf>
    <xf numFmtId="4" fontId="124" fillId="0" borderId="0" xfId="0" applyNumberFormat="1" applyFont="1" applyAlignment="1">
      <alignment vertical="center"/>
    </xf>
    <xf numFmtId="0" fontId="124" fillId="0" borderId="0" xfId="0" applyFont="1" applyAlignment="1">
      <alignment vertical="center"/>
    </xf>
    <xf numFmtId="4" fontId="122" fillId="0" borderId="0" xfId="0" applyNumberFormat="1" applyFont="1" applyAlignment="1">
      <alignment vertical="center"/>
    </xf>
    <xf numFmtId="0" fontId="123" fillId="0" borderId="0" xfId="0" applyFont="1" applyAlignment="1">
      <alignment vertical="center"/>
    </xf>
    <xf numFmtId="0" fontId="125" fillId="0" borderId="0" xfId="35" applyFont="1"/>
    <xf numFmtId="0" fontId="65" fillId="0" borderId="0" xfId="35" applyFont="1"/>
    <xf numFmtId="0" fontId="126" fillId="0" borderId="0" xfId="35" applyFont="1"/>
    <xf numFmtId="0" fontId="84" fillId="0" borderId="0" xfId="0" applyFont="1" applyAlignment="1">
      <alignment vertical="center"/>
    </xf>
    <xf numFmtId="0" fontId="127" fillId="27" borderId="0" xfId="0" applyFont="1" applyFill="1"/>
    <xf numFmtId="0" fontId="61" fillId="27" borderId="0" xfId="0" applyFont="1" applyFill="1"/>
    <xf numFmtId="0" fontId="62" fillId="27" borderId="0" xfId="0" applyFont="1" applyFill="1"/>
    <xf numFmtId="4" fontId="64" fillId="0" borderId="15" xfId="0" applyNumberFormat="1" applyFont="1" applyBorder="1" applyAlignment="1">
      <alignment horizontal="center" vertical="center" wrapText="1"/>
    </xf>
    <xf numFmtId="0" fontId="128" fillId="27" borderId="0" xfId="0" applyFont="1" applyFill="1"/>
    <xf numFmtId="49" fontId="64" fillId="27" borderId="15" xfId="0" applyNumberFormat="1" applyFont="1" applyFill="1" applyBorder="1" applyAlignment="1">
      <alignment horizontal="center" vertical="center" wrapText="1"/>
    </xf>
    <xf numFmtId="4" fontId="64" fillId="27" borderId="15" xfId="0" applyNumberFormat="1" applyFont="1" applyFill="1" applyBorder="1" applyAlignment="1">
      <alignment horizontal="center" vertical="center" wrapText="1"/>
    </xf>
    <xf numFmtId="49" fontId="64" fillId="27" borderId="15" xfId="0" applyNumberFormat="1" applyFont="1" applyFill="1" applyBorder="1" applyAlignment="1">
      <alignment horizontal="left" vertical="center" wrapText="1"/>
    </xf>
    <xf numFmtId="0" fontId="64" fillId="0" borderId="0" xfId="39" applyFont="1"/>
    <xf numFmtId="0" fontId="64" fillId="0" borderId="0" xfId="0" applyFont="1" applyAlignment="1">
      <alignment horizontal="left" vertical="center"/>
    </xf>
    <xf numFmtId="0" fontId="71" fillId="27" borderId="0" xfId="0" applyFont="1" applyFill="1"/>
    <xf numFmtId="0" fontId="84" fillId="27" borderId="0" xfId="0" applyFont="1" applyFill="1" applyAlignment="1">
      <alignment vertical="center"/>
    </xf>
    <xf numFmtId="0" fontId="75" fillId="28" borderId="0" xfId="35" applyFont="1" applyFill="1"/>
    <xf numFmtId="49" fontId="114" fillId="30" borderId="15" xfId="0" applyNumberFormat="1" applyFont="1" applyFill="1" applyBorder="1" applyAlignment="1">
      <alignment horizontal="center" vertical="center" wrapText="1"/>
    </xf>
    <xf numFmtId="0" fontId="114" fillId="30" borderId="15" xfId="38" applyFont="1" applyFill="1" applyBorder="1" applyAlignment="1" applyProtection="1">
      <alignment horizontal="center" vertical="center" wrapText="1"/>
      <protection locked="0"/>
    </xf>
    <xf numFmtId="4" fontId="114" fillId="30" borderId="15" xfId="0" applyNumberFormat="1" applyFont="1" applyFill="1" applyBorder="1" applyAlignment="1">
      <alignment horizontal="center" vertical="center" wrapText="1"/>
    </xf>
    <xf numFmtId="49" fontId="110" fillId="31" borderId="15" xfId="0" applyNumberFormat="1" applyFont="1" applyFill="1" applyBorder="1" applyAlignment="1">
      <alignment horizontal="center" vertical="center" wrapText="1"/>
    </xf>
    <xf numFmtId="0" fontId="110" fillId="31" borderId="15" xfId="38" applyFont="1" applyFill="1" applyBorder="1" applyAlignment="1" applyProtection="1">
      <alignment horizontal="center" vertical="center" wrapText="1"/>
      <protection locked="0"/>
    </xf>
    <xf numFmtId="4" fontId="110" fillId="31" borderId="15" xfId="0" applyNumberFormat="1" applyFont="1" applyFill="1" applyBorder="1" applyAlignment="1">
      <alignment horizontal="center" vertical="center" wrapText="1"/>
    </xf>
    <xf numFmtId="49" fontId="67" fillId="28" borderId="15" xfId="0" applyNumberFormat="1" applyFont="1" applyFill="1" applyBorder="1" applyAlignment="1">
      <alignment horizontal="center" vertical="center" wrapText="1"/>
    </xf>
    <xf numFmtId="0" fontId="67" fillId="28" borderId="15" xfId="18" applyFont="1" applyFill="1" applyBorder="1" applyAlignment="1">
      <alignment horizontal="center" vertical="center" wrapText="1"/>
    </xf>
    <xf numFmtId="0" fontId="110" fillId="28" borderId="15" xfId="35" applyFont="1" applyFill="1" applyBorder="1" applyAlignment="1">
      <alignment horizontal="center" vertical="center" wrapText="1"/>
    </xf>
    <xf numFmtId="4" fontId="110" fillId="28" borderId="15" xfId="35" applyNumberFormat="1" applyFont="1" applyFill="1" applyBorder="1" applyAlignment="1">
      <alignment horizontal="center" vertical="center" wrapText="1"/>
    </xf>
    <xf numFmtId="4" fontId="67" fillId="28" borderId="15" xfId="0" applyNumberFormat="1" applyFont="1" applyFill="1" applyBorder="1" applyAlignment="1">
      <alignment horizontal="center" vertical="center" wrapText="1"/>
    </xf>
    <xf numFmtId="166" fontId="67" fillId="28" borderId="15" xfId="30" applyNumberFormat="1" applyFont="1" applyFill="1" applyBorder="1" applyAlignment="1">
      <alignment horizontal="center" vertical="center"/>
    </xf>
    <xf numFmtId="4" fontId="67" fillId="28" borderId="15" xfId="30" applyNumberFormat="1" applyFont="1" applyFill="1" applyBorder="1" applyAlignment="1">
      <alignment horizontal="center" vertical="center"/>
    </xf>
    <xf numFmtId="9" fontId="67" fillId="28" borderId="15" xfId="0" applyNumberFormat="1" applyFont="1" applyFill="1" applyBorder="1" applyAlignment="1">
      <alignment horizontal="center" vertical="center" wrapText="1"/>
    </xf>
    <xf numFmtId="9" fontId="114" fillId="36" borderId="15" xfId="0" applyNumberFormat="1" applyFont="1" applyFill="1" applyBorder="1" applyAlignment="1">
      <alignment horizontal="center" vertical="center" wrapText="1"/>
    </xf>
    <xf numFmtId="9" fontId="110" fillId="35" borderId="15" xfId="0" applyNumberFormat="1" applyFont="1" applyFill="1" applyBorder="1" applyAlignment="1">
      <alignment horizontal="center" vertical="center" wrapText="1"/>
    </xf>
    <xf numFmtId="49" fontId="67" fillId="0" borderId="15" xfId="0" applyNumberFormat="1" applyFont="1" applyBorder="1" applyAlignment="1">
      <alignment horizontal="center" vertical="center" wrapText="1"/>
    </xf>
    <xf numFmtId="166" fontId="67" fillId="0" borderId="15" xfId="30" applyNumberFormat="1" applyFont="1" applyBorder="1" applyAlignment="1">
      <alignment horizontal="center" vertical="center" wrapText="1"/>
    </xf>
    <xf numFmtId="166" fontId="67" fillId="0" borderId="15" xfId="30" applyNumberFormat="1" applyFont="1" applyBorder="1" applyAlignment="1">
      <alignment horizontal="center" vertical="center"/>
    </xf>
    <xf numFmtId="4" fontId="67" fillId="0" borderId="15" xfId="30" applyNumberFormat="1" applyFont="1" applyBorder="1" applyAlignment="1">
      <alignment horizontal="center" vertical="center"/>
    </xf>
    <xf numFmtId="4" fontId="67" fillId="0" borderId="15" xfId="0" applyNumberFormat="1" applyFont="1" applyBorder="1" applyAlignment="1">
      <alignment horizontal="center" vertical="center" wrapText="1"/>
    </xf>
    <xf numFmtId="9" fontId="67" fillId="0" borderId="15" xfId="0" applyNumberFormat="1" applyFont="1" applyBorder="1" applyAlignment="1">
      <alignment horizontal="center" vertical="center" wrapText="1"/>
    </xf>
    <xf numFmtId="0" fontId="129" fillId="28" borderId="0" xfId="35" applyFont="1" applyFill="1" applyAlignment="1">
      <alignment horizontal="left" vertical="center"/>
    </xf>
    <xf numFmtId="4" fontId="75" fillId="28" borderId="0" xfId="35" applyNumberFormat="1" applyFont="1" applyFill="1" applyAlignment="1">
      <alignment horizontal="left" vertical="center"/>
    </xf>
    <xf numFmtId="0" fontId="109" fillId="28" borderId="0" xfId="35" applyFont="1" applyFill="1" applyAlignment="1">
      <alignment horizontal="left" vertical="center"/>
    </xf>
    <xf numFmtId="0" fontId="67" fillId="0" borderId="15" xfId="100" applyFont="1" applyBorder="1" applyAlignment="1">
      <alignment horizontal="center" vertical="center" wrapText="1"/>
    </xf>
    <xf numFmtId="0" fontId="67" fillId="28" borderId="15" xfId="100" applyFont="1" applyFill="1" applyBorder="1" applyAlignment="1">
      <alignment horizontal="center" vertical="center" wrapText="1"/>
    </xf>
    <xf numFmtId="49" fontId="114" fillId="32" borderId="15" xfId="0" applyNumberFormat="1" applyFont="1" applyFill="1" applyBorder="1" applyAlignment="1">
      <alignment horizontal="center" vertical="center" wrapText="1"/>
    </xf>
    <xf numFmtId="0" fontId="114" fillId="32" borderId="15" xfId="38" applyFont="1" applyFill="1" applyBorder="1" applyAlignment="1" applyProtection="1">
      <alignment horizontal="center" vertical="center" wrapText="1"/>
      <protection locked="0"/>
    </xf>
    <xf numFmtId="4" fontId="114" fillId="32" borderId="15" xfId="0" applyNumberFormat="1" applyFont="1" applyFill="1" applyBorder="1" applyAlignment="1">
      <alignment horizontal="center" vertical="center" wrapText="1"/>
    </xf>
    <xf numFmtId="9" fontId="114" fillId="32" borderId="15" xfId="0" applyNumberFormat="1" applyFont="1" applyFill="1" applyBorder="1" applyAlignment="1">
      <alignment horizontal="center" vertical="center" wrapText="1"/>
    </xf>
    <xf numFmtId="49" fontId="110" fillId="33" borderId="15" xfId="0" applyNumberFormat="1" applyFont="1" applyFill="1" applyBorder="1" applyAlignment="1">
      <alignment horizontal="center" vertical="center" wrapText="1"/>
    </xf>
    <xf numFmtId="0" fontId="110" fillId="33" borderId="15" xfId="38" applyFont="1" applyFill="1" applyBorder="1" applyAlignment="1" applyProtection="1">
      <alignment horizontal="center" vertical="center" wrapText="1"/>
      <protection locked="0"/>
    </xf>
    <xf numFmtId="4" fontId="110" fillId="33" borderId="15" xfId="0" applyNumberFormat="1" applyFont="1" applyFill="1" applyBorder="1" applyAlignment="1">
      <alignment horizontal="center" vertical="center" wrapText="1"/>
    </xf>
    <xf numFmtId="9" fontId="110" fillId="33" borderId="15" xfId="0" applyNumberFormat="1" applyFont="1" applyFill="1" applyBorder="1" applyAlignment="1">
      <alignment horizontal="center" vertical="center" wrapText="1"/>
    </xf>
    <xf numFmtId="9" fontId="67" fillId="0" borderId="15" xfId="30" applyNumberFormat="1" applyFont="1" applyBorder="1" applyAlignment="1">
      <alignment horizontal="center" vertical="center"/>
    </xf>
    <xf numFmtId="0" fontId="67" fillId="0" borderId="15" xfId="18" applyFont="1" applyBorder="1" applyAlignment="1">
      <alignment horizontal="center" vertical="center" wrapText="1"/>
    </xf>
    <xf numFmtId="0" fontId="113" fillId="28" borderId="0" xfId="35" applyFont="1" applyFill="1"/>
    <xf numFmtId="0" fontId="131" fillId="28" borderId="0" xfId="35" applyFont="1" applyFill="1" applyAlignment="1">
      <alignment vertical="center"/>
    </xf>
    <xf numFmtId="0" fontId="67" fillId="0" borderId="15" xfId="0" applyFont="1" applyBorder="1" applyAlignment="1">
      <alignment horizontal="center" vertical="center" wrapText="1"/>
    </xf>
    <xf numFmtId="0" fontId="67" fillId="0" borderId="15" xfId="45" applyFont="1" applyBorder="1" applyAlignment="1">
      <alignment horizontal="center" vertical="center" wrapText="1"/>
    </xf>
    <xf numFmtId="4" fontId="107" fillId="28" borderId="0" xfId="35" applyNumberFormat="1" applyFont="1" applyFill="1" applyAlignment="1">
      <alignment horizontal="center" vertical="center"/>
    </xf>
    <xf numFmtId="0" fontId="107" fillId="0" borderId="0" xfId="35" applyFont="1"/>
    <xf numFmtId="0" fontId="75" fillId="6" borderId="0" xfId="35" applyFont="1" applyFill="1"/>
    <xf numFmtId="0" fontId="75" fillId="25" borderId="0" xfId="35" applyFont="1" applyFill="1"/>
    <xf numFmtId="0" fontId="113" fillId="0" borderId="0" xfId="35" applyFont="1"/>
    <xf numFmtId="0" fontId="75" fillId="26" borderId="0" xfId="35" applyFont="1" applyFill="1" applyAlignment="1">
      <alignment horizontal="center" vertical="center"/>
    </xf>
    <xf numFmtId="0" fontId="65" fillId="26" borderId="0" xfId="35" applyFont="1" applyFill="1" applyAlignment="1">
      <alignment horizontal="center" vertical="center"/>
    </xf>
    <xf numFmtId="4" fontId="80" fillId="29" borderId="14" xfId="0" applyNumberFormat="1" applyFont="1" applyFill="1" applyBorder="1" applyAlignment="1">
      <alignment horizontal="center" vertical="center" wrapText="1"/>
    </xf>
    <xf numFmtId="166" fontId="64" fillId="0" borderId="15" xfId="30" applyNumberFormat="1" applyFont="1" applyBorder="1" applyAlignment="1">
      <alignment horizontal="center" vertical="center" wrapText="1"/>
    </xf>
    <xf numFmtId="4" fontId="64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80" fillId="29" borderId="0" xfId="0" applyNumberFormat="1" applyFont="1" applyFill="1" applyAlignment="1">
      <alignment horizontal="center" vertical="center" wrapText="1"/>
    </xf>
    <xf numFmtId="166" fontId="64" fillId="28" borderId="15" xfId="30" applyNumberFormat="1" applyFont="1" applyFill="1" applyBorder="1" applyAlignment="1">
      <alignment horizontal="center" vertical="center" wrapText="1"/>
    </xf>
    <xf numFmtId="4" fontId="64" fillId="28" borderId="15" xfId="38" applyNumberFormat="1" applyFont="1" applyFill="1" applyBorder="1" applyAlignment="1" applyProtection="1">
      <alignment horizontal="center" vertical="center" wrapText="1"/>
      <protection locked="0"/>
    </xf>
    <xf numFmtId="4" fontId="133" fillId="28" borderId="0" xfId="0" applyNumberFormat="1" applyFont="1" applyFill="1" applyAlignment="1">
      <alignment horizontal="center" vertical="center" wrapText="1"/>
    </xf>
    <xf numFmtId="4" fontId="80" fillId="29" borderId="8" xfId="0" applyNumberFormat="1" applyFont="1" applyFill="1" applyBorder="1" applyAlignment="1">
      <alignment horizontal="center" vertical="center" wrapText="1"/>
    </xf>
    <xf numFmtId="0" fontId="80" fillId="28" borderId="0" xfId="0" applyFont="1" applyFill="1" applyAlignment="1">
      <alignment horizontal="center" vertical="center"/>
    </xf>
    <xf numFmtId="0" fontId="64" fillId="28" borderId="15" xfId="0" applyFont="1" applyFill="1" applyBorder="1" applyAlignment="1">
      <alignment horizontal="center" vertical="center" wrapText="1"/>
    </xf>
    <xf numFmtId="166" fontId="64" fillId="28" borderId="0" xfId="30" applyNumberFormat="1" applyFont="1" applyFill="1" applyAlignment="1">
      <alignment horizontal="center" vertical="center" wrapText="1"/>
    </xf>
    <xf numFmtId="166" fontId="64" fillId="26" borderId="15" xfId="30" applyNumberFormat="1" applyFont="1" applyFill="1" applyBorder="1" applyAlignment="1">
      <alignment horizontal="center" vertical="center" wrapText="1"/>
    </xf>
    <xf numFmtId="4" fontId="64" fillId="26" borderId="15" xfId="0" applyNumberFormat="1" applyFont="1" applyFill="1" applyBorder="1" applyAlignment="1">
      <alignment horizontal="center" vertical="center" wrapText="1"/>
    </xf>
    <xf numFmtId="4" fontId="64" fillId="28" borderId="0" xfId="30" applyNumberFormat="1" applyFont="1" applyFill="1" applyAlignment="1">
      <alignment horizontal="center" vertical="center" wrapText="1"/>
    </xf>
    <xf numFmtId="4" fontId="134" fillId="0" borderId="15" xfId="0" applyNumberFormat="1" applyFont="1" applyBorder="1" applyAlignment="1">
      <alignment horizontal="center" vertical="center" wrapText="1"/>
    </xf>
    <xf numFmtId="4" fontId="64" fillId="0" borderId="16" xfId="0" applyNumberFormat="1" applyFont="1" applyBorder="1" applyAlignment="1">
      <alignment horizontal="center" vertical="center" wrapText="1"/>
    </xf>
    <xf numFmtId="4" fontId="134" fillId="28" borderId="15" xfId="0" applyNumberFormat="1" applyFont="1" applyFill="1" applyBorder="1" applyAlignment="1">
      <alignment horizontal="center" vertical="center" wrapText="1"/>
    </xf>
    <xf numFmtId="4" fontId="64" fillId="28" borderId="16" xfId="0" applyNumberFormat="1" applyFont="1" applyFill="1" applyBorder="1" applyAlignment="1">
      <alignment horizontal="center" vertical="center" wrapText="1"/>
    </xf>
    <xf numFmtId="4" fontId="63" fillId="28" borderId="0" xfId="38" applyNumberFormat="1" applyFont="1" applyFill="1" applyBorder="1" applyAlignment="1" applyProtection="1">
      <alignment horizontal="center" vertical="center" wrapText="1"/>
      <protection locked="0"/>
    </xf>
    <xf numFmtId="4" fontId="64" fillId="0" borderId="15" xfId="38" applyNumberFormat="1" applyFont="1" applyFill="1" applyBorder="1" applyAlignment="1">
      <alignment horizontal="center" vertical="center" wrapText="1"/>
    </xf>
    <xf numFmtId="4" fontId="64" fillId="28" borderId="15" xfId="38" applyNumberFormat="1" applyFont="1" applyFill="1" applyBorder="1" applyAlignment="1">
      <alignment horizontal="center" vertical="center" wrapText="1"/>
    </xf>
    <xf numFmtId="4" fontId="64" fillId="0" borderId="16" xfId="38" applyNumberFormat="1" applyFont="1" applyFill="1" applyBorder="1" applyAlignment="1" applyProtection="1">
      <alignment horizontal="center" vertical="center" wrapText="1"/>
      <protection locked="0"/>
    </xf>
    <xf numFmtId="4" fontId="64" fillId="0" borderId="16" xfId="38" applyNumberFormat="1" applyFont="1" applyFill="1" applyBorder="1" applyAlignment="1">
      <alignment horizontal="center" vertical="center" wrapText="1"/>
    </xf>
    <xf numFmtId="0" fontId="135" fillId="28" borderId="0" xfId="0" applyFont="1" applyFill="1" applyAlignment="1">
      <alignment horizontal="center" vertical="center"/>
    </xf>
    <xf numFmtId="0" fontId="136" fillId="28" borderId="0" xfId="0" applyFont="1" applyFill="1"/>
    <xf numFmtId="4" fontId="60" fillId="0" borderId="0" xfId="36" applyNumberFormat="1" applyFont="1" applyFill="1" applyBorder="1" applyAlignment="1">
      <alignment horizontal="center" vertical="center" wrapText="1"/>
    </xf>
    <xf numFmtId="4" fontId="60" fillId="0" borderId="0" xfId="0" applyNumberFormat="1" applyFont="1" applyAlignment="1">
      <alignment vertical="center"/>
    </xf>
    <xf numFmtId="4" fontId="137" fillId="0" borderId="0" xfId="0" applyNumberFormat="1" applyFont="1" applyAlignment="1">
      <alignment vertical="center"/>
    </xf>
    <xf numFmtId="4" fontId="138" fillId="0" borderId="0" xfId="0" applyNumberFormat="1" applyFont="1" applyAlignment="1">
      <alignment vertical="center"/>
    </xf>
    <xf numFmtId="0" fontId="137" fillId="0" borderId="0" xfId="0" applyFont="1" applyAlignment="1">
      <alignment vertical="center"/>
    </xf>
    <xf numFmtId="4" fontId="139" fillId="0" borderId="0" xfId="0" applyNumberFormat="1" applyFont="1" applyAlignment="1">
      <alignment vertical="center"/>
    </xf>
    <xf numFmtId="4" fontId="84" fillId="0" borderId="0" xfId="0" applyNumberFormat="1" applyFont="1" applyAlignment="1">
      <alignment vertical="center"/>
    </xf>
    <xf numFmtId="0" fontId="139" fillId="0" borderId="0" xfId="0" applyFont="1" applyAlignment="1">
      <alignment vertical="center"/>
    </xf>
    <xf numFmtId="0" fontId="140" fillId="0" borderId="0" xfId="0" applyFont="1"/>
    <xf numFmtId="0" fontId="138" fillId="0" borderId="0" xfId="0" applyFont="1" applyAlignment="1">
      <alignment vertical="center"/>
    </xf>
    <xf numFmtId="2" fontId="78" fillId="0" borderId="0" xfId="36" applyNumberFormat="1" applyFont="1" applyAlignment="1">
      <alignment horizontal="center" vertical="top"/>
    </xf>
    <xf numFmtId="2" fontId="107" fillId="0" borderId="15" xfId="36" applyNumberFormat="1" applyFont="1" applyFill="1" applyBorder="1" applyAlignment="1">
      <alignment horizontal="center" vertical="center" wrapText="1"/>
    </xf>
    <xf numFmtId="0" fontId="66" fillId="0" borderId="0" xfId="0" applyFont="1" applyAlignment="1">
      <alignment horizontal="center" vertical="center"/>
    </xf>
    <xf numFmtId="2" fontId="66" fillId="0" borderId="0" xfId="36" applyNumberFormat="1" applyFont="1" applyFill="1" applyBorder="1" applyAlignment="1">
      <alignment horizontal="left" vertical="center" wrapText="1"/>
    </xf>
    <xf numFmtId="0" fontId="61" fillId="0" borderId="0" xfId="0" applyFont="1" applyAlignment="1">
      <alignment horizontal="left"/>
    </xf>
    <xf numFmtId="4" fontId="66" fillId="0" borderId="0" xfId="36" applyNumberFormat="1" applyFont="1" applyFill="1" applyBorder="1" applyAlignment="1">
      <alignment horizontal="center" vertical="center" wrapText="1"/>
    </xf>
    <xf numFmtId="2" fontId="78" fillId="0" borderId="0" xfId="36" applyNumberFormat="1" applyFont="1" applyFill="1" applyAlignment="1">
      <alignment horizontal="center" vertical="top"/>
    </xf>
    <xf numFmtId="0" fontId="132" fillId="0" borderId="0" xfId="36" applyFont="1">
      <alignment vertical="top"/>
    </xf>
    <xf numFmtId="2" fontId="132" fillId="0" borderId="0" xfId="36" applyNumberFormat="1" applyFont="1">
      <alignment vertical="top"/>
    </xf>
    <xf numFmtId="0" fontId="141" fillId="0" borderId="0" xfId="36" applyFont="1" applyAlignment="1">
      <alignment horizontal="center" vertical="top" wrapText="1"/>
    </xf>
    <xf numFmtId="2" fontId="141" fillId="0" borderId="0" xfId="36" applyNumberFormat="1" applyFont="1" applyAlignment="1">
      <alignment horizontal="center" vertical="top" wrapText="1"/>
    </xf>
    <xf numFmtId="167" fontId="107" fillId="0" borderId="0" xfId="36" applyNumberFormat="1" applyFont="1" applyAlignment="1">
      <alignment horizontal="center" vertical="top"/>
    </xf>
    <xf numFmtId="0" fontId="142" fillId="0" borderId="0" xfId="38" applyFont="1" applyAlignment="1" applyProtection="1">
      <alignment horizontal="left" vertical="center" wrapText="1"/>
      <protection locked="0"/>
    </xf>
    <xf numFmtId="0" fontId="141" fillId="0" borderId="0" xfId="36" applyFont="1" applyAlignment="1">
      <alignment horizontal="left" vertical="top" wrapText="1"/>
    </xf>
    <xf numFmtId="0" fontId="126" fillId="0" borderId="0" xfId="36" applyFont="1">
      <alignment vertical="top"/>
    </xf>
    <xf numFmtId="0" fontId="108" fillId="0" borderId="0" xfId="0" applyFont="1"/>
    <xf numFmtId="0" fontId="126" fillId="0" borderId="0" xfId="0" applyFont="1"/>
    <xf numFmtId="0" fontId="38" fillId="0" borderId="0" xfId="36" applyFont="1">
      <alignment vertical="top"/>
    </xf>
    <xf numFmtId="0" fontId="143" fillId="0" borderId="0" xfId="36" applyFont="1">
      <alignment vertical="top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top"/>
    </xf>
    <xf numFmtId="49" fontId="29" fillId="0" borderId="15" xfId="0" applyNumberFormat="1" applyFont="1" applyBorder="1" applyAlignment="1">
      <alignment horizontal="center" vertical="center" wrapText="1"/>
    </xf>
    <xf numFmtId="4" fontId="31" fillId="0" borderId="15" xfId="38" applyNumberFormat="1" applyFont="1" applyFill="1" applyBorder="1" applyAlignment="1" applyProtection="1">
      <alignment horizontal="center" vertical="center" wrapText="1"/>
      <protection locked="0"/>
    </xf>
    <xf numFmtId="49" fontId="69" fillId="0" borderId="15" xfId="0" applyNumberFormat="1" applyFont="1" applyBorder="1" applyAlignment="1">
      <alignment horizontal="center" vertical="center" wrapText="1"/>
    </xf>
    <xf numFmtId="4" fontId="82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82" fillId="0" borderId="15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right" vertical="center"/>
    </xf>
    <xf numFmtId="0" fontId="29" fillId="0" borderId="15" xfId="0" applyFont="1" applyBorder="1" applyAlignment="1">
      <alignment horizontal="center" vertical="top" wrapText="1"/>
    </xf>
    <xf numFmtId="4" fontId="30" fillId="0" borderId="15" xfId="0" applyNumberFormat="1" applyFont="1" applyBorder="1" applyAlignment="1">
      <alignment horizontal="center" vertical="center" wrapText="1"/>
    </xf>
    <xf numFmtId="0" fontId="33" fillId="0" borderId="0" xfId="0" applyFont="1"/>
    <xf numFmtId="0" fontId="30" fillId="0" borderId="15" xfId="0" applyFont="1" applyBorder="1" applyAlignment="1">
      <alignment horizontal="center" vertical="top" wrapText="1"/>
    </xf>
    <xf numFmtId="166" fontId="30" fillId="0" borderId="15" xfId="30" applyNumberFormat="1" applyFont="1" applyBorder="1" applyAlignment="1">
      <alignment horizontal="center" vertical="center" wrapText="1"/>
    </xf>
    <xf numFmtId="4" fontId="30" fillId="0" borderId="15" xfId="38" applyNumberFormat="1" applyFont="1" applyFill="1" applyBorder="1" applyAlignment="1" applyProtection="1">
      <alignment horizontal="center" vertical="center" wrapText="1"/>
      <protection locked="0"/>
    </xf>
    <xf numFmtId="0" fontId="147" fillId="0" borderId="0" xfId="0" applyFont="1"/>
    <xf numFmtId="0" fontId="148" fillId="0" borderId="0" xfId="0" applyFont="1" applyAlignment="1">
      <alignment horizontal="center" vertical="center" wrapText="1"/>
    </xf>
    <xf numFmtId="4" fontId="86" fillId="0" borderId="15" xfId="0" applyNumberFormat="1" applyFont="1" applyBorder="1" applyAlignment="1">
      <alignment horizontal="center" vertical="center" wrapText="1"/>
    </xf>
    <xf numFmtId="4" fontId="32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Border="1" applyAlignment="1">
      <alignment horizontal="center" vertical="center" wrapText="1"/>
    </xf>
    <xf numFmtId="4" fontId="31" fillId="0" borderId="15" xfId="0" applyNumberFormat="1" applyFont="1" applyBorder="1" applyAlignment="1">
      <alignment horizontal="center" vertical="center" wrapText="1"/>
    </xf>
    <xf numFmtId="49" fontId="150" fillId="0" borderId="15" xfId="0" applyNumberFormat="1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49" fontId="149" fillId="0" borderId="15" xfId="0" applyNumberFormat="1" applyFont="1" applyBorder="1" applyAlignment="1">
      <alignment horizontal="center" vertical="center" wrapText="1"/>
    </xf>
    <xf numFmtId="0" fontId="12" fillId="0" borderId="0" xfId="35" applyAlignment="1">
      <alignment horizontal="center" vertical="center"/>
    </xf>
    <xf numFmtId="0" fontId="149" fillId="0" borderId="0" xfId="35" applyFont="1" applyAlignment="1">
      <alignment horizontal="center" vertical="center" wrapText="1"/>
    </xf>
    <xf numFmtId="0" fontId="148" fillId="0" borderId="0" xfId="35" applyFont="1" applyAlignment="1">
      <alignment horizontal="center" vertical="center" wrapText="1"/>
    </xf>
    <xf numFmtId="0" fontId="149" fillId="0" borderId="15" xfId="0" applyFont="1" applyBorder="1" applyAlignment="1">
      <alignment horizontal="center" vertical="center" wrapText="1"/>
    </xf>
    <xf numFmtId="0" fontId="149" fillId="0" borderId="15" xfId="35" applyFont="1" applyBorder="1" applyAlignment="1">
      <alignment horizontal="center" vertical="center" wrapText="1"/>
    </xf>
    <xf numFmtId="0" fontId="149" fillId="0" borderId="15" xfId="18" applyFont="1" applyBorder="1" applyAlignment="1">
      <alignment horizontal="center" vertical="center" wrapText="1"/>
    </xf>
    <xf numFmtId="166" fontId="149" fillId="0" borderId="15" xfId="30" applyNumberFormat="1" applyFont="1" applyBorder="1" applyAlignment="1">
      <alignment horizontal="center" vertical="center"/>
    </xf>
    <xf numFmtId="4" fontId="149" fillId="0" borderId="15" xfId="30" applyNumberFormat="1" applyFont="1" applyBorder="1" applyAlignment="1">
      <alignment horizontal="center" vertical="center"/>
    </xf>
    <xf numFmtId="0" fontId="12" fillId="0" borderId="0" xfId="35"/>
    <xf numFmtId="4" fontId="149" fillId="0" borderId="15" xfId="0" applyNumberFormat="1" applyFont="1" applyBorder="1" applyAlignment="1">
      <alignment horizontal="center" vertical="center" wrapText="1"/>
    </xf>
    <xf numFmtId="9" fontId="149" fillId="0" borderId="15" xfId="0" applyNumberFormat="1" applyFont="1" applyBorder="1" applyAlignment="1">
      <alignment horizontal="center" vertical="center" wrapText="1"/>
    </xf>
    <xf numFmtId="49" fontId="30" fillId="0" borderId="16" xfId="0" applyNumberFormat="1" applyFont="1" applyBorder="1" applyAlignment="1">
      <alignment horizontal="center" vertical="center" wrapText="1"/>
    </xf>
    <xf numFmtId="0" fontId="149" fillId="0" borderId="0" xfId="39" applyFont="1"/>
    <xf numFmtId="0" fontId="154" fillId="0" borderId="0" xfId="0" applyFont="1"/>
    <xf numFmtId="0" fontId="149" fillId="0" borderId="0" xfId="0" applyFont="1" applyAlignment="1">
      <alignment horizontal="left" vertical="center"/>
    </xf>
    <xf numFmtId="0" fontId="29" fillId="0" borderId="15" xfId="38" applyFont="1" applyFill="1" applyBorder="1" applyAlignment="1" applyProtection="1">
      <alignment horizontal="center" vertical="center" wrapText="1"/>
      <protection locked="0"/>
    </xf>
    <xf numFmtId="0" fontId="149" fillId="0" borderId="15" xfId="100" applyFont="1" applyBorder="1" applyAlignment="1">
      <alignment horizontal="center" vertical="center" wrapText="1"/>
    </xf>
    <xf numFmtId="4" fontId="30" fillId="0" borderId="16" xfId="38" applyNumberFormat="1" applyFont="1" applyFill="1" applyBorder="1" applyAlignment="1" applyProtection="1">
      <alignment horizontal="center" vertical="center" wrapText="1"/>
      <protection locked="0"/>
    </xf>
    <xf numFmtId="0" fontId="146" fillId="28" borderId="0" xfId="35" applyFont="1" applyFill="1" applyAlignment="1">
      <alignment horizontal="center" vertical="center"/>
    </xf>
    <xf numFmtId="4" fontId="156" fillId="28" borderId="0" xfId="35" applyNumberFormat="1" applyFont="1" applyFill="1"/>
    <xf numFmtId="0" fontId="149" fillId="0" borderId="0" xfId="0" applyFont="1"/>
    <xf numFmtId="0" fontId="16" fillId="0" borderId="0" xfId="0" applyFont="1"/>
    <xf numFmtId="0" fontId="55" fillId="0" borderId="0" xfId="0" applyFont="1" applyAlignment="1">
      <alignment vertical="center"/>
    </xf>
    <xf numFmtId="4" fontId="55" fillId="0" borderId="0" xfId="0" applyNumberFormat="1" applyFont="1" applyAlignment="1">
      <alignment vertical="center"/>
    </xf>
    <xf numFmtId="4" fontId="37" fillId="0" borderId="0" xfId="0" applyNumberFormat="1" applyFont="1" applyAlignment="1">
      <alignment vertical="center"/>
    </xf>
    <xf numFmtId="0" fontId="69" fillId="0" borderId="17" xfId="38" applyFont="1" applyFill="1" applyBorder="1" applyAlignment="1" applyProtection="1">
      <alignment horizontal="center" vertical="center" wrapText="1"/>
      <protection locked="0"/>
    </xf>
    <xf numFmtId="4" fontId="109" fillId="0" borderId="24" xfId="0" applyNumberFormat="1" applyFont="1" applyBorder="1" applyAlignment="1">
      <alignment horizontal="center" vertical="center" wrapText="1"/>
    </xf>
    <xf numFmtId="4" fontId="75" fillId="0" borderId="24" xfId="0" applyNumberFormat="1" applyFont="1" applyBorder="1" applyAlignment="1">
      <alignment horizontal="center" vertical="center" wrapText="1"/>
    </xf>
    <xf numFmtId="4" fontId="158" fillId="0" borderId="15" xfId="30" applyNumberFormat="1" applyFont="1" applyBorder="1" applyAlignment="1">
      <alignment horizontal="center" vertical="center"/>
    </xf>
    <xf numFmtId="9" fontId="158" fillId="0" borderId="15" xfId="30" applyNumberFormat="1" applyFont="1" applyBorder="1" applyAlignment="1">
      <alignment horizontal="center" vertical="center"/>
    </xf>
    <xf numFmtId="4" fontId="75" fillId="28" borderId="0" xfId="35" applyNumberFormat="1" applyFont="1" applyFill="1"/>
    <xf numFmtId="0" fontId="159" fillId="0" borderId="0" xfId="0" applyFont="1" applyAlignment="1">
      <alignment horizontal="left" vertical="center"/>
    </xf>
    <xf numFmtId="0" fontId="30" fillId="0" borderId="0" xfId="39" applyFont="1" applyAlignment="1">
      <alignment vertical="center"/>
    </xf>
    <xf numFmtId="4" fontId="129" fillId="27" borderId="15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justify" vertical="center"/>
    </xf>
    <xf numFmtId="0" fontId="16" fillId="0" borderId="0" xfId="0" applyFont="1" applyAlignment="1">
      <alignment horizontal="left" vertical="center"/>
    </xf>
    <xf numFmtId="0" fontId="149" fillId="0" borderId="15" xfId="38" applyFont="1" applyFill="1" applyBorder="1" applyAlignment="1" applyProtection="1">
      <alignment horizontal="center" vertical="center" wrapText="1"/>
      <protection locked="0"/>
    </xf>
    <xf numFmtId="0" fontId="91" fillId="0" borderId="0" xfId="0" applyFont="1" applyAlignment="1">
      <alignment horizontal="justify" vertical="center"/>
    </xf>
    <xf numFmtId="0" fontId="160" fillId="0" borderId="0" xfId="0" applyFont="1" applyAlignment="1">
      <alignment horizontal="left" vertical="center"/>
    </xf>
    <xf numFmtId="49" fontId="64" fillId="0" borderId="16" xfId="0" applyNumberFormat="1" applyFont="1" applyBorder="1" applyAlignment="1">
      <alignment horizontal="center" vertical="center" wrapText="1"/>
    </xf>
    <xf numFmtId="0" fontId="109" fillId="0" borderId="24" xfId="39" applyFont="1" applyBorder="1" applyAlignment="1">
      <alignment horizontal="center" vertical="center" wrapText="1"/>
    </xf>
    <xf numFmtId="4" fontId="109" fillId="0" borderId="24" xfId="39" applyNumberFormat="1" applyFont="1" applyBorder="1" applyAlignment="1">
      <alignment horizontal="center" vertical="center" wrapText="1"/>
    </xf>
    <xf numFmtId="4" fontId="112" fillId="0" borderId="24" xfId="39" applyNumberFormat="1" applyFont="1" applyBorder="1" applyAlignment="1">
      <alignment horizontal="center" vertical="center" wrapText="1"/>
    </xf>
    <xf numFmtId="0" fontId="75" fillId="0" borderId="24" xfId="39" applyFont="1" applyBorder="1" applyAlignment="1">
      <alignment horizontal="center" vertical="center" wrapText="1"/>
    </xf>
    <xf numFmtId="0" fontId="75" fillId="0" borderId="24" xfId="39" applyFont="1" applyBorder="1" applyAlignment="1">
      <alignment vertical="center" wrapText="1"/>
    </xf>
    <xf numFmtId="4" fontId="75" fillId="0" borderId="24" xfId="39" applyNumberFormat="1" applyFont="1" applyBorder="1" applyAlignment="1">
      <alignment horizontal="center" vertical="center" wrapText="1"/>
    </xf>
    <xf numFmtId="0" fontId="75" fillId="0" borderId="24" xfId="37" applyFont="1" applyBorder="1" applyAlignment="1">
      <alignment horizontal="justify" vertical="center" wrapText="1"/>
    </xf>
    <xf numFmtId="0" fontId="109" fillId="0" borderId="24" xfId="37" applyFont="1" applyBorder="1" applyAlignment="1">
      <alignment horizontal="center" vertical="center" wrapText="1"/>
    </xf>
    <xf numFmtId="4" fontId="113" fillId="0" borderId="24" xfId="39" applyNumberFormat="1" applyFont="1" applyBorder="1" applyAlignment="1">
      <alignment horizontal="center" vertical="center" wrapText="1"/>
    </xf>
    <xf numFmtId="0" fontId="75" fillId="28" borderId="24" xfId="39" applyFont="1" applyFill="1" applyBorder="1" applyAlignment="1">
      <alignment horizontal="center" vertical="center" wrapText="1"/>
    </xf>
    <xf numFmtId="0" fontId="75" fillId="28" borderId="24" xfId="39" applyFont="1" applyFill="1" applyBorder="1" applyAlignment="1">
      <alignment vertical="center" wrapText="1"/>
    </xf>
    <xf numFmtId="4" fontId="109" fillId="28" borderId="24" xfId="39" applyNumberFormat="1" applyFont="1" applyFill="1" applyBorder="1" applyAlignment="1">
      <alignment horizontal="center" vertical="center" wrapText="1"/>
    </xf>
    <xf numFmtId="4" fontId="75" fillId="28" borderId="24" xfId="39" applyNumberFormat="1" applyFont="1" applyFill="1" applyBorder="1" applyAlignment="1">
      <alignment horizontal="center" vertical="center" wrapText="1"/>
    </xf>
    <xf numFmtId="0" fontId="113" fillId="28" borderId="24" xfId="39" applyFont="1" applyFill="1" applyBorder="1" applyAlignment="1">
      <alignment vertical="center" wrapText="1"/>
    </xf>
    <xf numFmtId="0" fontId="107" fillId="0" borderId="0" xfId="0" applyFont="1" applyAlignment="1">
      <alignment horizontal="left" vertical="center"/>
    </xf>
    <xf numFmtId="0" fontId="107" fillId="0" borderId="0" xfId="39" applyFont="1"/>
    <xf numFmtId="4" fontId="109" fillId="28" borderId="0" xfId="0" applyNumberFormat="1" applyFont="1" applyFill="1"/>
    <xf numFmtId="4" fontId="112" fillId="0" borderId="24" xfId="0" applyNumberFormat="1" applyFont="1" applyBorder="1" applyAlignment="1">
      <alignment horizontal="center" vertical="center" wrapText="1"/>
    </xf>
    <xf numFmtId="0" fontId="75" fillId="0" borderId="24" xfId="0" applyFont="1" applyBorder="1" applyAlignment="1">
      <alignment horizontal="center" vertical="center" wrapText="1"/>
    </xf>
    <xf numFmtId="0" fontId="75" fillId="0" borderId="24" xfId="0" applyFont="1" applyBorder="1" applyAlignment="1">
      <alignment horizontal="left" vertical="center" wrapText="1"/>
    </xf>
    <xf numFmtId="0" fontId="113" fillId="0" borderId="24" xfId="0" applyFont="1" applyBorder="1" applyAlignment="1">
      <alignment horizontal="center" vertical="center" wrapText="1"/>
    </xf>
    <xf numFmtId="4" fontId="113" fillId="0" borderId="24" xfId="0" applyNumberFormat="1" applyFont="1" applyBorder="1" applyAlignment="1">
      <alignment horizontal="left" vertical="center" wrapText="1"/>
    </xf>
    <xf numFmtId="4" fontId="113" fillId="0" borderId="24" xfId="0" applyNumberFormat="1" applyFont="1" applyBorder="1" applyAlignment="1">
      <alignment horizontal="center" vertical="center" wrapText="1"/>
    </xf>
    <xf numFmtId="4" fontId="109" fillId="28" borderId="0" xfId="0" applyNumberFormat="1" applyFont="1" applyFill="1" applyAlignment="1">
      <alignment horizontal="center" vertical="center"/>
    </xf>
    <xf numFmtId="0" fontId="112" fillId="28" borderId="24" xfId="0" applyFont="1" applyFill="1" applyBorder="1" applyAlignment="1">
      <alignment horizontal="center" vertical="center" wrapText="1"/>
    </xf>
    <xf numFmtId="0" fontId="112" fillId="28" borderId="24" xfId="0" applyFont="1" applyFill="1" applyBorder="1" applyAlignment="1">
      <alignment horizontal="left" vertical="center" wrapText="1"/>
    </xf>
    <xf numFmtId="4" fontId="112" fillId="28" borderId="24" xfId="0" applyNumberFormat="1" applyFont="1" applyFill="1" applyBorder="1" applyAlignment="1">
      <alignment horizontal="center" vertical="center" wrapText="1"/>
    </xf>
    <xf numFmtId="0" fontId="113" fillId="0" borderId="24" xfId="0" applyFont="1" applyBorder="1" applyAlignment="1">
      <alignment horizontal="left" vertical="center" wrapText="1"/>
    </xf>
    <xf numFmtId="0" fontId="60" fillId="0" borderId="0" xfId="0" applyFont="1" applyAlignment="1">
      <alignment horizontal="center" vertical="center"/>
    </xf>
    <xf numFmtId="0" fontId="64" fillId="0" borderId="0" xfId="0" applyFont="1" applyAlignment="1">
      <alignment horizontal="center" vertical="center"/>
    </xf>
    <xf numFmtId="49" fontId="63" fillId="38" borderId="15" xfId="0" applyNumberFormat="1" applyFont="1" applyFill="1" applyBorder="1" applyAlignment="1">
      <alignment horizontal="center" vertical="center" wrapText="1"/>
    </xf>
    <xf numFmtId="0" fontId="63" fillId="38" borderId="15" xfId="38" applyFont="1" applyFill="1" applyBorder="1" applyAlignment="1" applyProtection="1">
      <alignment horizontal="center" vertical="center" wrapText="1"/>
      <protection locked="0"/>
    </xf>
    <xf numFmtId="4" fontId="63" fillId="38" borderId="15" xfId="0" applyNumberFormat="1" applyFont="1" applyFill="1" applyBorder="1" applyAlignment="1">
      <alignment horizontal="center" vertical="center" wrapText="1"/>
    </xf>
    <xf numFmtId="49" fontId="60" fillId="39" borderId="15" xfId="0" applyNumberFormat="1" applyFont="1" applyFill="1" applyBorder="1" applyAlignment="1">
      <alignment horizontal="center" vertical="center" wrapText="1"/>
    </xf>
    <xf numFmtId="0" fontId="60" fillId="39" borderId="15" xfId="38" applyFont="1" applyFill="1" applyBorder="1" applyAlignment="1" applyProtection="1">
      <alignment horizontal="center" vertical="center" wrapText="1"/>
      <protection locked="0"/>
    </xf>
    <xf numFmtId="4" fontId="60" fillId="39" borderId="15" xfId="38" applyNumberFormat="1" applyFont="1" applyFill="1" applyBorder="1" applyAlignment="1" applyProtection="1">
      <alignment horizontal="center" vertical="center" wrapText="1"/>
      <protection locked="0"/>
    </xf>
    <xf numFmtId="0" fontId="64" fillId="0" borderId="16" xfId="38" applyFont="1" applyFill="1" applyBorder="1" applyAlignment="1" applyProtection="1">
      <alignment horizontal="center" wrapText="1"/>
      <protection locked="0"/>
    </xf>
    <xf numFmtId="0" fontId="64" fillId="0" borderId="0" xfId="38" applyFont="1" applyFill="1" applyBorder="1" applyAlignment="1" applyProtection="1">
      <alignment horizontal="center" vertical="top" wrapText="1"/>
      <protection locked="0"/>
    </xf>
    <xf numFmtId="49" fontId="89" fillId="28" borderId="0" xfId="0" applyNumberFormat="1" applyFont="1" applyFill="1" applyAlignment="1">
      <alignment horizontal="center" wrapText="1"/>
    </xf>
    <xf numFmtId="49" fontId="89" fillId="28" borderId="17" xfId="0" applyNumberFormat="1" applyFont="1" applyFill="1" applyBorder="1" applyAlignment="1">
      <alignment horizontal="center" vertical="top" wrapText="1"/>
    </xf>
    <xf numFmtId="0" fontId="64" fillId="0" borderId="15" xfId="38" applyFont="1" applyFill="1" applyBorder="1" applyAlignment="1" applyProtection="1">
      <alignment horizontal="center" vertical="center" wrapText="1"/>
      <protection locked="0"/>
    </xf>
    <xf numFmtId="49" fontId="64" fillId="0" borderId="16" xfId="0" applyNumberFormat="1" applyFont="1" applyBorder="1" applyAlignment="1">
      <alignment horizontal="center" wrapText="1"/>
    </xf>
    <xf numFmtId="49" fontId="64" fillId="0" borderId="0" xfId="0" applyNumberFormat="1" applyFont="1" applyAlignment="1">
      <alignment horizontal="center" vertical="center" wrapText="1"/>
    </xf>
    <xf numFmtId="49" fontId="64" fillId="0" borderId="17" xfId="0" applyNumberFormat="1" applyFont="1" applyBorder="1" applyAlignment="1">
      <alignment horizontal="center" vertical="top" wrapText="1"/>
    </xf>
    <xf numFmtId="49" fontId="64" fillId="28" borderId="16" xfId="0" applyNumberFormat="1" applyFont="1" applyFill="1" applyBorder="1" applyAlignment="1">
      <alignment horizontal="center" wrapText="1"/>
    </xf>
    <xf numFmtId="49" fontId="64" fillId="28" borderId="17" xfId="0" applyNumberFormat="1" applyFont="1" applyFill="1" applyBorder="1" applyAlignment="1">
      <alignment horizontal="center" vertical="top" wrapText="1"/>
    </xf>
    <xf numFmtId="0" fontId="60" fillId="0" borderId="15" xfId="38" applyFont="1" applyFill="1" applyBorder="1" applyAlignment="1" applyProtection="1">
      <alignment horizontal="center" vertical="center" wrapText="1"/>
      <protection locked="0"/>
    </xf>
    <xf numFmtId="49" fontId="89" fillId="0" borderId="15" xfId="0" applyNumberFormat="1" applyFont="1" applyBorder="1" applyAlignment="1">
      <alignment horizontal="center" vertical="center"/>
    </xf>
    <xf numFmtId="49" fontId="64" fillId="0" borderId="15" xfId="0" applyNumberFormat="1" applyFont="1" applyBorder="1" applyAlignment="1">
      <alignment horizontal="center" vertical="center"/>
    </xf>
    <xf numFmtId="49" fontId="114" fillId="38" borderId="15" xfId="0" applyNumberFormat="1" applyFont="1" applyFill="1" applyBorder="1" applyAlignment="1">
      <alignment horizontal="center" vertical="center" wrapText="1"/>
    </xf>
    <xf numFmtId="0" fontId="114" fillId="38" borderId="15" xfId="38" applyFont="1" applyFill="1" applyBorder="1" applyAlignment="1" applyProtection="1">
      <alignment horizontal="center" vertical="center" wrapText="1"/>
      <protection locked="0"/>
    </xf>
    <xf numFmtId="4" fontId="114" fillId="38" borderId="15" xfId="0" applyNumberFormat="1" applyFont="1" applyFill="1" applyBorder="1" applyAlignment="1">
      <alignment horizontal="center" vertical="center" wrapText="1"/>
    </xf>
    <xf numFmtId="4" fontId="114" fillId="38" borderId="15" xfId="38" applyNumberFormat="1" applyFont="1" applyFill="1" applyBorder="1" applyAlignment="1" applyProtection="1">
      <alignment horizontal="center" vertical="center" wrapText="1"/>
      <protection locked="0"/>
    </xf>
    <xf numFmtId="49" fontId="110" fillId="39" borderId="15" xfId="0" applyNumberFormat="1" applyFont="1" applyFill="1" applyBorder="1" applyAlignment="1">
      <alignment horizontal="center" vertical="center" wrapText="1"/>
    </xf>
    <xf numFmtId="0" fontId="110" fillId="39" borderId="15" xfId="38" applyFont="1" applyFill="1" applyBorder="1" applyAlignment="1" applyProtection="1">
      <alignment horizontal="center" vertical="center" wrapText="1"/>
      <protection locked="0"/>
    </xf>
    <xf numFmtId="4" fontId="110" fillId="39" borderId="15" xfId="38" applyNumberFormat="1" applyFont="1" applyFill="1" applyBorder="1" applyAlignment="1" applyProtection="1">
      <alignment horizontal="center" vertical="center" wrapText="1"/>
      <protection locked="0"/>
    </xf>
    <xf numFmtId="4" fontId="110" fillId="39" borderId="15" xfId="0" applyNumberFormat="1" applyFont="1" applyFill="1" applyBorder="1" applyAlignment="1">
      <alignment horizontal="center" vertical="center" wrapText="1"/>
    </xf>
    <xf numFmtId="49" fontId="110" fillId="0" borderId="15" xfId="0" applyNumberFormat="1" applyFont="1" applyBorder="1" applyAlignment="1">
      <alignment horizontal="center" vertical="center" wrapText="1"/>
    </xf>
    <xf numFmtId="0" fontId="110" fillId="0" borderId="15" xfId="38" applyFont="1" applyFill="1" applyBorder="1" applyAlignment="1" applyProtection="1">
      <alignment horizontal="center" vertical="center" wrapText="1"/>
      <protection locked="0"/>
    </xf>
    <xf numFmtId="4" fontId="110" fillId="0" borderId="15" xfId="0" applyNumberFormat="1" applyFont="1" applyBorder="1" applyAlignment="1">
      <alignment horizontal="center" vertical="center" wrapText="1"/>
    </xf>
    <xf numFmtId="49" fontId="114" fillId="0" borderId="15" xfId="0" applyNumberFormat="1" applyFont="1" applyBorder="1" applyAlignment="1">
      <alignment horizontal="center" vertical="center" wrapText="1"/>
    </xf>
    <xf numFmtId="0" fontId="114" fillId="0" borderId="15" xfId="38" applyFont="1" applyFill="1" applyBorder="1" applyAlignment="1" applyProtection="1">
      <alignment horizontal="center" vertical="center" wrapText="1"/>
      <protection locked="0"/>
    </xf>
    <xf numFmtId="4" fontId="114" fillId="0" borderId="15" xfId="0" applyNumberFormat="1" applyFont="1" applyBorder="1" applyAlignment="1">
      <alignment horizontal="center" vertical="center" wrapText="1"/>
    </xf>
    <xf numFmtId="49" fontId="67" fillId="0" borderId="15" xfId="35" applyNumberFormat="1" applyFont="1" applyBorder="1" applyAlignment="1">
      <alignment horizontal="center" vertical="center" wrapText="1"/>
    </xf>
    <xf numFmtId="49" fontId="158" fillId="0" borderId="15" xfId="0" applyNumberFormat="1" applyFont="1" applyBorder="1" applyAlignment="1">
      <alignment horizontal="center" vertical="center" wrapText="1"/>
    </xf>
    <xf numFmtId="0" fontId="158" fillId="0" borderId="15" xfId="38" applyFont="1" applyFill="1" applyBorder="1" applyAlignment="1" applyProtection="1">
      <alignment horizontal="center" vertical="center" wrapText="1"/>
      <protection locked="0"/>
    </xf>
    <xf numFmtId="4" fontId="158" fillId="0" borderId="15" xfId="0" applyNumberFormat="1" applyFont="1" applyBorder="1" applyAlignment="1">
      <alignment horizontal="center" vertical="center" wrapText="1"/>
    </xf>
    <xf numFmtId="0" fontId="67" fillId="0" borderId="15" xfId="35" applyFont="1" applyBorder="1" applyAlignment="1">
      <alignment horizontal="center" vertical="center" wrapText="1"/>
    </xf>
    <xf numFmtId="4" fontId="67" fillId="0" borderId="15" xfId="35" applyNumberFormat="1" applyFont="1" applyBorder="1" applyAlignment="1">
      <alignment horizontal="center" vertical="center"/>
    </xf>
    <xf numFmtId="0" fontId="110" fillId="0" borderId="0" xfId="0" applyFont="1" applyAlignment="1">
      <alignment horizontal="center" vertical="center"/>
    </xf>
    <xf numFmtId="0" fontId="110" fillId="0" borderId="0" xfId="0" applyFont="1" applyAlignment="1">
      <alignment horizontal="left" vertical="center"/>
    </xf>
    <xf numFmtId="4" fontId="110" fillId="0" borderId="0" xfId="0" applyNumberFormat="1" applyFont="1" applyAlignment="1">
      <alignment horizontal="center" vertical="center"/>
    </xf>
    <xf numFmtId="0" fontId="67" fillId="0" borderId="0" xfId="0" applyFont="1" applyAlignment="1">
      <alignment horizontal="left" vertical="center"/>
    </xf>
    <xf numFmtId="0" fontId="67" fillId="0" borderId="0" xfId="39" applyFont="1"/>
    <xf numFmtId="0" fontId="67" fillId="0" borderId="0" xfId="0" applyFont="1" applyAlignment="1">
      <alignment horizontal="center" vertical="center"/>
    </xf>
    <xf numFmtId="49" fontId="64" fillId="0" borderId="19" xfId="0" applyNumberFormat="1" applyFont="1" applyBorder="1" applyAlignment="1">
      <alignment horizontal="center" vertical="center" wrapText="1"/>
    </xf>
    <xf numFmtId="4" fontId="60" fillId="0" borderId="22" xfId="0" applyNumberFormat="1" applyFont="1" applyBorder="1" applyAlignment="1">
      <alignment horizontal="center" vertical="center" wrapText="1"/>
    </xf>
    <xf numFmtId="49" fontId="64" fillId="0" borderId="19" xfId="0" applyNumberFormat="1" applyFont="1" applyBorder="1" applyAlignment="1">
      <alignment horizontal="left" vertical="center" wrapText="1"/>
    </xf>
    <xf numFmtId="4" fontId="64" fillId="0" borderId="22" xfId="0" applyNumberFormat="1" applyFont="1" applyBorder="1" applyAlignment="1">
      <alignment horizontal="center" vertical="center" wrapText="1"/>
    </xf>
    <xf numFmtId="4" fontId="64" fillId="27" borderId="22" xfId="0" applyNumberFormat="1" applyFont="1" applyFill="1" applyBorder="1" applyAlignment="1">
      <alignment horizontal="center" vertical="center" wrapText="1"/>
    </xf>
    <xf numFmtId="4" fontId="60" fillId="27" borderId="15" xfId="0" applyNumberFormat="1" applyFont="1" applyFill="1" applyBorder="1" applyAlignment="1">
      <alignment horizontal="center" vertical="center" wrapText="1"/>
    </xf>
    <xf numFmtId="49" fontId="64" fillId="0" borderId="15" xfId="0" applyNumberFormat="1" applyFont="1" applyBorder="1" applyAlignment="1">
      <alignment horizontal="left" vertical="center" wrapText="1"/>
    </xf>
    <xf numFmtId="4" fontId="64" fillId="0" borderId="19" xfId="0" applyNumberFormat="1" applyFont="1" applyBorder="1" applyAlignment="1">
      <alignment horizontal="center" vertical="center" wrapText="1"/>
    </xf>
    <xf numFmtId="0" fontId="128" fillId="0" borderId="0" xfId="0" applyFont="1"/>
    <xf numFmtId="9" fontId="114" fillId="38" borderId="15" xfId="0" applyNumberFormat="1" applyFont="1" applyFill="1" applyBorder="1" applyAlignment="1">
      <alignment horizontal="center" vertical="center" wrapText="1"/>
    </xf>
    <xf numFmtId="9" fontId="110" fillId="39" borderId="15" xfId="0" applyNumberFormat="1" applyFont="1" applyFill="1" applyBorder="1" applyAlignment="1">
      <alignment horizontal="center" vertical="center" wrapText="1"/>
    </xf>
    <xf numFmtId="4" fontId="67" fillId="0" borderId="16" xfId="30" applyNumberFormat="1" applyFont="1" applyBorder="1" applyAlignment="1">
      <alignment horizontal="center" vertical="center"/>
    </xf>
    <xf numFmtId="0" fontId="158" fillId="0" borderId="15" xfId="100" applyFont="1" applyBorder="1" applyAlignment="1">
      <alignment horizontal="center" vertical="center" wrapText="1"/>
    </xf>
    <xf numFmtId="49" fontId="67" fillId="0" borderId="15" xfId="18" applyNumberFormat="1" applyFont="1" applyBorder="1" applyAlignment="1">
      <alignment horizontal="center" vertical="center" wrapText="1"/>
    </xf>
    <xf numFmtId="0" fontId="67" fillId="0" borderId="15" xfId="92" applyFont="1" applyBorder="1" applyAlignment="1">
      <alignment horizontal="center" vertical="center" wrapText="1"/>
    </xf>
    <xf numFmtId="4" fontId="67" fillId="42" borderId="15" xfId="30" applyNumberFormat="1" applyFont="1" applyFill="1" applyBorder="1" applyAlignment="1">
      <alignment horizontal="center" vertical="center"/>
    </xf>
    <xf numFmtId="0" fontId="67" fillId="0" borderId="15" xfId="40" applyFont="1" applyBorder="1" applyAlignment="1">
      <alignment horizontal="center" vertical="center" wrapText="1"/>
    </xf>
    <xf numFmtId="0" fontId="67" fillId="0" borderId="15" xfId="84" applyFont="1" applyBorder="1" applyAlignment="1">
      <alignment horizontal="center" vertical="center" wrapText="1"/>
    </xf>
    <xf numFmtId="4" fontId="163" fillId="0" borderId="15" xfId="0" applyNumberFormat="1" applyFont="1" applyBorder="1" applyAlignment="1">
      <alignment horizontal="center" vertical="center" wrapText="1"/>
    </xf>
    <xf numFmtId="4" fontId="64" fillId="0" borderId="22" xfId="38" applyNumberFormat="1" applyFont="1" applyFill="1" applyBorder="1" applyAlignment="1" applyProtection="1">
      <alignment horizontal="center" vertical="center" wrapText="1"/>
      <protection locked="0"/>
    </xf>
    <xf numFmtId="166" fontId="64" fillId="0" borderId="16" xfId="30" applyNumberFormat="1" applyFont="1" applyBorder="1" applyAlignment="1">
      <alignment horizontal="center" vertical="center" wrapText="1"/>
    </xf>
    <xf numFmtId="166" fontId="64" fillId="43" borderId="15" xfId="30" applyNumberFormat="1" applyFont="1" applyFill="1" applyBorder="1" applyAlignment="1">
      <alignment horizontal="center" vertical="center" wrapText="1"/>
    </xf>
    <xf numFmtId="4" fontId="64" fillId="43" borderId="15" xfId="0" applyNumberFormat="1" applyFont="1" applyFill="1" applyBorder="1" applyAlignment="1">
      <alignment horizontal="center" vertical="center" wrapText="1"/>
    </xf>
    <xf numFmtId="4" fontId="164" fillId="0" borderId="15" xfId="36" applyNumberFormat="1" applyFont="1" applyFill="1" applyBorder="1" applyAlignment="1">
      <alignment horizontal="center" vertical="center" wrapText="1"/>
    </xf>
    <xf numFmtId="4" fontId="32" fillId="0" borderId="15" xfId="38" applyNumberFormat="1" applyFont="1" applyFill="1" applyBorder="1" applyAlignment="1">
      <alignment horizontal="center" vertical="center" wrapText="1"/>
    </xf>
    <xf numFmtId="4" fontId="32" fillId="0" borderId="15" xfId="0" applyNumberFormat="1" applyFont="1" applyBorder="1" applyAlignment="1">
      <alignment horizontal="center" vertical="center"/>
    </xf>
    <xf numFmtId="4" fontId="30" fillId="0" borderId="15" xfId="38" applyNumberFormat="1" applyFont="1" applyFill="1" applyBorder="1" applyAlignment="1">
      <alignment horizontal="center" vertical="center" wrapText="1"/>
    </xf>
    <xf numFmtId="4" fontId="99" fillId="37" borderId="8" xfId="0" applyNumberFormat="1" applyFont="1" applyFill="1" applyBorder="1" applyAlignment="1">
      <alignment horizontal="center" vertical="center" wrapText="1"/>
    </xf>
    <xf numFmtId="4" fontId="32" fillId="0" borderId="15" xfId="0" applyNumberFormat="1" applyFont="1" applyBorder="1" applyAlignment="1">
      <alignment horizontal="center" vertical="center" wrapText="1"/>
    </xf>
    <xf numFmtId="4" fontId="30" fillId="0" borderId="16" xfId="38" applyNumberFormat="1" applyFont="1" applyFill="1" applyBorder="1" applyAlignment="1">
      <alignment horizontal="center" vertical="center" wrapText="1"/>
    </xf>
    <xf numFmtId="166" fontId="30" fillId="0" borderId="16" xfId="30" applyNumberFormat="1" applyFont="1" applyBorder="1" applyAlignment="1">
      <alignment horizontal="center" vertical="center" wrapText="1"/>
    </xf>
    <xf numFmtId="4" fontId="99" fillId="29" borderId="8" xfId="0" applyNumberFormat="1" applyFont="1" applyFill="1" applyBorder="1" applyAlignment="1">
      <alignment horizontal="center" vertical="center" wrapText="1"/>
    </xf>
    <xf numFmtId="4" fontId="86" fillId="0" borderId="15" xfId="38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0" fillId="0" borderId="15" xfId="38" applyFont="1" applyFill="1" applyBorder="1" applyAlignment="1" applyProtection="1">
      <alignment horizontal="center" vertical="center" wrapText="1"/>
      <protection locked="0"/>
    </xf>
    <xf numFmtId="4" fontId="149" fillId="0" borderId="16" xfId="30" applyNumberFormat="1" applyFont="1" applyBorder="1" applyAlignment="1">
      <alignment horizontal="center" vertical="center"/>
    </xf>
    <xf numFmtId="9" fontId="149" fillId="0" borderId="15" xfId="30" applyNumberFormat="1" applyFont="1" applyBorder="1" applyAlignment="1">
      <alignment horizontal="center" vertical="center"/>
    </xf>
    <xf numFmtId="0" fontId="149" fillId="0" borderId="15" xfId="45" applyFont="1" applyBorder="1" applyAlignment="1">
      <alignment horizontal="center" vertical="center" wrapText="1"/>
    </xf>
    <xf numFmtId="4" fontId="149" fillId="0" borderId="20" xfId="30" applyNumberFormat="1" applyFont="1" applyBorder="1" applyAlignment="1">
      <alignment horizontal="center" vertical="center"/>
    </xf>
    <xf numFmtId="0" fontId="29" fillId="0" borderId="17" xfId="38" applyFont="1" applyFill="1" applyBorder="1" applyAlignment="1" applyProtection="1">
      <alignment horizontal="center" vertical="top" wrapText="1"/>
      <protection locked="0"/>
    </xf>
    <xf numFmtId="0" fontId="16" fillId="0" borderId="0" xfId="39" applyFont="1" applyAlignment="1">
      <alignment vertical="center" wrapText="1"/>
    </xf>
    <xf numFmtId="0" fontId="30" fillId="0" borderId="0" xfId="0" applyFont="1" applyAlignment="1">
      <alignment horizontal="center" vertical="top"/>
    </xf>
    <xf numFmtId="0" fontId="9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  <xf numFmtId="49" fontId="149" fillId="0" borderId="15" xfId="18" applyNumberFormat="1" applyFont="1" applyBorder="1" applyAlignment="1">
      <alignment horizontal="center" vertical="center" wrapText="1"/>
    </xf>
    <xf numFmtId="0" fontId="149" fillId="0" borderId="15" xfId="92" applyFont="1" applyBorder="1" applyAlignment="1">
      <alignment horizontal="center" vertical="center" wrapText="1"/>
    </xf>
    <xf numFmtId="0" fontId="149" fillId="0" borderId="15" xfId="84" applyFont="1" applyBorder="1" applyAlignment="1">
      <alignment horizontal="center" vertical="center" wrapText="1"/>
    </xf>
    <xf numFmtId="49" fontId="30" fillId="28" borderId="0" xfId="0" applyNumberFormat="1" applyFont="1" applyFill="1" applyAlignment="1">
      <alignment horizontal="center" vertical="center" wrapText="1"/>
    </xf>
    <xf numFmtId="49" fontId="152" fillId="44" borderId="15" xfId="0" applyNumberFormat="1" applyFont="1" applyFill="1" applyBorder="1" applyAlignment="1">
      <alignment horizontal="center" vertical="center" wrapText="1"/>
    </xf>
    <xf numFmtId="0" fontId="152" fillId="44" borderId="15" xfId="38" applyFont="1" applyFill="1" applyBorder="1" applyAlignment="1" applyProtection="1">
      <alignment horizontal="center" vertical="center" wrapText="1"/>
      <protection locked="0"/>
    </xf>
    <xf numFmtId="4" fontId="152" fillId="44" borderId="15" xfId="0" applyNumberFormat="1" applyFont="1" applyFill="1" applyBorder="1" applyAlignment="1">
      <alignment horizontal="center" vertical="center" wrapText="1"/>
    </xf>
    <xf numFmtId="9" fontId="152" fillId="44" borderId="15" xfId="0" applyNumberFormat="1" applyFont="1" applyFill="1" applyBorder="1" applyAlignment="1">
      <alignment horizontal="center" vertical="center" wrapText="1"/>
    </xf>
    <xf numFmtId="49" fontId="153" fillId="45" borderId="15" xfId="0" applyNumberFormat="1" applyFont="1" applyFill="1" applyBorder="1" applyAlignment="1">
      <alignment horizontal="center" vertical="center" wrapText="1"/>
    </xf>
    <xf numFmtId="0" fontId="153" fillId="45" borderId="15" xfId="38" applyFont="1" applyFill="1" applyBorder="1" applyAlignment="1" applyProtection="1">
      <alignment horizontal="center" vertical="center" wrapText="1"/>
      <protection locked="0"/>
    </xf>
    <xf numFmtId="4" fontId="153" fillId="45" borderId="15" xfId="0" applyNumberFormat="1" applyFont="1" applyFill="1" applyBorder="1" applyAlignment="1">
      <alignment horizontal="center" vertical="center" wrapText="1"/>
    </xf>
    <xf numFmtId="9" fontId="153" fillId="45" borderId="15" xfId="0" applyNumberFormat="1" applyFont="1" applyFill="1" applyBorder="1" applyAlignment="1">
      <alignment horizontal="center" vertical="center" wrapText="1"/>
    </xf>
    <xf numFmtId="49" fontId="69" fillId="44" borderId="15" xfId="0" applyNumberFormat="1" applyFont="1" applyFill="1" applyBorder="1" applyAlignment="1">
      <alignment horizontal="center" vertical="center" wrapText="1"/>
    </xf>
    <xf numFmtId="0" fontId="69" fillId="44" borderId="15" xfId="38" applyFont="1" applyFill="1" applyBorder="1" applyAlignment="1" applyProtection="1">
      <alignment horizontal="center" vertical="center" wrapText="1"/>
      <protection locked="0"/>
    </xf>
    <xf numFmtId="4" fontId="69" fillId="44" borderId="15" xfId="0" applyNumberFormat="1" applyFont="1" applyFill="1" applyBorder="1" applyAlignment="1">
      <alignment horizontal="center" vertical="center" wrapText="1"/>
    </xf>
    <xf numFmtId="49" fontId="29" fillId="45" borderId="15" xfId="0" applyNumberFormat="1" applyFont="1" applyFill="1" applyBorder="1" applyAlignment="1">
      <alignment horizontal="center" vertical="center" wrapText="1"/>
    </xf>
    <xf numFmtId="0" fontId="29" fillId="45" borderId="15" xfId="38" applyFont="1" applyFill="1" applyBorder="1" applyAlignment="1" applyProtection="1">
      <alignment horizontal="center" vertical="center" wrapText="1"/>
      <protection locked="0"/>
    </xf>
    <xf numFmtId="4" fontId="29" fillId="45" borderId="15" xfId="38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/>
    <xf numFmtId="0" fontId="167" fillId="0" borderId="0" xfId="0" applyFont="1"/>
    <xf numFmtId="4" fontId="16" fillId="0" borderId="15" xfId="0" applyNumberFormat="1" applyFont="1" applyBorder="1" applyAlignment="1">
      <alignment horizontal="center" vertical="center"/>
    </xf>
    <xf numFmtId="4" fontId="16" fillId="0" borderId="22" xfId="0" applyNumberFormat="1" applyFont="1" applyBorder="1" applyAlignment="1">
      <alignment horizontal="center" vertical="center"/>
    </xf>
    <xf numFmtId="4" fontId="16" fillId="37" borderId="15" xfId="0" applyNumberFormat="1" applyFont="1" applyFill="1" applyBorder="1" applyAlignment="1">
      <alignment horizontal="center" vertical="center"/>
    </xf>
    <xf numFmtId="0" fontId="167" fillId="0" borderId="15" xfId="0" applyFont="1" applyBorder="1" applyAlignment="1">
      <alignment horizontal="center" vertical="top" wrapText="1"/>
    </xf>
    <xf numFmtId="0" fontId="167" fillId="0" borderId="15" xfId="35" applyFont="1" applyBorder="1" applyAlignment="1">
      <alignment horizontal="center" vertical="top" wrapText="1"/>
    </xf>
    <xf numFmtId="0" fontId="167" fillId="0" borderId="15" xfId="0" applyFont="1" applyBorder="1" applyAlignment="1">
      <alignment horizontal="center" vertical="top"/>
    </xf>
    <xf numFmtId="0" fontId="16" fillId="0" borderId="15" xfId="0" applyFon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2" fontId="167" fillId="40" borderId="15" xfId="0" applyNumberFormat="1" applyFont="1" applyFill="1" applyBorder="1" applyAlignment="1">
      <alignment horizontal="center" vertical="center"/>
    </xf>
    <xf numFmtId="4" fontId="167" fillId="40" borderId="15" xfId="0" applyNumberFormat="1" applyFont="1" applyFill="1" applyBorder="1" applyAlignment="1">
      <alignment horizontal="center" vertical="center"/>
    </xf>
    <xf numFmtId="0" fontId="167" fillId="0" borderId="0" xfId="0" applyFont="1" applyAlignment="1">
      <alignment horizontal="center" vertical="center"/>
    </xf>
    <xf numFmtId="4" fontId="167" fillId="0" borderId="0" xfId="0" applyNumberFormat="1" applyFont="1" applyAlignment="1">
      <alignment horizontal="center" vertical="center"/>
    </xf>
    <xf numFmtId="0" fontId="40" fillId="0" borderId="0" xfId="0" applyFont="1"/>
    <xf numFmtId="0" fontId="16" fillId="0" borderId="0" xfId="0" applyFont="1" applyAlignment="1">
      <alignment horizontal="right" vertical="center"/>
    </xf>
    <xf numFmtId="4" fontId="16" fillId="0" borderId="0" xfId="0" applyNumberFormat="1" applyFont="1" applyAlignment="1">
      <alignment horizontal="left" vertical="center"/>
    </xf>
    <xf numFmtId="4" fontId="16" fillId="0" borderId="0" xfId="0" applyNumberFormat="1" applyFont="1" applyAlignment="1">
      <alignment horizontal="center" vertical="center"/>
    </xf>
    <xf numFmtId="0" fontId="149" fillId="0" borderId="0" xfId="0" applyFont="1" applyAlignment="1">
      <alignment horizontal="justify" vertical="center"/>
    </xf>
    <xf numFmtId="4" fontId="168" fillId="28" borderId="15" xfId="0" applyNumberFormat="1" applyFont="1" applyFill="1" applyBorder="1" applyAlignment="1">
      <alignment horizontal="center" vertical="center"/>
    </xf>
    <xf numFmtId="4" fontId="69" fillId="44" borderId="15" xfId="38" applyNumberFormat="1" applyFont="1" applyFill="1" applyBorder="1" applyAlignment="1" applyProtection="1">
      <alignment horizontal="center" vertical="center" wrapText="1"/>
      <protection locked="0"/>
    </xf>
    <xf numFmtId="4" fontId="98" fillId="28" borderId="0" xfId="0" applyNumberFormat="1" applyFont="1" applyFill="1" applyAlignment="1">
      <alignment horizontal="center" vertical="center" wrapText="1"/>
    </xf>
    <xf numFmtId="0" fontId="169" fillId="0" borderId="0" xfId="35" applyFont="1"/>
    <xf numFmtId="0" fontId="170" fillId="0" borderId="0" xfId="35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69" fillId="0" borderId="0" xfId="35" applyFont="1" applyAlignment="1">
      <alignment horizontal="center"/>
    </xf>
    <xf numFmtId="0" fontId="170" fillId="0" borderId="0" xfId="35" applyFont="1" applyAlignment="1">
      <alignment horizontal="right"/>
    </xf>
    <xf numFmtId="0" fontId="148" fillId="0" borderId="0" xfId="35" applyFont="1" applyAlignment="1">
      <alignment horizontal="center"/>
    </xf>
    <xf numFmtId="0" fontId="12" fillId="0" borderId="0" xfId="35" applyAlignment="1">
      <alignment horizontal="right" vertical="center"/>
    </xf>
    <xf numFmtId="0" fontId="171" fillId="0" borderId="15" xfId="35" applyFont="1" applyBorder="1" applyAlignment="1">
      <alignment horizontal="center" vertical="top" wrapText="1"/>
    </xf>
    <xf numFmtId="0" fontId="147" fillId="0" borderId="15" xfId="35" applyFont="1" applyBorder="1" applyAlignment="1">
      <alignment horizontal="center" vertical="center" wrapText="1"/>
    </xf>
    <xf numFmtId="0" fontId="147" fillId="0" borderId="15" xfId="0" applyFont="1" applyBorder="1" applyAlignment="1">
      <alignment horizontal="center" vertical="center"/>
    </xf>
    <xf numFmtId="4" fontId="152" fillId="44" borderId="15" xfId="38" applyNumberFormat="1" applyFont="1" applyFill="1" applyBorder="1" applyAlignment="1" applyProtection="1">
      <alignment horizontal="center" vertical="center" wrapText="1"/>
      <protection locked="0"/>
    </xf>
    <xf numFmtId="4" fontId="153" fillId="45" borderId="15" xfId="38" applyNumberFormat="1" applyFont="1" applyFill="1" applyBorder="1" applyAlignment="1" applyProtection="1">
      <alignment horizontal="center" vertical="center" wrapText="1"/>
      <protection locked="0"/>
    </xf>
    <xf numFmtId="49" fontId="153" fillId="0" borderId="15" xfId="0" applyNumberFormat="1" applyFont="1" applyBorder="1" applyAlignment="1">
      <alignment horizontal="center" vertical="center" wrapText="1"/>
    </xf>
    <xf numFmtId="0" fontId="153" fillId="0" borderId="15" xfId="38" applyFont="1" applyFill="1" applyBorder="1" applyAlignment="1" applyProtection="1">
      <alignment horizontal="center" vertical="center" wrapText="1"/>
      <protection locked="0"/>
    </xf>
    <xf numFmtId="4" fontId="153" fillId="0" borderId="15" xfId="0" applyNumberFormat="1" applyFont="1" applyBorder="1" applyAlignment="1">
      <alignment horizontal="center" vertical="center" wrapText="1"/>
    </xf>
    <xf numFmtId="49" fontId="152" fillId="0" borderId="15" xfId="0" applyNumberFormat="1" applyFont="1" applyBorder="1" applyAlignment="1">
      <alignment horizontal="center" vertical="center" wrapText="1"/>
    </xf>
    <xf numFmtId="0" fontId="152" fillId="0" borderId="15" xfId="38" applyFont="1" applyFill="1" applyBorder="1" applyAlignment="1" applyProtection="1">
      <alignment horizontal="center" vertical="center" wrapText="1"/>
      <protection locked="0"/>
    </xf>
    <xf numFmtId="4" fontId="152" fillId="0" borderId="15" xfId="0" applyNumberFormat="1" applyFont="1" applyBorder="1" applyAlignment="1">
      <alignment horizontal="center" vertical="center" wrapText="1"/>
    </xf>
    <xf numFmtId="49" fontId="149" fillId="0" borderId="15" xfId="35" applyNumberFormat="1" applyFont="1" applyBorder="1" applyAlignment="1">
      <alignment horizontal="center" vertical="center" wrapText="1"/>
    </xf>
    <xf numFmtId="49" fontId="172" fillId="0" borderId="15" xfId="0" applyNumberFormat="1" applyFont="1" applyBorder="1" applyAlignment="1">
      <alignment horizontal="center" vertical="center" wrapText="1"/>
    </xf>
    <xf numFmtId="0" fontId="172" fillId="0" borderId="15" xfId="38" applyFont="1" applyFill="1" applyBorder="1" applyAlignment="1" applyProtection="1">
      <alignment horizontal="center" vertical="center" wrapText="1"/>
      <protection locked="0"/>
    </xf>
    <xf numFmtId="4" fontId="172" fillId="0" borderId="15" xfId="0" applyNumberFormat="1" applyFont="1" applyBorder="1" applyAlignment="1">
      <alignment horizontal="center" vertical="center" wrapText="1"/>
    </xf>
    <xf numFmtId="4" fontId="149" fillId="0" borderId="15" xfId="35" applyNumberFormat="1" applyFont="1" applyBorder="1" applyAlignment="1">
      <alignment horizontal="center" vertical="center"/>
    </xf>
    <xf numFmtId="2" fontId="153" fillId="40" borderId="15" xfId="0" applyNumberFormat="1" applyFont="1" applyFill="1" applyBorder="1" applyAlignment="1">
      <alignment horizontal="center" vertical="center"/>
    </xf>
    <xf numFmtId="4" fontId="153" fillId="40" borderId="15" xfId="0" applyNumberFormat="1" applyFont="1" applyFill="1" applyBorder="1" applyAlignment="1">
      <alignment horizontal="center" vertical="center"/>
    </xf>
    <xf numFmtId="0" fontId="149" fillId="0" borderId="0" xfId="39" applyFont="1" applyAlignment="1">
      <alignment vertical="center"/>
    </xf>
    <xf numFmtId="0" fontId="173" fillId="0" borderId="0" xfId="35" applyFont="1" applyAlignment="1">
      <alignment horizontal="center" vertical="center"/>
    </xf>
    <xf numFmtId="0" fontId="69" fillId="0" borderId="15" xfId="0" applyFont="1" applyBorder="1" applyAlignment="1">
      <alignment horizontal="center" vertical="center" wrapText="1"/>
    </xf>
    <xf numFmtId="4" fontId="82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2" fillId="0" borderId="0" xfId="0" applyFont="1" applyAlignment="1">
      <alignment horizontal="right"/>
    </xf>
    <xf numFmtId="0" fontId="178" fillId="0" borderId="24" xfId="0" applyFont="1" applyBorder="1" applyAlignment="1">
      <alignment horizontal="center" vertical="center" wrapText="1"/>
    </xf>
    <xf numFmtId="0" fontId="170" fillId="0" borderId="24" xfId="0" applyFont="1" applyBorder="1" applyAlignment="1">
      <alignment horizontal="center" vertical="top" wrapText="1"/>
    </xf>
    <xf numFmtId="0" fontId="179" fillId="0" borderId="24" xfId="0" applyFont="1" applyBorder="1" applyAlignment="1">
      <alignment horizontal="center" vertical="center" wrapText="1"/>
    </xf>
    <xf numFmtId="4" fontId="179" fillId="0" borderId="24" xfId="0" applyNumberFormat="1" applyFont="1" applyBorder="1" applyAlignment="1">
      <alignment horizontal="left" vertical="center" wrapText="1"/>
    </xf>
    <xf numFmtId="4" fontId="179" fillId="0" borderId="24" xfId="0" applyNumberFormat="1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left" vertical="center" wrapText="1"/>
    </xf>
    <xf numFmtId="4" fontId="12" fillId="0" borderId="24" xfId="0" applyNumberFormat="1" applyFont="1" applyBorder="1" applyAlignment="1">
      <alignment horizontal="center" vertical="center" wrapText="1"/>
    </xf>
    <xf numFmtId="0" fontId="180" fillId="0" borderId="24" xfId="0" applyFont="1" applyBorder="1" applyAlignment="1">
      <alignment horizontal="center" vertical="center" wrapText="1"/>
    </xf>
    <xf numFmtId="4" fontId="180" fillId="0" borderId="24" xfId="0" applyNumberFormat="1" applyFont="1" applyBorder="1" applyAlignment="1">
      <alignment horizontal="left" vertical="center" wrapText="1"/>
    </xf>
    <xf numFmtId="4" fontId="180" fillId="0" borderId="24" xfId="0" applyNumberFormat="1" applyFont="1" applyBorder="1" applyAlignment="1">
      <alignment horizontal="center" vertical="center" wrapText="1"/>
    </xf>
    <xf numFmtId="4" fontId="147" fillId="0" borderId="24" xfId="0" applyNumberFormat="1" applyFont="1" applyBorder="1" applyAlignment="1">
      <alignment horizontal="center" vertical="center" wrapText="1"/>
    </xf>
    <xf numFmtId="4" fontId="147" fillId="0" borderId="24" xfId="0" applyNumberFormat="1" applyFont="1" applyBorder="1" applyAlignment="1">
      <alignment horizontal="left" vertical="center" wrapText="1"/>
    </xf>
    <xf numFmtId="0" fontId="180" fillId="0" borderId="24" xfId="0" applyFont="1" applyBorder="1" applyAlignment="1">
      <alignment horizontal="left" vertical="center" wrapText="1"/>
    </xf>
    <xf numFmtId="0" fontId="147" fillId="0" borderId="24" xfId="0" applyFont="1" applyBorder="1" applyAlignment="1">
      <alignment horizontal="center" vertical="center" wrapText="1"/>
    </xf>
    <xf numFmtId="0" fontId="147" fillId="0" borderId="24" xfId="0" applyFont="1" applyBorder="1" applyAlignment="1">
      <alignment horizontal="left" vertical="center" wrapText="1"/>
    </xf>
    <xf numFmtId="0" fontId="147" fillId="41" borderId="24" xfId="0" applyFont="1" applyFill="1" applyBorder="1" applyAlignment="1">
      <alignment horizontal="center" vertical="center" wrapText="1"/>
    </xf>
    <xf numFmtId="0" fontId="147" fillId="41" borderId="24" xfId="0" applyFont="1" applyFill="1" applyBorder="1" applyAlignment="1">
      <alignment horizontal="left" vertical="center" wrapText="1"/>
    </xf>
    <xf numFmtId="4" fontId="147" fillId="41" borderId="24" xfId="0" applyNumberFormat="1" applyFont="1" applyFill="1" applyBorder="1" applyAlignment="1">
      <alignment horizontal="center" vertical="center" wrapText="1"/>
    </xf>
    <xf numFmtId="0" fontId="179" fillId="0" borderId="24" xfId="0" applyFont="1" applyBorder="1" applyAlignment="1">
      <alignment horizontal="left" vertical="center" wrapText="1"/>
    </xf>
    <xf numFmtId="4" fontId="29" fillId="34" borderId="7" xfId="36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justify" vertical="center"/>
    </xf>
    <xf numFmtId="0" fontId="150" fillId="0" borderId="15" xfId="38" applyFont="1" applyFill="1" applyBorder="1" applyAlignment="1" applyProtection="1">
      <alignment horizontal="center" vertical="center" wrapText="1"/>
      <protection locked="0"/>
    </xf>
    <xf numFmtId="4" fontId="31" fillId="0" borderId="16" xfId="0" applyNumberFormat="1" applyFont="1" applyBorder="1" applyAlignment="1">
      <alignment horizontal="center" vertical="center" wrapText="1"/>
    </xf>
    <xf numFmtId="4" fontId="32" fillId="0" borderId="16" xfId="0" applyNumberFormat="1" applyFont="1" applyBorder="1" applyAlignment="1">
      <alignment horizontal="center" vertical="center" wrapText="1"/>
    </xf>
    <xf numFmtId="4" fontId="32" fillId="0" borderId="16" xfId="0" applyNumberFormat="1" applyFont="1" applyBorder="1" applyAlignment="1">
      <alignment horizontal="center" vertical="center"/>
    </xf>
    <xf numFmtId="166" fontId="30" fillId="26" borderId="15" xfId="30" applyNumberFormat="1" applyFont="1" applyFill="1" applyBorder="1" applyAlignment="1">
      <alignment horizontal="center" vertical="center" wrapText="1"/>
    </xf>
    <xf numFmtId="4" fontId="30" fillId="26" borderId="15" xfId="0" applyNumberFormat="1" applyFont="1" applyFill="1" applyBorder="1" applyAlignment="1">
      <alignment horizontal="center" vertical="center" wrapText="1"/>
    </xf>
    <xf numFmtId="49" fontId="30" fillId="28" borderId="15" xfId="0" applyNumberFormat="1" applyFont="1" applyFill="1" applyBorder="1" applyAlignment="1">
      <alignment horizontal="center" vertical="center" wrapText="1"/>
    </xf>
    <xf numFmtId="4" fontId="30" fillId="28" borderId="15" xfId="0" applyNumberFormat="1" applyFont="1" applyFill="1" applyBorder="1" applyAlignment="1">
      <alignment horizontal="center" vertical="center" wrapText="1"/>
    </xf>
    <xf numFmtId="4" fontId="98" fillId="29" borderId="14" xfId="0" applyNumberFormat="1" applyFont="1" applyFill="1" applyBorder="1" applyAlignment="1">
      <alignment horizontal="center" vertical="center" wrapText="1"/>
    </xf>
    <xf numFmtId="4" fontId="98" fillId="29" borderId="8" xfId="0" applyNumberFormat="1" applyFont="1" applyFill="1" applyBorder="1" applyAlignment="1">
      <alignment horizontal="center" vertical="center" wrapText="1"/>
    </xf>
    <xf numFmtId="0" fontId="99" fillId="28" borderId="0" xfId="0" applyFont="1" applyFill="1" applyAlignment="1">
      <alignment horizontal="center" vertical="center"/>
    </xf>
    <xf numFmtId="4" fontId="182" fillId="27" borderId="15" xfId="0" applyNumberFormat="1" applyFont="1" applyFill="1" applyBorder="1" applyAlignment="1">
      <alignment horizontal="center" vertical="center" wrapText="1"/>
    </xf>
    <xf numFmtId="49" fontId="30" fillId="0" borderId="15" xfId="0" applyNumberFormat="1" applyFont="1" applyBorder="1" applyAlignment="1">
      <alignment horizontal="left" vertical="center" wrapText="1"/>
    </xf>
    <xf numFmtId="0" fontId="183" fillId="0" borderId="0" xfId="0" applyFont="1" applyAlignment="1">
      <alignment vertical="center"/>
    </xf>
    <xf numFmtId="0" fontId="183" fillId="0" borderId="0" xfId="0" applyFont="1" applyAlignment="1">
      <alignment horizontal="center" vertical="center"/>
    </xf>
    <xf numFmtId="4" fontId="31" fillId="0" borderId="15" xfId="38" applyNumberFormat="1" applyFont="1" applyFill="1" applyBorder="1" applyAlignment="1">
      <alignment horizontal="center" vertical="center" wrapText="1"/>
    </xf>
    <xf numFmtId="4" fontId="184" fillId="28" borderId="0" xfId="0" applyNumberFormat="1" applyFont="1" applyFill="1" applyAlignment="1">
      <alignment horizontal="left" vertical="center"/>
    </xf>
    <xf numFmtId="49" fontId="150" fillId="0" borderId="16" xfId="0" applyNumberFormat="1" applyFont="1" applyBorder="1" applyAlignment="1">
      <alignment horizontal="center" vertical="center" wrapText="1"/>
    </xf>
    <xf numFmtId="0" fontId="30" fillId="0" borderId="16" xfId="38" applyFont="1" applyFill="1" applyBorder="1" applyAlignment="1" applyProtection="1">
      <alignment horizontal="center" wrapText="1"/>
      <protection locked="0"/>
    </xf>
    <xf numFmtId="0" fontId="30" fillId="0" borderId="0" xfId="38" applyFont="1" applyFill="1" applyBorder="1" applyAlignment="1" applyProtection="1">
      <alignment horizontal="center" vertical="top" wrapText="1"/>
      <protection locked="0"/>
    </xf>
    <xf numFmtId="0" fontId="58" fillId="0" borderId="0" xfId="0" applyFont="1" applyAlignment="1">
      <alignment horizontal="center" vertical="center"/>
    </xf>
    <xf numFmtId="0" fontId="39" fillId="0" borderId="0" xfId="36" applyFont="1" applyFill="1" applyAlignment="1">
      <alignment horizontal="center" vertical="center"/>
    </xf>
    <xf numFmtId="0" fontId="39" fillId="28" borderId="0" xfId="36" applyFont="1" applyFill="1" applyAlignment="1">
      <alignment horizontal="center" vertical="top"/>
    </xf>
    <xf numFmtId="0" fontId="38" fillId="0" borderId="0" xfId="36" applyFont="1" applyFill="1" applyAlignment="1">
      <alignment vertical="center"/>
    </xf>
    <xf numFmtId="0" fontId="16" fillId="0" borderId="0" xfId="36" applyFont="1" applyFill="1" applyAlignment="1">
      <alignment horizontal="right" vertical="center"/>
    </xf>
    <xf numFmtId="0" fontId="167" fillId="28" borderId="0" xfId="36" applyFont="1" applyFill="1" applyAlignment="1">
      <alignment horizontal="center" vertical="top"/>
    </xf>
    <xf numFmtId="2" fontId="39" fillId="39" borderId="15" xfId="36" applyNumberFormat="1" applyFont="1" applyFill="1" applyBorder="1" applyAlignment="1">
      <alignment horizontal="center" vertical="center" wrapText="1"/>
    </xf>
    <xf numFmtId="2" fontId="38" fillId="28" borderId="0" xfId="36" applyNumberFormat="1" applyFont="1" applyFill="1" applyAlignment="1">
      <alignment horizontal="center" vertical="top"/>
    </xf>
    <xf numFmtId="2" fontId="38" fillId="0" borderId="0" xfId="36" applyNumberFormat="1" applyFont="1" applyAlignment="1">
      <alignment horizontal="center" vertical="top"/>
    </xf>
    <xf numFmtId="2" fontId="16" fillId="0" borderId="15" xfId="36" applyNumberFormat="1" applyFont="1" applyFill="1" applyBorder="1" applyAlignment="1">
      <alignment horizontal="center" vertical="center" wrapText="1"/>
    </xf>
    <xf numFmtId="4" fontId="16" fillId="0" borderId="15" xfId="36" applyNumberFormat="1" applyFont="1" applyFill="1" applyBorder="1" applyAlignment="1">
      <alignment horizontal="center" vertical="center"/>
    </xf>
    <xf numFmtId="164" fontId="39" fillId="40" borderId="15" xfId="0" applyNumberFormat="1" applyFont="1" applyFill="1" applyBorder="1" applyAlignment="1">
      <alignment horizontal="center" vertical="center"/>
    </xf>
    <xf numFmtId="164" fontId="39" fillId="40" borderId="15" xfId="36" applyNumberFormat="1" applyFont="1" applyFill="1" applyBorder="1" applyAlignment="1">
      <alignment horizontal="center" vertical="center" wrapText="1"/>
    </xf>
    <xf numFmtId="4" fontId="186" fillId="0" borderId="15" xfId="36" applyNumberFormat="1" applyFont="1" applyFill="1" applyBorder="1" applyAlignment="1">
      <alignment horizontal="center" vertical="center" wrapText="1"/>
    </xf>
    <xf numFmtId="2" fontId="16" fillId="28" borderId="15" xfId="36" applyNumberFormat="1" applyFont="1" applyFill="1" applyBorder="1" applyAlignment="1">
      <alignment horizontal="center" vertical="center" wrapText="1"/>
    </xf>
    <xf numFmtId="2" fontId="185" fillId="28" borderId="15" xfId="36" applyNumberFormat="1" applyFont="1" applyFill="1" applyBorder="1" applyAlignment="1">
      <alignment horizontal="center" vertical="center" wrapText="1"/>
    </xf>
    <xf numFmtId="0" fontId="10" fillId="28" borderId="15" xfId="0" applyFont="1" applyFill="1" applyBorder="1" applyAlignment="1">
      <alignment horizontal="center"/>
    </xf>
    <xf numFmtId="4" fontId="16" fillId="28" borderId="15" xfId="36" applyNumberFormat="1" applyFont="1" applyFill="1" applyBorder="1" applyAlignment="1">
      <alignment horizontal="center" vertical="center"/>
    </xf>
    <xf numFmtId="4" fontId="16" fillId="0" borderId="15" xfId="36" applyNumberFormat="1" applyFont="1" applyFill="1" applyBorder="1" applyAlignment="1">
      <alignment horizontal="center" vertical="center" wrapText="1"/>
    </xf>
    <xf numFmtId="2" fontId="187" fillId="28" borderId="0" xfId="36" applyNumberFormat="1" applyFont="1" applyFill="1" applyAlignment="1">
      <alignment horizontal="center" vertical="top"/>
    </xf>
    <xf numFmtId="0" fontId="29" fillId="0" borderId="15" xfId="0" applyFont="1" applyBorder="1" applyAlignment="1">
      <alignment horizontal="center" vertical="center" wrapText="1"/>
    </xf>
    <xf numFmtId="4" fontId="69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29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150" fillId="0" borderId="15" xfId="38" applyNumberFormat="1" applyFont="1" applyFill="1" applyBorder="1" applyAlignment="1" applyProtection="1">
      <alignment horizontal="center" vertical="center" wrapText="1"/>
      <protection locked="0"/>
    </xf>
    <xf numFmtId="49" fontId="150" fillId="0" borderId="15" xfId="0" applyNumberFormat="1" applyFont="1" applyBorder="1" applyAlignment="1">
      <alignment horizontal="center" vertical="center"/>
    </xf>
    <xf numFmtId="49" fontId="30" fillId="0" borderId="15" xfId="0" applyNumberFormat="1" applyFont="1" applyBorder="1" applyAlignment="1">
      <alignment horizontal="center" vertical="center"/>
    </xf>
    <xf numFmtId="4" fontId="86" fillId="28" borderId="15" xfId="0" applyNumberFormat="1" applyFont="1" applyFill="1" applyBorder="1" applyAlignment="1">
      <alignment horizontal="center" vertical="center" wrapText="1"/>
    </xf>
    <xf numFmtId="4" fontId="31" fillId="28" borderId="15" xfId="0" applyNumberFormat="1" applyFont="1" applyFill="1" applyBorder="1" applyAlignment="1">
      <alignment horizontal="center" vertical="center" wrapText="1"/>
    </xf>
    <xf numFmtId="4" fontId="32" fillId="28" borderId="15" xfId="0" applyNumberFormat="1" applyFont="1" applyFill="1" applyBorder="1" applyAlignment="1">
      <alignment horizontal="center" vertical="center" wrapText="1"/>
    </xf>
    <xf numFmtId="4" fontId="32" fillId="28" borderId="15" xfId="0" applyNumberFormat="1" applyFont="1" applyFill="1" applyBorder="1" applyAlignment="1">
      <alignment horizontal="center" vertical="center"/>
    </xf>
    <xf numFmtId="4" fontId="188" fillId="0" borderId="15" xfId="0" applyNumberFormat="1" applyFont="1" applyBorder="1" applyAlignment="1">
      <alignment horizontal="center" vertical="center" wrapText="1"/>
    </xf>
    <xf numFmtId="4" fontId="31" fillId="40" borderId="15" xfId="0" applyNumberFormat="1" applyFont="1" applyFill="1" applyBorder="1" applyAlignment="1">
      <alignment horizontal="center" vertical="center"/>
    </xf>
    <xf numFmtId="2" fontId="29" fillId="40" borderId="15" xfId="0" applyNumberFormat="1" applyFont="1" applyFill="1" applyBorder="1" applyAlignment="1">
      <alignment horizontal="center" vertical="center"/>
    </xf>
    <xf numFmtId="4" fontId="182" fillId="0" borderId="15" xfId="0" applyNumberFormat="1" applyFont="1" applyBorder="1" applyAlignment="1">
      <alignment horizontal="center" vertical="center" wrapText="1"/>
    </xf>
    <xf numFmtId="49" fontId="30" fillId="39" borderId="19" xfId="0" applyNumberFormat="1" applyFont="1" applyFill="1" applyBorder="1" applyAlignment="1">
      <alignment horizontal="center" vertical="center" wrapText="1"/>
    </xf>
    <xf numFmtId="49" fontId="30" fillId="39" borderId="19" xfId="0" applyNumberFormat="1" applyFont="1" applyFill="1" applyBorder="1" applyAlignment="1">
      <alignment horizontal="left" vertical="center" wrapText="1"/>
    </xf>
    <xf numFmtId="4" fontId="30" fillId="39" borderId="19" xfId="0" applyNumberFormat="1" applyFont="1" applyFill="1" applyBorder="1" applyAlignment="1">
      <alignment horizontal="center" vertical="center" wrapText="1"/>
    </xf>
    <xf numFmtId="0" fontId="12" fillId="0" borderId="0" xfId="39"/>
    <xf numFmtId="0" fontId="149" fillId="0" borderId="0" xfId="39" applyFont="1" applyAlignment="1">
      <alignment horizontal="center" vertical="center"/>
    </xf>
    <xf numFmtId="0" fontId="189" fillId="0" borderId="0" xfId="39" applyFont="1" applyAlignment="1">
      <alignment horizontal="center" vertical="center"/>
    </xf>
    <xf numFmtId="0" fontId="170" fillId="0" borderId="0" xfId="39" applyFont="1" applyAlignment="1">
      <alignment vertical="center"/>
    </xf>
    <xf numFmtId="0" fontId="12" fillId="0" borderId="0" xfId="39" applyAlignment="1">
      <alignment horizontal="right" vertical="center"/>
    </xf>
    <xf numFmtId="0" fontId="12" fillId="0" borderId="0" xfId="39" applyAlignment="1">
      <alignment vertical="center" wrapText="1"/>
    </xf>
    <xf numFmtId="0" fontId="147" fillId="0" borderId="24" xfId="39" applyFont="1" applyBorder="1" applyAlignment="1">
      <alignment horizontal="center" vertical="center" wrapText="1"/>
    </xf>
    <xf numFmtId="0" fontId="149" fillId="0" borderId="0" xfId="39" applyFont="1" applyAlignment="1">
      <alignment wrapText="1"/>
    </xf>
    <xf numFmtId="4" fontId="147" fillId="0" borderId="24" xfId="39" applyNumberFormat="1" applyFont="1" applyBorder="1" applyAlignment="1">
      <alignment horizontal="center" vertical="center" wrapText="1"/>
    </xf>
    <xf numFmtId="0" fontId="180" fillId="0" borderId="24" xfId="39" applyFont="1" applyBorder="1" applyAlignment="1">
      <alignment horizontal="center" vertical="center" wrapText="1"/>
    </xf>
    <xf numFmtId="0" fontId="180" fillId="0" borderId="24" xfId="39" applyFont="1" applyBorder="1" applyAlignment="1">
      <alignment vertical="center" wrapText="1"/>
    </xf>
    <xf numFmtId="4" fontId="180" fillId="0" borderId="24" xfId="39" applyNumberFormat="1" applyFont="1" applyBorder="1" applyAlignment="1">
      <alignment horizontal="center" vertical="center" wrapText="1"/>
    </xf>
    <xf numFmtId="0" fontId="12" fillId="0" borderId="24" xfId="39" applyBorder="1" applyAlignment="1">
      <alignment horizontal="center" vertical="center" wrapText="1"/>
    </xf>
    <xf numFmtId="0" fontId="12" fillId="0" borderId="24" xfId="39" applyBorder="1" applyAlignment="1">
      <alignment vertical="center" wrapText="1"/>
    </xf>
    <xf numFmtId="4" fontId="12" fillId="0" borderId="24" xfId="39" applyNumberFormat="1" applyBorder="1" applyAlignment="1">
      <alignment horizontal="center" vertical="center" wrapText="1"/>
    </xf>
    <xf numFmtId="0" fontId="12" fillId="0" borderId="24" xfId="37" applyFont="1" applyBorder="1" applyAlignment="1">
      <alignment horizontal="justify" vertical="center" wrapText="1"/>
    </xf>
    <xf numFmtId="0" fontId="147" fillId="0" borderId="24" xfId="37" applyFont="1" applyBorder="1" applyAlignment="1">
      <alignment horizontal="center" vertical="center" wrapText="1"/>
    </xf>
    <xf numFmtId="0" fontId="180" fillId="0" borderId="24" xfId="37" applyFont="1" applyBorder="1" applyAlignment="1">
      <alignment horizontal="justify" vertical="center" wrapText="1"/>
    </xf>
    <xf numFmtId="0" fontId="12" fillId="0" borderId="24" xfId="37" applyFont="1" applyBorder="1" applyAlignment="1">
      <alignment horizontal="left" vertical="center" wrapText="1"/>
    </xf>
    <xf numFmtId="0" fontId="180" fillId="0" borderId="24" xfId="37" applyFont="1" applyBorder="1" applyAlignment="1">
      <alignment horizontal="left" vertical="center" wrapText="1"/>
    </xf>
    <xf numFmtId="0" fontId="147" fillId="0" borderId="24" xfId="37" applyFont="1" applyBorder="1" applyAlignment="1">
      <alignment horizontal="justify" vertical="center" wrapText="1"/>
    </xf>
    <xf numFmtId="0" fontId="12" fillId="0" borderId="24" xfId="37" applyFont="1" applyBorder="1" applyAlignment="1">
      <alignment vertical="center" wrapText="1"/>
    </xf>
    <xf numFmtId="0" fontId="180" fillId="0" borderId="24" xfId="37" applyFont="1" applyBorder="1" applyAlignment="1">
      <alignment vertical="center" wrapText="1"/>
    </xf>
    <xf numFmtId="0" fontId="147" fillId="0" borderId="24" xfId="37" applyFont="1" applyBorder="1" applyAlignment="1">
      <alignment vertical="center" wrapText="1"/>
    </xf>
    <xf numFmtId="0" fontId="12" fillId="0" borderId="24" xfId="0" applyFont="1" applyBorder="1" applyAlignment="1">
      <alignment horizontal="justify" vertical="center"/>
    </xf>
    <xf numFmtId="0" fontId="147" fillId="0" borderId="24" xfId="39" applyFont="1" applyBorder="1" applyAlignment="1">
      <alignment vertical="center" wrapText="1"/>
    </xf>
    <xf numFmtId="0" fontId="147" fillId="40" borderId="24" xfId="39" applyFont="1" applyFill="1" applyBorder="1" applyAlignment="1">
      <alignment horizontal="center" vertical="center" wrapText="1"/>
    </xf>
    <xf numFmtId="0" fontId="147" fillId="40" borderId="24" xfId="37" applyFont="1" applyFill="1" applyBorder="1" applyAlignment="1">
      <alignment horizontal="center" vertical="center" wrapText="1"/>
    </xf>
    <xf numFmtId="4" fontId="147" fillId="40" borderId="24" xfId="39" applyNumberFormat="1" applyFont="1" applyFill="1" applyBorder="1" applyAlignment="1">
      <alignment horizontal="center" vertical="center" wrapText="1"/>
    </xf>
    <xf numFmtId="0" fontId="179" fillId="0" borderId="24" xfId="39" applyFont="1" applyBorder="1" applyAlignment="1">
      <alignment vertical="center" wrapText="1"/>
    </xf>
    <xf numFmtId="4" fontId="179" fillId="0" borderId="24" xfId="39" applyNumberFormat="1" applyFont="1" applyBorder="1" applyAlignment="1">
      <alignment horizontal="center" vertical="center" wrapText="1"/>
    </xf>
    <xf numFmtId="0" fontId="153" fillId="0" borderId="0" xfId="39" applyFont="1" applyAlignment="1">
      <alignment wrapText="1"/>
    </xf>
    <xf numFmtId="0" fontId="147" fillId="45" borderId="24" xfId="39" applyFont="1" applyFill="1" applyBorder="1" applyAlignment="1">
      <alignment horizontal="center" vertical="center" wrapText="1"/>
    </xf>
    <xf numFmtId="4" fontId="147" fillId="45" borderId="24" xfId="39" applyNumberFormat="1" applyFont="1" applyFill="1" applyBorder="1" applyAlignment="1">
      <alignment horizontal="center" vertical="center" wrapText="1"/>
    </xf>
    <xf numFmtId="4" fontId="168" fillId="0" borderId="0" xfId="39" applyNumberFormat="1" applyFont="1"/>
    <xf numFmtId="4" fontId="192" fillId="28" borderId="0" xfId="0" applyNumberFormat="1" applyFont="1" applyFill="1" applyAlignment="1">
      <alignment horizontal="center" vertical="center"/>
    </xf>
    <xf numFmtId="4" fontId="29" fillId="0" borderId="22" xfId="0" applyNumberFormat="1" applyFont="1" applyBorder="1" applyAlignment="1">
      <alignment horizontal="center" vertical="center" wrapText="1"/>
    </xf>
    <xf numFmtId="4" fontId="30" fillId="0" borderId="22" xfId="0" applyNumberFormat="1" applyFont="1" applyBorder="1" applyAlignment="1">
      <alignment horizontal="center" vertical="center" wrapText="1"/>
    </xf>
    <xf numFmtId="49" fontId="29" fillId="35" borderId="15" xfId="0" applyNumberFormat="1" applyFont="1" applyFill="1" applyBorder="1" applyAlignment="1">
      <alignment horizontal="center" vertical="center" wrapText="1"/>
    </xf>
    <xf numFmtId="4" fontId="29" fillId="35" borderId="22" xfId="0" applyNumberFormat="1" applyFont="1" applyFill="1" applyBorder="1" applyAlignment="1">
      <alignment horizontal="center" vertical="center" wrapText="1"/>
    </xf>
    <xf numFmtId="49" fontId="30" fillId="35" borderId="15" xfId="0" applyNumberFormat="1" applyFont="1" applyFill="1" applyBorder="1" applyAlignment="1">
      <alignment horizontal="center" vertical="center" wrapText="1"/>
    </xf>
    <xf numFmtId="4" fontId="30" fillId="35" borderId="22" xfId="0" applyNumberFormat="1" applyFont="1" applyFill="1" applyBorder="1" applyAlignment="1">
      <alignment horizontal="center" vertical="center" wrapText="1"/>
    </xf>
    <xf numFmtId="4" fontId="30" fillId="35" borderId="15" xfId="0" applyNumberFormat="1" applyFont="1" applyFill="1" applyBorder="1" applyAlignment="1">
      <alignment horizontal="center" vertical="center" wrapText="1"/>
    </xf>
    <xf numFmtId="4" fontId="149" fillId="40" borderId="15" xfId="0" applyNumberFormat="1" applyFont="1" applyFill="1" applyBorder="1" applyAlignment="1">
      <alignment horizontal="center" vertical="center"/>
    </xf>
    <xf numFmtId="4" fontId="194" fillId="28" borderId="15" xfId="35" applyNumberFormat="1" applyFont="1" applyFill="1" applyBorder="1" applyAlignment="1">
      <alignment horizontal="left" vertical="center"/>
    </xf>
    <xf numFmtId="0" fontId="29" fillId="40" borderId="15" xfId="0" applyFont="1" applyFill="1" applyBorder="1" applyAlignment="1">
      <alignment horizontal="center" vertical="center"/>
    </xf>
    <xf numFmtId="0" fontId="29" fillId="40" borderId="15" xfId="0" applyFont="1" applyFill="1" applyBorder="1" applyAlignment="1">
      <alignment horizontal="left" vertical="center"/>
    </xf>
    <xf numFmtId="4" fontId="29" fillId="40" borderId="15" xfId="0" applyNumberFormat="1" applyFont="1" applyFill="1" applyBorder="1" applyAlignment="1">
      <alignment horizontal="center" vertical="center"/>
    </xf>
    <xf numFmtId="0" fontId="195" fillId="46" borderId="0" xfId="0" applyFont="1" applyFill="1"/>
    <xf numFmtId="0" fontId="195" fillId="28" borderId="0" xfId="0" applyFont="1" applyFill="1"/>
    <xf numFmtId="0" fontId="16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89" fillId="0" borderId="0" xfId="39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90" fillId="0" borderId="0" xfId="39" applyFont="1" applyAlignment="1">
      <alignment horizontal="center" vertical="center"/>
    </xf>
    <xf numFmtId="0" fontId="58" fillId="0" borderId="0" xfId="0" applyFont="1"/>
    <xf numFmtId="0" fontId="167" fillId="0" borderId="0" xfId="39" applyFont="1" applyAlignment="1">
      <alignment horizontal="center" vertical="center"/>
    </xf>
    <xf numFmtId="0" fontId="40" fillId="0" borderId="0" xfId="0" applyFont="1"/>
    <xf numFmtId="0" fontId="147" fillId="0" borderId="24" xfId="39" applyFont="1" applyBorder="1" applyAlignment="1">
      <alignment horizontal="center" vertical="top" wrapText="1"/>
    </xf>
    <xf numFmtId="0" fontId="16" fillId="0" borderId="0" xfId="39" applyFont="1" applyAlignment="1">
      <alignment vertical="center" wrapText="1"/>
    </xf>
    <xf numFmtId="0" fontId="0" fillId="0" borderId="0" xfId="0"/>
    <xf numFmtId="0" fontId="148" fillId="0" borderId="0" xfId="0" applyFont="1" applyAlignment="1">
      <alignment horizontal="center" vertical="center" wrapText="1"/>
    </xf>
    <xf numFmtId="0" fontId="174" fillId="0" borderId="0" xfId="0" applyFont="1" applyAlignment="1">
      <alignment horizontal="center"/>
    </xf>
    <xf numFmtId="0" fontId="17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6" fillId="0" borderId="0" xfId="0" applyFont="1" applyAlignment="1">
      <alignment horizontal="center" vertical="top"/>
    </xf>
    <xf numFmtId="0" fontId="177" fillId="0" borderId="0" xfId="0" applyFont="1" applyAlignment="1">
      <alignment horizontal="center" vertical="top"/>
    </xf>
    <xf numFmtId="0" fontId="178" fillId="0" borderId="24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47" fillId="45" borderId="24" xfId="0" applyFont="1" applyFill="1" applyBorder="1" applyAlignment="1">
      <alignment horizontal="left" vertical="center" wrapText="1"/>
    </xf>
    <xf numFmtId="0" fontId="0" fillId="45" borderId="24" xfId="0" applyFill="1" applyBorder="1" applyAlignment="1">
      <alignment wrapText="1"/>
    </xf>
    <xf numFmtId="0" fontId="52" fillId="0" borderId="0" xfId="0" applyFont="1" applyAlignment="1">
      <alignment horizontal="left" vertical="center"/>
    </xf>
    <xf numFmtId="0" fontId="53" fillId="0" borderId="0" xfId="0" applyFont="1" applyAlignment="1">
      <alignment horizontal="left" vertical="center"/>
    </xf>
    <xf numFmtId="0" fontId="30" fillId="28" borderId="0" xfId="0" applyFont="1" applyFill="1"/>
    <xf numFmtId="4" fontId="30" fillId="0" borderId="16" xfId="0" applyNumberFormat="1" applyFont="1" applyBorder="1" applyAlignment="1">
      <alignment horizontal="center" vertical="center" wrapText="1"/>
    </xf>
    <xf numFmtId="4" fontId="30" fillId="0" borderId="17" xfId="0" applyNumberFormat="1" applyFont="1" applyBorder="1" applyAlignment="1">
      <alignment horizontal="center" vertical="center" wrapText="1"/>
    </xf>
    <xf numFmtId="4" fontId="32" fillId="0" borderId="16" xfId="0" applyNumberFormat="1" applyFont="1" applyBorder="1" applyAlignment="1">
      <alignment horizontal="center" vertical="center"/>
    </xf>
    <xf numFmtId="4" fontId="32" fillId="0" borderId="17" xfId="0" applyNumberFormat="1" applyFont="1" applyBorder="1" applyAlignment="1">
      <alignment horizontal="center" vertical="center"/>
    </xf>
    <xf numFmtId="4" fontId="29" fillId="0" borderId="16" xfId="0" applyNumberFormat="1" applyFont="1" applyBorder="1" applyAlignment="1">
      <alignment horizontal="center" vertical="center" wrapText="1"/>
    </xf>
    <xf numFmtId="4" fontId="29" fillId="0" borderId="17" xfId="0" applyNumberFormat="1" applyFont="1" applyBorder="1" applyAlignment="1">
      <alignment horizontal="center" vertical="center" wrapText="1"/>
    </xf>
    <xf numFmtId="4" fontId="68" fillId="0" borderId="15" xfId="0" applyNumberFormat="1" applyFont="1" applyBorder="1" applyAlignment="1">
      <alignment horizontal="center" vertical="center" wrapText="1"/>
    </xf>
    <xf numFmtId="4" fontId="64" fillId="0" borderId="15" xfId="0" applyNumberFormat="1" applyFont="1" applyBorder="1" applyAlignment="1">
      <alignment horizontal="center" vertical="center" wrapText="1"/>
    </xf>
    <xf numFmtId="49" fontId="30" fillId="0" borderId="15" xfId="0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" fontId="31" fillId="0" borderId="15" xfId="0" applyNumberFormat="1" applyFont="1" applyBorder="1" applyAlignment="1">
      <alignment horizontal="center" vertical="center" wrapText="1"/>
    </xf>
    <xf numFmtId="4" fontId="31" fillId="0" borderId="16" xfId="0" applyNumberFormat="1" applyFont="1" applyBorder="1" applyAlignment="1">
      <alignment horizontal="center" vertical="center" wrapText="1"/>
    </xf>
    <xf numFmtId="4" fontId="31" fillId="0" borderId="17" xfId="0" applyNumberFormat="1" applyFont="1" applyBorder="1" applyAlignment="1">
      <alignment horizontal="center" vertical="center" wrapText="1"/>
    </xf>
    <xf numFmtId="49" fontId="89" fillId="28" borderId="16" xfId="0" applyNumberFormat="1" applyFont="1" applyFill="1" applyBorder="1" applyAlignment="1">
      <alignment horizontal="center" vertical="center" wrapText="1"/>
    </xf>
    <xf numFmtId="0" fontId="61" fillId="28" borderId="17" xfId="0" applyFont="1" applyFill="1" applyBorder="1" applyAlignment="1">
      <alignment horizontal="center" vertical="center" wrapText="1"/>
    </xf>
    <xf numFmtId="4" fontId="115" fillId="28" borderId="16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0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144" fillId="0" borderId="0" xfId="0" applyFont="1" applyAlignment="1">
      <alignment horizontal="center"/>
    </xf>
    <xf numFmtId="0" fontId="145" fillId="0" borderId="0" xfId="0" applyFont="1" applyAlignment="1">
      <alignment horizontal="center"/>
    </xf>
    <xf numFmtId="0" fontId="29" fillId="0" borderId="15" xfId="0" applyFont="1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29" fillId="0" borderId="15" xfId="0" applyFont="1" applyBorder="1" applyAlignment="1">
      <alignment horizontal="center" vertical="top" wrapText="1"/>
    </xf>
    <xf numFmtId="0" fontId="30" fillId="0" borderId="0" xfId="0" applyFont="1" applyAlignment="1">
      <alignment horizontal="center" vertical="top"/>
    </xf>
    <xf numFmtId="0" fontId="33" fillId="0" borderId="0" xfId="0" applyFont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4" fontId="65" fillId="0" borderId="15" xfId="0" applyNumberFormat="1" applyFont="1" applyBorder="1" applyAlignment="1">
      <alignment horizontal="center" vertical="center"/>
    </xf>
    <xf numFmtId="4" fontId="61" fillId="0" borderId="15" xfId="0" applyNumberFormat="1" applyFont="1" applyBorder="1" applyAlignment="1">
      <alignment horizontal="center" vertical="center" wrapText="1"/>
    </xf>
    <xf numFmtId="49" fontId="64" fillId="0" borderId="15" xfId="0" applyNumberFormat="1" applyFont="1" applyBorder="1" applyAlignment="1">
      <alignment horizontal="center" vertical="center" wrapText="1"/>
    </xf>
    <xf numFmtId="0" fontId="61" fillId="0" borderId="15" xfId="0" applyFont="1" applyBorder="1" applyAlignment="1">
      <alignment horizontal="center" vertical="center" wrapText="1"/>
    </xf>
    <xf numFmtId="49" fontId="64" fillId="28" borderId="16" xfId="0" applyNumberFormat="1" applyFont="1" applyFill="1" applyBorder="1" applyAlignment="1">
      <alignment horizontal="center" vertical="center" wrapText="1"/>
    </xf>
    <xf numFmtId="4" fontId="68" fillId="28" borderId="16" xfId="0" applyNumberFormat="1" applyFont="1" applyFill="1" applyBorder="1" applyAlignment="1">
      <alignment horizontal="center" vertical="center" wrapText="1"/>
    </xf>
    <xf numFmtId="49" fontId="64" fillId="0" borderId="16" xfId="0" applyNumberFormat="1" applyFont="1" applyBorder="1" applyAlignment="1">
      <alignment horizontal="center" vertical="center" wrapText="1"/>
    </xf>
    <xf numFmtId="0" fontId="61" fillId="0" borderId="18" xfId="0" applyFont="1" applyBorder="1" applyAlignment="1">
      <alignment horizontal="center" vertical="center" wrapText="1"/>
    </xf>
    <xf numFmtId="0" fontId="61" fillId="0" borderId="17" xfId="0" applyFont="1" applyBorder="1" applyAlignment="1">
      <alignment horizontal="center" vertical="center" wrapText="1"/>
    </xf>
    <xf numFmtId="4" fontId="68" fillId="0" borderId="16" xfId="0" applyNumberFormat="1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71" fillId="0" borderId="15" xfId="0" applyFont="1" applyBorder="1" applyAlignment="1">
      <alignment horizontal="center" vertical="center" wrapText="1"/>
    </xf>
    <xf numFmtId="0" fontId="61" fillId="28" borderId="18" xfId="0" applyFont="1" applyFill="1" applyBorder="1" applyAlignment="1">
      <alignment horizontal="center" vertical="center" wrapText="1"/>
    </xf>
    <xf numFmtId="0" fontId="30" fillId="0" borderId="0" xfId="0" applyFont="1"/>
    <xf numFmtId="4" fontId="60" fillId="0" borderId="15" xfId="0" applyNumberFormat="1" applyFont="1" applyBorder="1" applyAlignment="1">
      <alignment horizontal="center" vertical="center" wrapText="1"/>
    </xf>
    <xf numFmtId="4" fontId="64" fillId="28" borderId="15" xfId="0" applyNumberFormat="1" applyFont="1" applyFill="1" applyBorder="1" applyAlignment="1">
      <alignment horizontal="center" vertical="center" wrapText="1"/>
    </xf>
    <xf numFmtId="4" fontId="65" fillId="28" borderId="15" xfId="0" applyNumberFormat="1" applyFont="1" applyFill="1" applyBorder="1" applyAlignment="1">
      <alignment horizontal="center" vertical="center"/>
    </xf>
    <xf numFmtId="0" fontId="61" fillId="28" borderId="23" xfId="0" applyFont="1" applyFill="1" applyBorder="1"/>
    <xf numFmtId="4" fontId="60" fillId="28" borderId="15" xfId="0" applyNumberFormat="1" applyFont="1" applyFill="1" applyBorder="1" applyAlignment="1">
      <alignment horizontal="center" vertical="center" wrapText="1"/>
    </xf>
    <xf numFmtId="4" fontId="65" fillId="0" borderId="16" xfId="0" applyNumberFormat="1" applyFont="1" applyBorder="1" applyAlignment="1">
      <alignment horizontal="center" vertical="center" wrapText="1"/>
    </xf>
    <xf numFmtId="49" fontId="64" fillId="28" borderId="15" xfId="0" applyNumberFormat="1" applyFont="1" applyFill="1" applyBorder="1" applyAlignment="1">
      <alignment horizontal="center" vertical="center" wrapText="1"/>
    </xf>
    <xf numFmtId="4" fontId="68" fillId="28" borderId="15" xfId="0" applyNumberFormat="1" applyFont="1" applyFill="1" applyBorder="1" applyAlignment="1">
      <alignment horizontal="center" vertical="center" wrapText="1"/>
    </xf>
    <xf numFmtId="4" fontId="65" fillId="28" borderId="16" xfId="0" applyNumberFormat="1" applyFont="1" applyFill="1" applyBorder="1" applyAlignment="1">
      <alignment horizontal="center" vertical="center" wrapText="1"/>
    </xf>
    <xf numFmtId="4" fontId="31" fillId="28" borderId="0" xfId="0" applyNumberFormat="1" applyFont="1" applyFill="1" applyAlignment="1">
      <alignment horizontal="left" vertical="center" wrapText="1"/>
    </xf>
    <xf numFmtId="0" fontId="0" fillId="28" borderId="0" xfId="0" applyFill="1"/>
    <xf numFmtId="0" fontId="0" fillId="28" borderId="0" xfId="0" applyFill="1" applyAlignment="1">
      <alignment horizontal="left" vertical="center" wrapText="1"/>
    </xf>
    <xf numFmtId="0" fontId="30" fillId="0" borderId="0" xfId="39" applyFont="1" applyAlignment="1">
      <alignment vertical="center" wrapText="1"/>
    </xf>
    <xf numFmtId="0" fontId="33" fillId="0" borderId="0" xfId="0" applyFont="1"/>
    <xf numFmtId="0" fontId="61" fillId="0" borderId="15" xfId="0" applyFont="1" applyBorder="1" applyAlignment="1">
      <alignment horizontal="center" vertical="center"/>
    </xf>
    <xf numFmtId="4" fontId="62" fillId="0" borderId="15" xfId="0" applyNumberFormat="1" applyFont="1" applyBorder="1" applyAlignment="1">
      <alignment horizontal="center" vertical="center" wrapText="1"/>
    </xf>
    <xf numFmtId="0" fontId="90" fillId="0" borderId="0" xfId="0" applyFont="1" applyAlignment="1">
      <alignment horizontal="center" vertical="center"/>
    </xf>
    <xf numFmtId="0" fontId="90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76" fillId="0" borderId="0" xfId="35" applyFont="1"/>
    <xf numFmtId="0" fontId="61" fillId="0" borderId="0" xfId="0" applyFont="1"/>
    <xf numFmtId="0" fontId="147" fillId="0" borderId="15" xfId="35" applyFont="1" applyBorder="1" applyAlignment="1">
      <alignment horizontal="center" vertical="top" wrapText="1"/>
    </xf>
    <xf numFmtId="0" fontId="147" fillId="0" borderId="15" xfId="0" applyFont="1" applyBorder="1" applyAlignment="1">
      <alignment horizontal="center" vertical="top" wrapText="1"/>
    </xf>
    <xf numFmtId="0" fontId="147" fillId="0" borderId="15" xfId="0" applyFont="1" applyBorder="1" applyAlignment="1">
      <alignment horizontal="center" vertical="top"/>
    </xf>
    <xf numFmtId="0" fontId="171" fillId="0" borderId="15" xfId="35" applyFont="1" applyBorder="1" applyAlignment="1">
      <alignment horizontal="center" vertical="top" wrapText="1"/>
    </xf>
    <xf numFmtId="0" fontId="148" fillId="0" borderId="0" xfId="35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49" fillId="0" borderId="0" xfId="0" applyFont="1" applyAlignment="1">
      <alignment horizontal="justify" vertical="center"/>
    </xf>
    <xf numFmtId="0" fontId="15" fillId="0" borderId="15" xfId="0" applyFont="1" applyBorder="1" applyAlignment="1">
      <alignment horizontal="center" vertical="top" wrapText="1"/>
    </xf>
    <xf numFmtId="0" fontId="67" fillId="0" borderId="0" xfId="0" applyFont="1"/>
    <xf numFmtId="0" fontId="149" fillId="0" borderId="0" xfId="35" applyFont="1" applyAlignment="1">
      <alignment horizontal="center" vertical="center" wrapText="1"/>
    </xf>
    <xf numFmtId="0" fontId="149" fillId="0" borderId="0" xfId="0" applyFont="1"/>
    <xf numFmtId="49" fontId="64" fillId="0" borderId="19" xfId="0" applyNumberFormat="1" applyFont="1" applyBorder="1" applyAlignment="1">
      <alignment horizontal="left" vertical="center" wrapText="1"/>
    </xf>
    <xf numFmtId="0" fontId="61" fillId="0" borderId="22" xfId="0" applyFont="1" applyBorder="1" applyAlignment="1">
      <alignment horizontal="left" vertical="center" wrapText="1"/>
    </xf>
    <xf numFmtId="49" fontId="30" fillId="0" borderId="19" xfId="0" applyNumberFormat="1" applyFont="1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49" fontId="30" fillId="0" borderId="16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9" fontId="30" fillId="0" borderId="26" xfId="0" applyNumberFormat="1" applyFont="1" applyBorder="1" applyAlignment="1">
      <alignment horizontal="left" wrapText="1"/>
    </xf>
    <xf numFmtId="0" fontId="0" fillId="0" borderId="27" xfId="0" applyBorder="1" applyAlignment="1">
      <alignment horizontal="left" wrapText="1"/>
    </xf>
    <xf numFmtId="49" fontId="30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29" fillId="39" borderId="19" xfId="0" applyNumberFormat="1" applyFont="1" applyFill="1" applyBorder="1" applyAlignment="1">
      <alignment horizontal="center" vertical="center" wrapText="1"/>
    </xf>
    <xf numFmtId="0" fontId="15" fillId="39" borderId="21" xfId="0" applyFont="1" applyFill="1" applyBorder="1" applyAlignment="1">
      <alignment horizontal="center" vertical="center" wrapText="1"/>
    </xf>
    <xf numFmtId="0" fontId="15" fillId="39" borderId="22" xfId="0" applyFont="1" applyFill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49" fontId="30" fillId="0" borderId="19" xfId="0" applyNumberFormat="1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49" fontId="60" fillId="0" borderId="19" xfId="0" applyNumberFormat="1" applyFont="1" applyBorder="1" applyAlignment="1">
      <alignment horizontal="left" vertical="center" wrapText="1"/>
    </xf>
    <xf numFmtId="0" fontId="62" fillId="0" borderId="22" xfId="0" applyFont="1" applyBorder="1" applyAlignment="1">
      <alignment horizontal="left" vertical="center" wrapText="1"/>
    </xf>
    <xf numFmtId="49" fontId="29" fillId="0" borderId="19" xfId="0" applyNumberFormat="1" applyFont="1" applyBorder="1" applyAlignment="1">
      <alignment horizontal="left" vertical="center" wrapText="1"/>
    </xf>
    <xf numFmtId="49" fontId="29" fillId="0" borderId="22" xfId="0" applyNumberFormat="1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49" fontId="30" fillId="0" borderId="22" xfId="0" applyNumberFormat="1" applyFont="1" applyBorder="1" applyAlignment="1">
      <alignment horizontal="left" vertical="center" wrapText="1"/>
    </xf>
    <xf numFmtId="0" fontId="64" fillId="27" borderId="0" xfId="0" applyFont="1" applyFill="1" applyAlignment="1">
      <alignment horizontal="center" vertical="center"/>
    </xf>
    <xf numFmtId="0" fontId="64" fillId="27" borderId="0" xfId="0" applyFont="1" applyFill="1" applyAlignment="1">
      <alignment vertical="center"/>
    </xf>
    <xf numFmtId="0" fontId="64" fillId="0" borderId="0" xfId="39" applyFont="1" applyAlignment="1">
      <alignment vertical="top" wrapText="1"/>
    </xf>
    <xf numFmtId="0" fontId="61" fillId="0" borderId="0" xfId="0" applyFont="1" applyAlignment="1">
      <alignment vertical="top" wrapText="1"/>
    </xf>
    <xf numFmtId="49" fontId="64" fillId="27" borderId="19" xfId="0" applyNumberFormat="1" applyFont="1" applyFill="1" applyBorder="1" applyAlignment="1">
      <alignment horizontal="left" vertical="center" wrapText="1"/>
    </xf>
    <xf numFmtId="0" fontId="61" fillId="27" borderId="22" xfId="0" applyFont="1" applyFill="1" applyBorder="1" applyAlignment="1">
      <alignment horizontal="left" vertical="center" wrapText="1"/>
    </xf>
    <xf numFmtId="49" fontId="29" fillId="35" borderId="19" xfId="0" applyNumberFormat="1" applyFont="1" applyFill="1" applyBorder="1" applyAlignment="1">
      <alignment horizontal="left" vertical="center" wrapText="1"/>
    </xf>
    <xf numFmtId="49" fontId="29" fillId="35" borderId="22" xfId="0" applyNumberFormat="1" applyFont="1" applyFill="1" applyBorder="1" applyAlignment="1">
      <alignment horizontal="left" vertical="center" wrapText="1"/>
    </xf>
    <xf numFmtId="49" fontId="30" fillId="35" borderId="19" xfId="0" applyNumberFormat="1" applyFont="1" applyFill="1" applyBorder="1" applyAlignment="1">
      <alignment horizontal="left" vertical="center" wrapText="1"/>
    </xf>
    <xf numFmtId="0" fontId="0" fillId="35" borderId="22" xfId="0" applyFill="1" applyBorder="1" applyAlignment="1">
      <alignment horizontal="left" vertical="center" wrapText="1"/>
    </xf>
    <xf numFmtId="0" fontId="30" fillId="0" borderId="0" xfId="0" applyFont="1" applyAlignment="1">
      <alignment horizontal="justify" vertical="center"/>
    </xf>
    <xf numFmtId="0" fontId="64" fillId="0" borderId="0" xfId="0" applyFont="1"/>
    <xf numFmtId="49" fontId="30" fillId="39" borderId="19" xfId="0" applyNumberFormat="1" applyFont="1" applyFill="1" applyBorder="1" applyAlignment="1">
      <alignment horizontal="left" vertical="center" wrapText="1"/>
    </xf>
    <xf numFmtId="49" fontId="30" fillId="39" borderId="22" xfId="0" applyNumberFormat="1" applyFont="1" applyFill="1" applyBorder="1" applyAlignment="1">
      <alignment horizontal="left" vertical="center" wrapText="1"/>
    </xf>
    <xf numFmtId="0" fontId="160" fillId="0" borderId="0" xfId="0" applyFont="1" applyAlignment="1">
      <alignment horizontal="justify" vertical="center"/>
    </xf>
    <xf numFmtId="0" fontId="154" fillId="0" borderId="0" xfId="0" applyFont="1"/>
    <xf numFmtId="0" fontId="193" fillId="0" borderId="0" xfId="0" applyFont="1" applyAlignment="1">
      <alignment horizontal="left" vertical="center"/>
    </xf>
    <xf numFmtId="0" fontId="157" fillId="0" borderId="0" xfId="0" applyFont="1" applyAlignment="1">
      <alignment horizontal="center" vertical="center"/>
    </xf>
    <xf numFmtId="0" fontId="107" fillId="0" borderId="0" xfId="35" applyFont="1" applyAlignment="1">
      <alignment horizontal="center" vertical="center"/>
    </xf>
    <xf numFmtId="0" fontId="151" fillId="0" borderId="0" xfId="35" applyFont="1" applyAlignment="1">
      <alignment horizontal="center" vertical="center" wrapText="1"/>
    </xf>
    <xf numFmtId="4" fontId="64" fillId="28" borderId="16" xfId="0" applyNumberFormat="1" applyFont="1" applyFill="1" applyBorder="1" applyAlignment="1">
      <alignment horizontal="center" vertical="center" wrapText="1"/>
    </xf>
    <xf numFmtId="0" fontId="64" fillId="28" borderId="17" xfId="0" applyFont="1" applyFill="1" applyBorder="1" applyAlignment="1">
      <alignment horizontal="center" vertical="center" wrapText="1"/>
    </xf>
    <xf numFmtId="4" fontId="64" fillId="0" borderId="16" xfId="0" applyNumberFormat="1" applyFont="1" applyBorder="1" applyAlignment="1">
      <alignment horizontal="center" vertical="center" wrapText="1"/>
    </xf>
    <xf numFmtId="4" fontId="64" fillId="0" borderId="17" xfId="0" applyNumberFormat="1" applyFont="1" applyBorder="1" applyAlignment="1">
      <alignment horizontal="center" vertical="center" wrapText="1"/>
    </xf>
    <xf numFmtId="0" fontId="71" fillId="0" borderId="17" xfId="0" applyFont="1" applyBorder="1" applyAlignment="1">
      <alignment horizontal="center" vertical="center" wrapText="1"/>
    </xf>
    <xf numFmtId="4" fontId="64" fillId="0" borderId="16" xfId="38" applyNumberFormat="1" applyFont="1" applyFill="1" applyBorder="1" applyAlignment="1" applyProtection="1">
      <alignment horizontal="center" vertical="center" wrapText="1"/>
      <protection locked="0"/>
    </xf>
    <xf numFmtId="4" fontId="64" fillId="0" borderId="16" xfId="38" applyNumberFormat="1" applyFont="1" applyFill="1" applyBorder="1" applyAlignment="1">
      <alignment horizontal="center" vertical="center" wrapText="1"/>
    </xf>
    <xf numFmtId="0" fontId="159" fillId="0" borderId="0" xfId="0" applyFont="1" applyAlignment="1">
      <alignment horizontal="justify" vertical="center"/>
    </xf>
    <xf numFmtId="166" fontId="64" fillId="0" borderId="16" xfId="30" applyNumberFormat="1" applyFont="1" applyBorder="1" applyAlignment="1">
      <alignment horizontal="center" vertical="center" wrapText="1"/>
    </xf>
    <xf numFmtId="4" fontId="80" fillId="29" borderId="23" xfId="0" applyNumberFormat="1" applyFont="1" applyFill="1" applyBorder="1" applyAlignment="1">
      <alignment horizontal="center" vertical="center" wrapText="1"/>
    </xf>
    <xf numFmtId="0" fontId="75" fillId="28" borderId="23" xfId="0" applyFont="1" applyFill="1" applyBorder="1"/>
    <xf numFmtId="0" fontId="30" fillId="0" borderId="15" xfId="0" applyFont="1" applyBorder="1" applyAlignment="1">
      <alignment horizontal="center" vertical="top" wrapText="1"/>
    </xf>
    <xf numFmtId="0" fontId="30" fillId="0" borderId="15" xfId="0" applyFont="1" applyBorder="1" applyAlignment="1">
      <alignment horizontal="center" vertical="top"/>
    </xf>
    <xf numFmtId="4" fontId="99" fillId="29" borderId="23" xfId="0" applyNumberFormat="1" applyFont="1" applyFill="1" applyBorder="1" applyAlignment="1">
      <alignment horizontal="center" vertical="center" wrapText="1"/>
    </xf>
    <xf numFmtId="0" fontId="146" fillId="28" borderId="23" xfId="0" applyFont="1" applyFill="1" applyBorder="1"/>
    <xf numFmtId="49" fontId="30" fillId="0" borderId="17" xfId="0" applyNumberFormat="1" applyFont="1" applyBorder="1" applyAlignment="1">
      <alignment horizontal="center" vertical="center" wrapText="1"/>
    </xf>
    <xf numFmtId="4" fontId="98" fillId="29" borderId="23" xfId="0" applyNumberFormat="1" applyFont="1" applyFill="1" applyBorder="1" applyAlignment="1">
      <alignment horizontal="center" vertical="center" wrapText="1"/>
    </xf>
    <xf numFmtId="0" fontId="94" fillId="0" borderId="23" xfId="0" applyFont="1" applyBorder="1"/>
    <xf numFmtId="0" fontId="33" fillId="0" borderId="17" xfId="0" applyFont="1" applyBorder="1" applyAlignment="1">
      <alignment horizontal="center" vertical="center" wrapText="1"/>
    </xf>
    <xf numFmtId="2" fontId="78" fillId="28" borderId="23" xfId="36" applyNumberFormat="1" applyFont="1" applyFill="1" applyBorder="1" applyAlignment="1">
      <alignment horizontal="center" vertical="top"/>
    </xf>
    <xf numFmtId="0" fontId="61" fillId="0" borderId="0" xfId="0" applyFont="1" applyAlignment="1">
      <alignment horizontal="center" vertical="top"/>
    </xf>
    <xf numFmtId="2" fontId="185" fillId="0" borderId="15" xfId="36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/>
    </xf>
    <xf numFmtId="0" fontId="39" fillId="0" borderId="0" xfId="0" applyFont="1" applyAlignment="1">
      <alignment horizontal="center" vertical="center"/>
    </xf>
    <xf numFmtId="0" fontId="39" fillId="0" borderId="0" xfId="36" applyFont="1" applyAlignment="1">
      <alignment horizontal="center" vertical="center"/>
    </xf>
    <xf numFmtId="0" fontId="10" fillId="0" borderId="0" xfId="0" applyFont="1" applyAlignment="1">
      <alignment vertical="center"/>
    </xf>
    <xf numFmtId="0" fontId="78" fillId="0" borderId="0" xfId="36" applyFont="1">
      <alignment vertical="top"/>
    </xf>
    <xf numFmtId="0" fontId="107" fillId="0" borderId="0" xfId="36" applyFont="1" applyAlignment="1">
      <alignment horizontal="center" vertical="center" wrapText="1"/>
    </xf>
    <xf numFmtId="0" fontId="132" fillId="0" borderId="0" xfId="36" applyFont="1" applyAlignment="1">
      <alignment horizontal="left" vertical="top" wrapText="1"/>
    </xf>
    <xf numFmtId="2" fontId="66" fillId="0" borderId="15" xfId="36" applyNumberFormat="1" applyFont="1" applyFill="1" applyBorder="1" applyAlignment="1">
      <alignment horizontal="center" vertical="center" wrapText="1"/>
    </xf>
    <xf numFmtId="0" fontId="61" fillId="0" borderId="15" xfId="0" applyFont="1" applyBorder="1" applyAlignment="1">
      <alignment horizontal="center"/>
    </xf>
    <xf numFmtId="2" fontId="39" fillId="0" borderId="15" xfId="36" applyNumberFormat="1" applyFont="1" applyFill="1" applyBorder="1" applyAlignment="1">
      <alignment horizontal="center" vertical="center" wrapText="1"/>
    </xf>
    <xf numFmtId="164" fontId="39" fillId="40" borderId="15" xfId="36" applyNumberFormat="1" applyFont="1" applyFill="1" applyBorder="1" applyAlignment="1">
      <alignment horizontal="left" vertical="center" wrapText="1"/>
    </xf>
    <xf numFmtId="164" fontId="10" fillId="40" borderId="15" xfId="0" applyNumberFormat="1" applyFont="1" applyFill="1" applyBorder="1" applyAlignment="1">
      <alignment horizontal="left"/>
    </xf>
    <xf numFmtId="2" fontId="185" fillId="0" borderId="0" xfId="36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2" fontId="39" fillId="39" borderId="15" xfId="36" applyNumberFormat="1" applyFont="1" applyFill="1" applyBorder="1" applyAlignment="1">
      <alignment horizontal="center" vertical="center"/>
    </xf>
    <xf numFmtId="0" fontId="0" fillId="39" borderId="15" xfId="0" applyFill="1" applyBorder="1" applyAlignment="1">
      <alignment horizontal="center"/>
    </xf>
    <xf numFmtId="0" fontId="10" fillId="39" borderId="15" xfId="0" applyFont="1" applyFill="1" applyBorder="1" applyAlignment="1">
      <alignment horizontal="center"/>
    </xf>
    <xf numFmtId="164" fontId="0" fillId="40" borderId="15" xfId="0" applyNumberFormat="1" applyFill="1" applyBorder="1" applyAlignment="1">
      <alignment horizontal="left"/>
    </xf>
    <xf numFmtId="0" fontId="16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39" fillId="0" borderId="0" xfId="36" applyFont="1" applyAlignment="1">
      <alignment horizontal="center"/>
    </xf>
    <xf numFmtId="0" fontId="39" fillId="0" borderId="0" xfId="0" applyFont="1" applyAlignment="1">
      <alignment horizontal="center"/>
    </xf>
    <xf numFmtId="0" fontId="39" fillId="0" borderId="0" xfId="36" applyFont="1" applyAlignment="1">
      <alignment horizontal="center" vertical="top"/>
    </xf>
    <xf numFmtId="0" fontId="10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16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67" fillId="0" borderId="0" xfId="0" applyFont="1" applyAlignment="1">
      <alignment horizontal="center"/>
    </xf>
  </cellXfs>
  <cellStyles count="191">
    <cellStyle name="20% - Акцент1" xfId="46" xr:uid="{00000000-0005-0000-0000-000000000000}"/>
    <cellStyle name="20% - Акцент2" xfId="47" xr:uid="{00000000-0005-0000-0000-000001000000}"/>
    <cellStyle name="20% - Акцент3" xfId="48" xr:uid="{00000000-0005-0000-0000-000002000000}"/>
    <cellStyle name="20% - Акцент4" xfId="49" xr:uid="{00000000-0005-0000-0000-000003000000}"/>
    <cellStyle name="20% - Акцент5" xfId="50" xr:uid="{00000000-0005-0000-0000-000004000000}"/>
    <cellStyle name="20% - Акцент6" xfId="51" xr:uid="{00000000-0005-0000-0000-000005000000}"/>
    <cellStyle name="40% - Акцент1" xfId="52" xr:uid="{00000000-0005-0000-0000-000006000000}"/>
    <cellStyle name="40% - Акцент2" xfId="53" xr:uid="{00000000-0005-0000-0000-000007000000}"/>
    <cellStyle name="40% - Акцент3" xfId="54" xr:uid="{00000000-0005-0000-0000-000008000000}"/>
    <cellStyle name="40% - Акцент4" xfId="55" xr:uid="{00000000-0005-0000-0000-000009000000}"/>
    <cellStyle name="40% - Акцент5" xfId="56" xr:uid="{00000000-0005-0000-0000-00000A000000}"/>
    <cellStyle name="40% - Акцент6" xfId="57" xr:uid="{00000000-0005-0000-0000-00000B000000}"/>
    <cellStyle name="60% - Акцент1" xfId="58" xr:uid="{00000000-0005-0000-0000-00000C000000}"/>
    <cellStyle name="60% - Акцент2" xfId="59" xr:uid="{00000000-0005-0000-0000-00000D000000}"/>
    <cellStyle name="60% - Акцент3" xfId="60" xr:uid="{00000000-0005-0000-0000-00000E000000}"/>
    <cellStyle name="60% - Акцент4" xfId="61" xr:uid="{00000000-0005-0000-0000-00000F000000}"/>
    <cellStyle name="60% - Акцент5" xfId="62" xr:uid="{00000000-0005-0000-0000-000010000000}"/>
    <cellStyle name="60% - Акцент6" xfId="63" xr:uid="{00000000-0005-0000-0000-000011000000}"/>
    <cellStyle name="Excel Built-in Normal" xfId="102" xr:uid="{00000000-0005-0000-0000-000012000000}"/>
    <cellStyle name="Excel Built-in Normal 2" xfId="118" xr:uid="{00000000-0005-0000-0000-000013000000}"/>
    <cellStyle name="Excel Built-in Обычный_УКБ до бюджету 2016р ост" xfId="84" xr:uid="{00000000-0005-0000-0000-000014000000}"/>
    <cellStyle name="Normal_meresha_07" xfId="1" xr:uid="{00000000-0005-0000-0000-000015000000}"/>
    <cellStyle name="TableStyleLight1" xfId="131" xr:uid="{00000000-0005-0000-0000-000016000000}"/>
    <cellStyle name="TableStyleLight1 2" xfId="173" xr:uid="{00000000-0005-0000-0000-000017000000}"/>
    <cellStyle name="Акцент1" xfId="64" xr:uid="{00000000-0005-0000-0000-000018000000}"/>
    <cellStyle name="Акцент2" xfId="65" xr:uid="{00000000-0005-0000-0000-000019000000}"/>
    <cellStyle name="Акцент3" xfId="66" xr:uid="{00000000-0005-0000-0000-00001A000000}"/>
    <cellStyle name="Акцент4" xfId="67" xr:uid="{00000000-0005-0000-0000-00001B000000}"/>
    <cellStyle name="Акцент5" xfId="68" xr:uid="{00000000-0005-0000-0000-00001C000000}"/>
    <cellStyle name="Акцент6" xfId="69" xr:uid="{00000000-0005-0000-0000-00001D000000}"/>
    <cellStyle name="Ввід" xfId="2" xr:uid="{00000000-0005-0000-0000-00001E000000}"/>
    <cellStyle name="Ввід 2" xfId="180" xr:uid="{00000000-0005-0000-0000-00001F000000}"/>
    <cellStyle name="Ввід 3" xfId="103" xr:uid="{00000000-0005-0000-0000-000020000000}"/>
    <cellStyle name="Ввод " xfId="70" xr:uid="{00000000-0005-0000-0000-000021000000}"/>
    <cellStyle name="Вывод" xfId="71" xr:uid="{00000000-0005-0000-0000-000022000000}"/>
    <cellStyle name="Вычисление" xfId="72" xr:uid="{00000000-0005-0000-0000-000023000000}"/>
    <cellStyle name="Гіперпосилання 2" xfId="73" xr:uid="{00000000-0005-0000-0000-000024000000}"/>
    <cellStyle name="Добре" xfId="3" xr:uid="{00000000-0005-0000-0000-000025000000}"/>
    <cellStyle name="Заголовок 1" xfId="4" builtinId="16" customBuiltin="1"/>
    <cellStyle name="Заголовок 1 2" xfId="104" xr:uid="{00000000-0005-0000-0000-000027000000}"/>
    <cellStyle name="Заголовок 2" xfId="5" builtinId="17" customBuiltin="1"/>
    <cellStyle name="Заголовок 2 2" xfId="105" xr:uid="{00000000-0005-0000-0000-000029000000}"/>
    <cellStyle name="Заголовок 3" xfId="6" builtinId="18" customBuiltin="1"/>
    <cellStyle name="Заголовок 3 2" xfId="106" xr:uid="{00000000-0005-0000-0000-00002B000000}"/>
    <cellStyle name="Заголовок 4" xfId="7" builtinId="19" customBuiltin="1"/>
    <cellStyle name="Заголовок 4 2" xfId="107" xr:uid="{00000000-0005-0000-0000-00002D000000}"/>
    <cellStyle name="Звичайний" xfId="0" builtinId="0"/>
    <cellStyle name="Звичайний 10" xfId="8" xr:uid="{00000000-0005-0000-0000-00002E000000}"/>
    <cellStyle name="Звичайний 11" xfId="9" xr:uid="{00000000-0005-0000-0000-00002F000000}"/>
    <cellStyle name="Звичайний 12" xfId="10" xr:uid="{00000000-0005-0000-0000-000030000000}"/>
    <cellStyle name="Звичайний 13" xfId="11" xr:uid="{00000000-0005-0000-0000-000031000000}"/>
    <cellStyle name="Звичайний 14" xfId="12" xr:uid="{00000000-0005-0000-0000-000032000000}"/>
    <cellStyle name="Звичайний 15" xfId="13" xr:uid="{00000000-0005-0000-0000-000033000000}"/>
    <cellStyle name="Звичайний 16" xfId="14" xr:uid="{00000000-0005-0000-0000-000034000000}"/>
    <cellStyle name="Звичайний 17" xfId="15" xr:uid="{00000000-0005-0000-0000-000035000000}"/>
    <cellStyle name="Звичайний 18" xfId="16" xr:uid="{00000000-0005-0000-0000-000036000000}"/>
    <cellStyle name="Звичайний 19" xfId="17" xr:uid="{00000000-0005-0000-0000-000037000000}"/>
    <cellStyle name="Звичайний 2" xfId="18" xr:uid="{00000000-0005-0000-0000-000038000000}"/>
    <cellStyle name="Звичайний 2 2" xfId="19" xr:uid="{00000000-0005-0000-0000-000039000000}"/>
    <cellStyle name="Звичайний 2 2 2" xfId="88" xr:uid="{00000000-0005-0000-0000-00003A000000}"/>
    <cellStyle name="Звичайний 2 3" xfId="94" xr:uid="{00000000-0005-0000-0000-00003B000000}"/>
    <cellStyle name="Звичайний 20" xfId="20" xr:uid="{00000000-0005-0000-0000-00003C000000}"/>
    <cellStyle name="Звичайний 21" xfId="86" xr:uid="{00000000-0005-0000-0000-00003D000000}"/>
    <cellStyle name="Звичайний 21 2" xfId="93" xr:uid="{00000000-0005-0000-0000-00003E000000}"/>
    <cellStyle name="Звичайний 21 2 2" xfId="96" xr:uid="{00000000-0005-0000-0000-00003F000000}"/>
    <cellStyle name="Звичайний 21 2 2 2" xfId="181" xr:uid="{00000000-0005-0000-0000-000040000000}"/>
    <cellStyle name="Звичайний 21 2 3" xfId="98" xr:uid="{00000000-0005-0000-0000-000041000000}"/>
    <cellStyle name="Звичайний 21 2 3 2" xfId="100" xr:uid="{00000000-0005-0000-0000-000042000000}"/>
    <cellStyle name="Звичайний 21 2 3 2 2" xfId="182" xr:uid="{00000000-0005-0000-0000-000043000000}"/>
    <cellStyle name="Звичайний 21 2 3 2 3" xfId="178" xr:uid="{00000000-0005-0000-0000-000044000000}"/>
    <cellStyle name="Звичайний 21 2 3 2 3 2 2 2" xfId="190" xr:uid="{00000000-0005-0000-0000-000045000000}"/>
    <cellStyle name="Звичайний 21 2 4" xfId="160" xr:uid="{00000000-0005-0000-0000-000046000000}"/>
    <cellStyle name="Звичайний 21 3" xfId="113" xr:uid="{00000000-0005-0000-0000-000047000000}"/>
    <cellStyle name="Звичайний 22" xfId="114" xr:uid="{00000000-0005-0000-0000-000048000000}"/>
    <cellStyle name="Звичайний 22 2" xfId="140" xr:uid="{00000000-0005-0000-0000-000049000000}"/>
    <cellStyle name="Звичайний 23" xfId="115" xr:uid="{00000000-0005-0000-0000-00004A000000}"/>
    <cellStyle name="Звичайний 23 2" xfId="141" xr:uid="{00000000-0005-0000-0000-00004B000000}"/>
    <cellStyle name="Звичайний 24" xfId="116" xr:uid="{00000000-0005-0000-0000-00004C000000}"/>
    <cellStyle name="Звичайний 24 2" xfId="142" xr:uid="{00000000-0005-0000-0000-00004D000000}"/>
    <cellStyle name="Звичайний 25" xfId="117" xr:uid="{00000000-0005-0000-0000-00004E000000}"/>
    <cellStyle name="Звичайний 26" xfId="127" xr:uid="{00000000-0005-0000-0000-00004F000000}"/>
    <cellStyle name="Звичайний 27" xfId="132" xr:uid="{00000000-0005-0000-0000-000050000000}"/>
    <cellStyle name="Звичайний 27 2" xfId="145" xr:uid="{00000000-0005-0000-0000-000051000000}"/>
    <cellStyle name="Звичайний 27 2 3" xfId="151" xr:uid="{00000000-0005-0000-0000-000052000000}"/>
    <cellStyle name="Звичайний 27 2 3 2" xfId="152" xr:uid="{00000000-0005-0000-0000-000053000000}"/>
    <cellStyle name="Звичайний 27 2 3 2 2" xfId="162" xr:uid="{00000000-0005-0000-0000-000054000000}"/>
    <cellStyle name="Звичайний 27 2 3 2 2 2" xfId="177" xr:uid="{00000000-0005-0000-0000-000055000000}"/>
    <cellStyle name="Звичайний 27 3" xfId="129" xr:uid="{00000000-0005-0000-0000-000056000000}"/>
    <cellStyle name="Звичайний 27 3 2" xfId="87" xr:uid="{00000000-0005-0000-0000-000057000000}"/>
    <cellStyle name="Звичайний 27 3 2 2" xfId="144" xr:uid="{00000000-0005-0000-0000-000058000000}"/>
    <cellStyle name="Звичайний 27 3 2 3" xfId="156" xr:uid="{00000000-0005-0000-0000-000059000000}"/>
    <cellStyle name="Звичайний 27 3 2 4" xfId="165" xr:uid="{00000000-0005-0000-0000-00005A000000}"/>
    <cellStyle name="Звичайний 27 3 2 4 2" xfId="170" xr:uid="{00000000-0005-0000-0000-00005B000000}"/>
    <cellStyle name="Звичайний 27 3 2 5" xfId="130" xr:uid="{00000000-0005-0000-0000-00005C000000}"/>
    <cellStyle name="Звичайний 27 3 3" xfId="143" xr:uid="{00000000-0005-0000-0000-00005D000000}"/>
    <cellStyle name="Звичайний 27 3 3 2" xfId="135" xr:uid="{00000000-0005-0000-0000-00005E000000}"/>
    <cellStyle name="Звичайний 27 3 3 2 2" xfId="147" xr:uid="{00000000-0005-0000-0000-00005F000000}"/>
    <cellStyle name="Звичайний 27 3 3 2 3" xfId="155" xr:uid="{00000000-0005-0000-0000-000060000000}"/>
    <cellStyle name="Звичайний 27 4 2" xfId="164" xr:uid="{00000000-0005-0000-0000-000061000000}"/>
    <cellStyle name="Звичайний 27 4 2 2" xfId="169" xr:uid="{00000000-0005-0000-0000-000062000000}"/>
    <cellStyle name="Звичайний 27 4 2 2 2" xfId="175" xr:uid="{00000000-0005-0000-0000-000063000000}"/>
    <cellStyle name="Звичайний 27 5" xfId="163" xr:uid="{00000000-0005-0000-0000-000064000000}"/>
    <cellStyle name="Звичайний 27 5 2" xfId="168" xr:uid="{00000000-0005-0000-0000-000065000000}"/>
    <cellStyle name="Звичайний 27 5 2 2" xfId="174" xr:uid="{00000000-0005-0000-0000-000066000000}"/>
    <cellStyle name="Звичайний 28" xfId="136" xr:uid="{00000000-0005-0000-0000-000067000000}"/>
    <cellStyle name="Звичайний 28 2" xfId="148" xr:uid="{00000000-0005-0000-0000-000068000000}"/>
    <cellStyle name="Звичайний 28 3" xfId="154" xr:uid="{00000000-0005-0000-0000-000069000000}"/>
    <cellStyle name="Звичайний 29" xfId="139" xr:uid="{00000000-0005-0000-0000-00006A000000}"/>
    <cellStyle name="Звичайний 29 2" xfId="153" xr:uid="{00000000-0005-0000-0000-00006B000000}"/>
    <cellStyle name="Звичайний 29 2 2" xfId="166" xr:uid="{00000000-0005-0000-0000-00006C000000}"/>
    <cellStyle name="Звичайний 29 2 2 2" xfId="176" xr:uid="{00000000-0005-0000-0000-00006D000000}"/>
    <cellStyle name="Звичайний 3" xfId="21" xr:uid="{00000000-0005-0000-0000-00006E000000}"/>
    <cellStyle name="Звичайний 3 2" xfId="22" xr:uid="{00000000-0005-0000-0000-00006F000000}"/>
    <cellStyle name="Звичайний 3 2 2" xfId="89" xr:uid="{00000000-0005-0000-0000-000070000000}"/>
    <cellStyle name="Звичайний 30" xfId="158" xr:uid="{00000000-0005-0000-0000-000071000000}"/>
    <cellStyle name="Звичайний 30 2" xfId="95" xr:uid="{00000000-0005-0000-0000-000072000000}"/>
    <cellStyle name="Звичайний 30 2 2" xfId="97" xr:uid="{00000000-0005-0000-0000-000073000000}"/>
    <cellStyle name="Звичайний 30 2 3" xfId="99" xr:uid="{00000000-0005-0000-0000-000074000000}"/>
    <cellStyle name="Звичайний 30 2 3 2" xfId="101" xr:uid="{00000000-0005-0000-0000-000075000000}"/>
    <cellStyle name="Звичайний 31" xfId="161" xr:uid="{00000000-0005-0000-0000-000076000000}"/>
    <cellStyle name="Звичайний 31 2" xfId="171" xr:uid="{00000000-0005-0000-0000-000077000000}"/>
    <cellStyle name="Звичайний 31 2 2" xfId="172" xr:uid="{00000000-0005-0000-0000-000078000000}"/>
    <cellStyle name="Звичайний 32" xfId="134" xr:uid="{00000000-0005-0000-0000-000079000000}"/>
    <cellStyle name="Звичайний 32 2" xfId="137" xr:uid="{00000000-0005-0000-0000-00007A000000}"/>
    <cellStyle name="Звичайний 32 2 2" xfId="138" xr:uid="{00000000-0005-0000-0000-00007B000000}"/>
    <cellStyle name="Звичайний 32 2 2 2" xfId="150" xr:uid="{00000000-0005-0000-0000-00007C000000}"/>
    <cellStyle name="Звичайний 32 2 2 3" xfId="157" xr:uid="{00000000-0005-0000-0000-00007D000000}"/>
    <cellStyle name="Звичайний 32 2 2 4" xfId="159" xr:uid="{00000000-0005-0000-0000-00007E000000}"/>
    <cellStyle name="Звичайний 32 2 3" xfId="149" xr:uid="{00000000-0005-0000-0000-00007F000000}"/>
    <cellStyle name="Звичайний 32 3" xfId="146" xr:uid="{00000000-0005-0000-0000-000080000000}"/>
    <cellStyle name="Звичайний 33" xfId="179" xr:uid="{00000000-0005-0000-0000-000081000000}"/>
    <cellStyle name="Звичайний 4" xfId="23" xr:uid="{00000000-0005-0000-0000-000082000000}"/>
    <cellStyle name="Звичайний 4 2" xfId="24" xr:uid="{00000000-0005-0000-0000-000083000000}"/>
    <cellStyle name="Звичайний 4 2 2" xfId="90" xr:uid="{00000000-0005-0000-0000-000084000000}"/>
    <cellStyle name="Звичайний 4 3" xfId="167" xr:uid="{00000000-0005-0000-0000-000085000000}"/>
    <cellStyle name="Звичайний 5" xfId="25" xr:uid="{00000000-0005-0000-0000-000086000000}"/>
    <cellStyle name="Звичайний 6" xfId="26" xr:uid="{00000000-0005-0000-0000-000087000000}"/>
    <cellStyle name="Звичайний 7" xfId="27" xr:uid="{00000000-0005-0000-0000-000088000000}"/>
    <cellStyle name="Звичайний 8" xfId="28" xr:uid="{00000000-0005-0000-0000-000089000000}"/>
    <cellStyle name="Звичайний 9" xfId="29" xr:uid="{00000000-0005-0000-0000-00008A000000}"/>
    <cellStyle name="Звичайний_Додаток _ 3 зм_ни 4575" xfId="30" xr:uid="{00000000-0005-0000-0000-00008B000000}"/>
    <cellStyle name="Зв'язана клітинка" xfId="41" xr:uid="{00000000-0005-0000-0000-00008C000000}"/>
    <cellStyle name="Зв'язана клітинка 2" xfId="183" xr:uid="{00000000-0005-0000-0000-00008D000000}"/>
    <cellStyle name="Зв'язана клітинка 3" xfId="108" xr:uid="{00000000-0005-0000-0000-00008E000000}"/>
    <cellStyle name="Итог" xfId="74" xr:uid="{00000000-0005-0000-0000-00008F000000}"/>
    <cellStyle name="Контрольна клітинка" xfId="31" xr:uid="{00000000-0005-0000-0000-000090000000}"/>
    <cellStyle name="Контрольна клітинка 2" xfId="184" xr:uid="{00000000-0005-0000-0000-000091000000}"/>
    <cellStyle name="Контрольная ячейка" xfId="75" xr:uid="{00000000-0005-0000-0000-000092000000}"/>
    <cellStyle name="Назва" xfId="32" xr:uid="{00000000-0005-0000-0000-000093000000}"/>
    <cellStyle name="Назва 2" xfId="185" xr:uid="{00000000-0005-0000-0000-000094000000}"/>
    <cellStyle name="Назва 3" xfId="109" xr:uid="{00000000-0005-0000-0000-000095000000}"/>
    <cellStyle name="Название" xfId="76" xr:uid="{00000000-0005-0000-0000-000096000000}"/>
    <cellStyle name="Нейтральный" xfId="77" xr:uid="{00000000-0005-0000-0000-000097000000}"/>
    <cellStyle name="Обычный 2" xfId="33" xr:uid="{00000000-0005-0000-0000-000099000000}"/>
    <cellStyle name="Обычный 2 2" xfId="34" xr:uid="{00000000-0005-0000-0000-00009A000000}"/>
    <cellStyle name="Обычный 2 2 2" xfId="91" xr:uid="{00000000-0005-0000-0000-00009B000000}"/>
    <cellStyle name="Обычный 2 2 2 2" xfId="120" xr:uid="{00000000-0005-0000-0000-00009C000000}"/>
    <cellStyle name="Обычный 2 2 3" xfId="128" xr:uid="{00000000-0005-0000-0000-00009D000000}"/>
    <cellStyle name="Обычный 2 3" xfId="110" xr:uid="{00000000-0005-0000-0000-00009E000000}"/>
    <cellStyle name="Обычный 2 3 2" xfId="187" xr:uid="{00000000-0005-0000-0000-00009F000000}"/>
    <cellStyle name="Обычный 2 4" xfId="119" xr:uid="{00000000-0005-0000-0000-0000A0000000}"/>
    <cellStyle name="Обычный 2 5" xfId="186" xr:uid="{00000000-0005-0000-0000-0000A1000000}"/>
    <cellStyle name="Обычный 3" xfId="35" xr:uid="{00000000-0005-0000-0000-0000A2000000}"/>
    <cellStyle name="Обычный 3 2" xfId="121" xr:uid="{00000000-0005-0000-0000-0000A3000000}"/>
    <cellStyle name="Обычный 3 3" xfId="188" xr:uid="{00000000-0005-0000-0000-0000A4000000}"/>
    <cellStyle name="Обычный 3 4" xfId="111" xr:uid="{00000000-0005-0000-0000-0000A5000000}"/>
    <cellStyle name="Обычный 4" xfId="112" xr:uid="{00000000-0005-0000-0000-0000A6000000}"/>
    <cellStyle name="Обычный 4 2" xfId="122" xr:uid="{00000000-0005-0000-0000-0000A7000000}"/>
    <cellStyle name="Обычный 4 3" xfId="85" xr:uid="{00000000-0005-0000-0000-0000A8000000}"/>
    <cellStyle name="Обычный 5" xfId="123" xr:uid="{00000000-0005-0000-0000-0000A9000000}"/>
    <cellStyle name="Обычный 6" xfId="124" xr:uid="{00000000-0005-0000-0000-0000AA000000}"/>
    <cellStyle name="Обычный 7" xfId="125" xr:uid="{00000000-0005-0000-0000-0000AB000000}"/>
    <cellStyle name="Обычный 8" xfId="126" xr:uid="{00000000-0005-0000-0000-0000AC000000}"/>
    <cellStyle name="Обычный_Plan_kapbud_2006 уточн." xfId="36" xr:uid="{00000000-0005-0000-0000-0000AD000000}"/>
    <cellStyle name="Обычный_дод.1" xfId="37" xr:uid="{00000000-0005-0000-0000-0000AE000000}"/>
    <cellStyle name="Обычный_Додаток 2 до бюджету 2000 року" xfId="38" xr:uid="{00000000-0005-0000-0000-0000AF000000}"/>
    <cellStyle name="Обычный_Додаток №1" xfId="39" xr:uid="{00000000-0005-0000-0000-0000B0000000}"/>
    <cellStyle name="Обычный_КАПІТАЛЬНІ  ВКЛАДЕННЯ 2015 2 2" xfId="45" xr:uid="{00000000-0005-0000-0000-0000B1000000}"/>
    <cellStyle name="Обычный_УЖКГ бюджет 2016 Після Ямчука 2" xfId="40" xr:uid="{00000000-0005-0000-0000-0000B2000000}"/>
    <cellStyle name="Обычный_УКБ до бюджету 2016р ост 2" xfId="92" xr:uid="{00000000-0005-0000-0000-0000B3000000}"/>
    <cellStyle name="Плохой" xfId="78" xr:uid="{00000000-0005-0000-0000-0000B4000000}"/>
    <cellStyle name="Пояснение" xfId="79" xr:uid="{00000000-0005-0000-0000-0000B5000000}"/>
    <cellStyle name="Примечание" xfId="80" xr:uid="{00000000-0005-0000-0000-0000B6000000}"/>
    <cellStyle name="Связанная ячейка" xfId="81" xr:uid="{00000000-0005-0000-0000-0000B7000000}"/>
    <cellStyle name="Середній" xfId="42" xr:uid="{00000000-0005-0000-0000-0000B8000000}"/>
    <cellStyle name="Стиль 1" xfId="43" xr:uid="{00000000-0005-0000-0000-0000B9000000}"/>
    <cellStyle name="Текст попередження" xfId="44" xr:uid="{00000000-0005-0000-0000-0000BA000000}"/>
    <cellStyle name="Текст попередження 2" xfId="189" xr:uid="{00000000-0005-0000-0000-0000BB000000}"/>
    <cellStyle name="Текст предупреждения" xfId="82" xr:uid="{00000000-0005-0000-0000-0000BC000000}"/>
    <cellStyle name="Фінансовий 2" xfId="133" xr:uid="{00000000-0005-0000-0000-0000BD000000}"/>
    <cellStyle name="Хороший" xfId="83" xr:uid="{00000000-0005-0000-0000-0000BE000000}"/>
  </cellStyles>
  <dxfs count="0"/>
  <tableStyles count="0" defaultTableStyle="TableStyleMedium2" defaultPivotStyle="PivotStyleLight16"/>
  <colors>
    <mruColors>
      <color rgb="FF00FFCC"/>
      <color rgb="FFCCFF99"/>
      <color rgb="FFCCCCFF"/>
      <color rgb="FFFFAFAF"/>
      <color rgb="FFFFABAB"/>
      <color rgb="FFFFCCCC"/>
      <color rgb="FF66FFCC"/>
      <color rgb="FFFFFF99"/>
      <color rgb="FFFFCC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7"/>
  <sheetViews>
    <sheetView view="pageBreakPreview" topLeftCell="A119" zoomScaleNormal="100" zoomScaleSheetLayoutView="100" workbookViewId="0">
      <selection activeCell="A152" sqref="A152:XFD152"/>
    </sheetView>
  </sheetViews>
  <sheetFormatPr defaultColWidth="6.85546875" defaultRowHeight="12.75" x14ac:dyDescent="0.2"/>
  <cols>
    <col min="1" max="1" width="10.140625" style="104" customWidth="1"/>
    <col min="2" max="2" width="40.42578125" style="104" customWidth="1"/>
    <col min="3" max="4" width="17.28515625" style="104" customWidth="1"/>
    <col min="5" max="5" width="15.7109375" style="104" customWidth="1"/>
    <col min="6" max="6" width="14.5703125" style="104" customWidth="1"/>
    <col min="7" max="10" width="10.85546875" style="104" bestFit="1" customWidth="1"/>
    <col min="11" max="252" width="7.85546875" style="104" customWidth="1"/>
    <col min="253" max="16384" width="6.85546875" style="104"/>
  </cols>
  <sheetData>
    <row r="1" spans="1:7" ht="15.75" x14ac:dyDescent="0.2">
      <c r="A1" s="647"/>
      <c r="B1" s="647"/>
      <c r="C1" s="647"/>
      <c r="D1" s="697" t="s">
        <v>56</v>
      </c>
      <c r="E1" s="698"/>
      <c r="F1" s="698"/>
      <c r="G1" s="698"/>
    </row>
    <row r="2" spans="1:7" ht="15.75" x14ac:dyDescent="0.2">
      <c r="A2" s="647"/>
      <c r="B2" s="647"/>
      <c r="C2" s="648"/>
      <c r="D2" s="697" t="s">
        <v>1313</v>
      </c>
      <c r="E2" s="699"/>
      <c r="F2" s="699"/>
      <c r="G2" s="699"/>
    </row>
    <row r="3" spans="1:7" ht="6" hidden="1" customHeight="1" x14ac:dyDescent="0.2">
      <c r="A3" s="647"/>
      <c r="B3" s="647"/>
      <c r="C3" s="648"/>
      <c r="D3" s="697"/>
      <c r="E3" s="699"/>
      <c r="F3" s="699"/>
      <c r="G3" s="699"/>
    </row>
    <row r="4" spans="1:7" ht="12.75" customHeight="1" x14ac:dyDescent="0.2">
      <c r="A4" s="700"/>
      <c r="B4" s="700"/>
      <c r="C4" s="700"/>
      <c r="D4" s="700"/>
      <c r="E4" s="700"/>
      <c r="F4" s="647"/>
      <c r="G4" s="647"/>
    </row>
    <row r="5" spans="1:7" ht="20.25" x14ac:dyDescent="0.2">
      <c r="A5" s="700" t="s">
        <v>1118</v>
      </c>
      <c r="B5" s="701"/>
      <c r="C5" s="701"/>
      <c r="D5" s="701"/>
      <c r="E5" s="701"/>
      <c r="F5" s="701"/>
      <c r="G5" s="647"/>
    </row>
    <row r="6" spans="1:7" ht="20.25" x14ac:dyDescent="0.2">
      <c r="A6" s="700" t="s">
        <v>1580</v>
      </c>
      <c r="B6" s="701"/>
      <c r="C6" s="701"/>
      <c r="D6" s="701"/>
      <c r="E6" s="701"/>
      <c r="F6" s="701"/>
      <c r="G6" s="647"/>
    </row>
    <row r="7" spans="1:7" ht="20.25" x14ac:dyDescent="0.2">
      <c r="A7" s="649"/>
      <c r="B7" s="308"/>
      <c r="C7" s="308"/>
      <c r="D7" s="308"/>
      <c r="E7" s="308"/>
      <c r="F7" s="308"/>
      <c r="G7" s="647"/>
    </row>
    <row r="8" spans="1:7" ht="20.25" x14ac:dyDescent="0.2">
      <c r="A8" s="702">
        <v>2256400000</v>
      </c>
      <c r="B8" s="703"/>
      <c r="C8" s="703"/>
      <c r="D8" s="703"/>
      <c r="E8" s="703"/>
      <c r="F8" s="703"/>
      <c r="G8" s="647"/>
    </row>
    <row r="9" spans="1:7" ht="15.75" x14ac:dyDescent="0.2">
      <c r="A9" s="704" t="s">
        <v>490</v>
      </c>
      <c r="B9" s="705"/>
      <c r="C9" s="705"/>
      <c r="D9" s="705"/>
      <c r="E9" s="705"/>
      <c r="F9" s="705"/>
      <c r="G9" s="647"/>
    </row>
    <row r="10" spans="1:7" ht="20.25" x14ac:dyDescent="0.2">
      <c r="A10" s="649"/>
      <c r="B10" s="495"/>
      <c r="C10" s="495"/>
      <c r="D10" s="495"/>
      <c r="E10" s="495"/>
      <c r="F10" s="495"/>
      <c r="G10" s="647"/>
    </row>
    <row r="11" spans="1:7" ht="13.5" thickBot="1" x14ac:dyDescent="0.25">
      <c r="A11" s="647"/>
      <c r="B11" s="650"/>
      <c r="C11" s="650"/>
      <c r="D11" s="650"/>
      <c r="E11" s="650"/>
      <c r="F11" s="651" t="s">
        <v>404</v>
      </c>
      <c r="G11" s="647"/>
    </row>
    <row r="12" spans="1:7" ht="14.25" thickTop="1" thickBot="1" x14ac:dyDescent="0.25">
      <c r="A12" s="706" t="s">
        <v>57</v>
      </c>
      <c r="B12" s="706" t="s">
        <v>1581</v>
      </c>
      <c r="C12" s="706" t="s">
        <v>383</v>
      </c>
      <c r="D12" s="706" t="s">
        <v>12</v>
      </c>
      <c r="E12" s="706" t="s">
        <v>52</v>
      </c>
      <c r="F12" s="706"/>
      <c r="G12" s="652"/>
    </row>
    <row r="13" spans="1:7" ht="39.75" thickTop="1" thickBot="1" x14ac:dyDescent="0.3">
      <c r="A13" s="706"/>
      <c r="B13" s="706"/>
      <c r="C13" s="706"/>
      <c r="D13" s="706"/>
      <c r="E13" s="653" t="s">
        <v>384</v>
      </c>
      <c r="F13" s="653" t="s">
        <v>426</v>
      </c>
      <c r="G13" s="654"/>
    </row>
    <row r="14" spans="1:7" ht="16.5" thickTop="1" thickBot="1" x14ac:dyDescent="0.3">
      <c r="A14" s="653">
        <v>1</v>
      </c>
      <c r="B14" s="653">
        <v>2</v>
      </c>
      <c r="C14" s="653">
        <v>3</v>
      </c>
      <c r="D14" s="653">
        <v>4</v>
      </c>
      <c r="E14" s="653">
        <v>5</v>
      </c>
      <c r="F14" s="653">
        <v>6</v>
      </c>
      <c r="G14" s="654"/>
    </row>
    <row r="15" spans="1:7" ht="25.5" customHeight="1" thickTop="1" thickBot="1" x14ac:dyDescent="0.25">
      <c r="A15" s="679">
        <v>10000000</v>
      </c>
      <c r="B15" s="679" t="s">
        <v>58</v>
      </c>
      <c r="C15" s="680">
        <f t="shared" ref="C15:C20" si="0">SUM(D15,E15)</f>
        <v>2909130100</v>
      </c>
      <c r="D15" s="680">
        <f>SUM(D16,D32,D40,D61,D26)</f>
        <v>2907930100</v>
      </c>
      <c r="E15" s="680">
        <f>SUM(E16,E32,E40,E61,E26)</f>
        <v>1200000</v>
      </c>
      <c r="F15" s="680">
        <f>SUM(F16,F32,F40,F61,F26)</f>
        <v>0</v>
      </c>
      <c r="G15" s="106"/>
    </row>
    <row r="16" spans="1:7" ht="31.7" customHeight="1" thickTop="1" thickBot="1" x14ac:dyDescent="0.25">
      <c r="A16" s="653">
        <v>11000000</v>
      </c>
      <c r="B16" s="653" t="s">
        <v>59</v>
      </c>
      <c r="C16" s="655">
        <f>SUM(D16,E16)</f>
        <v>1666585000</v>
      </c>
      <c r="D16" s="655">
        <f>SUM(D17,D24)</f>
        <v>1666585000</v>
      </c>
      <c r="E16" s="375"/>
      <c r="F16" s="375"/>
      <c r="G16" s="107"/>
    </row>
    <row r="17" spans="1:7" ht="24.75" customHeight="1" thickTop="1" thickBot="1" x14ac:dyDescent="0.25">
      <c r="A17" s="656">
        <v>11010000</v>
      </c>
      <c r="B17" s="657" t="s">
        <v>60</v>
      </c>
      <c r="C17" s="658">
        <f t="shared" si="0"/>
        <v>1664885000</v>
      </c>
      <c r="D17" s="658">
        <f>SUM(D18:D23)</f>
        <v>1664885000</v>
      </c>
      <c r="E17" s="376"/>
      <c r="F17" s="376"/>
      <c r="G17" s="107"/>
    </row>
    <row r="18" spans="1:7" ht="39.75" thickTop="1" thickBot="1" x14ac:dyDescent="0.25">
      <c r="A18" s="659">
        <v>11010100</v>
      </c>
      <c r="B18" s="660" t="s">
        <v>61</v>
      </c>
      <c r="C18" s="655">
        <f t="shared" si="0"/>
        <v>1547180000</v>
      </c>
      <c r="D18" s="661">
        <v>1547180000</v>
      </c>
      <c r="E18" s="379"/>
      <c r="F18" s="379"/>
      <c r="G18" s="107"/>
    </row>
    <row r="19" spans="1:7" ht="65.25" hidden="1" thickTop="1" thickBot="1" x14ac:dyDescent="0.25">
      <c r="A19" s="377">
        <v>11010200</v>
      </c>
      <c r="B19" s="378" t="s">
        <v>62</v>
      </c>
      <c r="C19" s="375">
        <f t="shared" si="0"/>
        <v>0</v>
      </c>
      <c r="D19" s="379">
        <v>0</v>
      </c>
      <c r="E19" s="379"/>
      <c r="F19" s="379"/>
      <c r="G19" s="107"/>
    </row>
    <row r="20" spans="1:7" ht="39.75" thickTop="1" thickBot="1" x14ac:dyDescent="0.25">
      <c r="A20" s="659">
        <v>11010400</v>
      </c>
      <c r="B20" s="660" t="s">
        <v>63</v>
      </c>
      <c r="C20" s="655">
        <f t="shared" si="0"/>
        <v>60665000</v>
      </c>
      <c r="D20" s="661">
        <v>60665000</v>
      </c>
      <c r="E20" s="379"/>
      <c r="F20" s="379"/>
      <c r="G20" s="107"/>
    </row>
    <row r="21" spans="1:7" ht="39.75" thickTop="1" thickBot="1" x14ac:dyDescent="0.3">
      <c r="A21" s="659">
        <v>11010500</v>
      </c>
      <c r="B21" s="660" t="s">
        <v>64</v>
      </c>
      <c r="C21" s="655">
        <f t="shared" ref="C21:C106" si="1">SUM(D21,E21)</f>
        <v>56355000</v>
      </c>
      <c r="D21" s="661">
        <v>56355000</v>
      </c>
      <c r="E21" s="379"/>
      <c r="F21" s="379"/>
      <c r="G21" s="105"/>
    </row>
    <row r="22" spans="1:7" ht="27" thickTop="1" thickBot="1" x14ac:dyDescent="0.3">
      <c r="A22" s="659">
        <v>11011200</v>
      </c>
      <c r="B22" s="660" t="s">
        <v>1582</v>
      </c>
      <c r="C22" s="655">
        <f t="shared" si="1"/>
        <v>645000</v>
      </c>
      <c r="D22" s="661">
        <v>645000</v>
      </c>
      <c r="E22" s="379"/>
      <c r="F22" s="379"/>
      <c r="G22" s="105"/>
    </row>
    <row r="23" spans="1:7" ht="39.75" thickTop="1" thickBot="1" x14ac:dyDescent="0.3">
      <c r="A23" s="659">
        <v>11011300</v>
      </c>
      <c r="B23" s="660" t="s">
        <v>1583</v>
      </c>
      <c r="C23" s="655">
        <f t="shared" si="1"/>
        <v>40000</v>
      </c>
      <c r="D23" s="661">
        <v>40000</v>
      </c>
      <c r="E23" s="379"/>
      <c r="F23" s="379"/>
      <c r="G23" s="105"/>
    </row>
    <row r="24" spans="1:7" ht="28.5" customHeight="1" thickTop="1" thickBot="1" x14ac:dyDescent="0.25">
      <c r="A24" s="656">
        <v>11020000</v>
      </c>
      <c r="B24" s="657" t="s">
        <v>65</v>
      </c>
      <c r="C24" s="658">
        <f>SUM(D24,E24)</f>
        <v>1700000</v>
      </c>
      <c r="D24" s="658">
        <f>D25</f>
        <v>1700000</v>
      </c>
      <c r="E24" s="376"/>
      <c r="F24" s="376"/>
      <c r="G24" s="106"/>
    </row>
    <row r="25" spans="1:7" ht="27" thickTop="1" thickBot="1" x14ac:dyDescent="0.3">
      <c r="A25" s="659">
        <v>11020200</v>
      </c>
      <c r="B25" s="662" t="s">
        <v>66</v>
      </c>
      <c r="C25" s="655">
        <f>SUM(D25,E25)</f>
        <v>1700000</v>
      </c>
      <c r="D25" s="661">
        <v>1700000</v>
      </c>
      <c r="E25" s="379"/>
      <c r="F25" s="379"/>
      <c r="G25" s="105"/>
    </row>
    <row r="26" spans="1:7" ht="27" thickTop="1" thickBot="1" x14ac:dyDescent="0.3">
      <c r="A26" s="653">
        <v>13000000</v>
      </c>
      <c r="B26" s="663" t="s">
        <v>527</v>
      </c>
      <c r="C26" s="655">
        <f>D26+E26</f>
        <v>1000000</v>
      </c>
      <c r="D26" s="655">
        <f>SUM(D27,D30)</f>
        <v>1000000</v>
      </c>
      <c r="E26" s="379"/>
      <c r="F26" s="379"/>
      <c r="G26" s="105"/>
    </row>
    <row r="27" spans="1:7" ht="28.5" thickTop="1" thickBot="1" x14ac:dyDescent="0.3">
      <c r="A27" s="656">
        <v>13010000</v>
      </c>
      <c r="B27" s="664" t="s">
        <v>528</v>
      </c>
      <c r="C27" s="658">
        <f>D27+E27</f>
        <v>985000</v>
      </c>
      <c r="D27" s="658">
        <f>SUM(D28:D29)</f>
        <v>985000</v>
      </c>
      <c r="E27" s="376"/>
      <c r="F27" s="376"/>
      <c r="G27" s="105"/>
    </row>
    <row r="28" spans="1:7" ht="52.5" thickTop="1" thickBot="1" x14ac:dyDescent="0.3">
      <c r="A28" s="659">
        <v>13010100</v>
      </c>
      <c r="B28" s="665" t="s">
        <v>1584</v>
      </c>
      <c r="C28" s="655">
        <f t="shared" ref="C28:C32" si="2">D28+E28</f>
        <v>450000</v>
      </c>
      <c r="D28" s="661">
        <v>450000</v>
      </c>
      <c r="E28" s="379"/>
      <c r="F28" s="379"/>
      <c r="G28" s="105"/>
    </row>
    <row r="29" spans="1:7" ht="65.25" thickTop="1" thickBot="1" x14ac:dyDescent="0.3">
      <c r="A29" s="659">
        <v>13010200</v>
      </c>
      <c r="B29" s="665" t="s">
        <v>529</v>
      </c>
      <c r="C29" s="655">
        <f t="shared" si="2"/>
        <v>535000</v>
      </c>
      <c r="D29" s="661">
        <v>535000</v>
      </c>
      <c r="E29" s="379"/>
      <c r="F29" s="379"/>
      <c r="G29" s="105"/>
    </row>
    <row r="30" spans="1:7" ht="16.5" thickTop="1" thickBot="1" x14ac:dyDescent="0.3">
      <c r="A30" s="656">
        <v>13030000</v>
      </c>
      <c r="B30" s="666" t="s">
        <v>530</v>
      </c>
      <c r="C30" s="658">
        <f>D30+E30</f>
        <v>15000</v>
      </c>
      <c r="D30" s="658">
        <f>SUM(D31)</f>
        <v>15000</v>
      </c>
      <c r="E30" s="376"/>
      <c r="F30" s="376"/>
      <c r="G30" s="105"/>
    </row>
    <row r="31" spans="1:7" ht="39.75" thickTop="1" thickBot="1" x14ac:dyDescent="0.3">
      <c r="A31" s="659">
        <v>13030100</v>
      </c>
      <c r="B31" s="665" t="s">
        <v>531</v>
      </c>
      <c r="C31" s="655">
        <f t="shared" si="2"/>
        <v>15000</v>
      </c>
      <c r="D31" s="661">
        <v>15000</v>
      </c>
      <c r="E31" s="379"/>
      <c r="F31" s="379"/>
      <c r="G31" s="105"/>
    </row>
    <row r="32" spans="1:7" ht="26.45" customHeight="1" thickTop="1" thickBot="1" x14ac:dyDescent="0.3">
      <c r="A32" s="653">
        <v>14000000</v>
      </c>
      <c r="B32" s="663" t="s">
        <v>532</v>
      </c>
      <c r="C32" s="655">
        <f t="shared" si="2"/>
        <v>385215000</v>
      </c>
      <c r="D32" s="655">
        <f>SUM(D33,D35,D37)</f>
        <v>385215000</v>
      </c>
      <c r="E32" s="375"/>
      <c r="F32" s="379"/>
      <c r="G32" s="105"/>
    </row>
    <row r="33" spans="1:7" ht="30" customHeight="1" thickTop="1" thickBot="1" x14ac:dyDescent="0.3">
      <c r="A33" s="656">
        <v>14020000</v>
      </c>
      <c r="B33" s="664" t="s">
        <v>623</v>
      </c>
      <c r="C33" s="658">
        <f>SUM(D33,E33)</f>
        <v>21715000</v>
      </c>
      <c r="D33" s="658">
        <f>SUM(D34,E34)</f>
        <v>21715000</v>
      </c>
      <c r="E33" s="376"/>
      <c r="F33" s="382"/>
      <c r="G33" s="105"/>
    </row>
    <row r="34" spans="1:7" ht="16.5" thickTop="1" thickBot="1" x14ac:dyDescent="0.3">
      <c r="A34" s="659">
        <v>14021900</v>
      </c>
      <c r="B34" s="662" t="s">
        <v>622</v>
      </c>
      <c r="C34" s="661">
        <f>SUM(D34,E34)</f>
        <v>21715000</v>
      </c>
      <c r="D34" s="661">
        <v>21715000</v>
      </c>
      <c r="E34" s="375"/>
      <c r="F34" s="379"/>
      <c r="G34" s="105"/>
    </row>
    <row r="35" spans="1:7" ht="42" thickTop="1" thickBot="1" x14ac:dyDescent="0.3">
      <c r="A35" s="656">
        <v>14030000</v>
      </c>
      <c r="B35" s="664" t="s">
        <v>624</v>
      </c>
      <c r="C35" s="658">
        <f>SUM(D35,E35)</f>
        <v>73500000</v>
      </c>
      <c r="D35" s="658">
        <f>SUM(D36,E36)</f>
        <v>73500000</v>
      </c>
      <c r="E35" s="376"/>
      <c r="F35" s="382"/>
      <c r="G35" s="105"/>
    </row>
    <row r="36" spans="1:7" ht="16.5" thickTop="1" thickBot="1" x14ac:dyDescent="0.3">
      <c r="A36" s="659">
        <v>14031900</v>
      </c>
      <c r="B36" s="662" t="s">
        <v>622</v>
      </c>
      <c r="C36" s="661">
        <f>SUM(D36,E36)</f>
        <v>73500000</v>
      </c>
      <c r="D36" s="661">
        <v>73500000</v>
      </c>
      <c r="E36" s="375"/>
      <c r="F36" s="379"/>
      <c r="G36" s="105"/>
    </row>
    <row r="37" spans="1:7" ht="42" thickTop="1" thickBot="1" x14ac:dyDescent="0.3">
      <c r="A37" s="656">
        <v>14040000</v>
      </c>
      <c r="B37" s="664" t="s">
        <v>1219</v>
      </c>
      <c r="C37" s="658">
        <f>SUM(C38:C39)</f>
        <v>290000000</v>
      </c>
      <c r="D37" s="658">
        <f>SUM(D38:D39)</f>
        <v>290000000</v>
      </c>
      <c r="E37" s="376"/>
      <c r="F37" s="382"/>
      <c r="G37" s="105"/>
    </row>
    <row r="38" spans="1:7" ht="103.5" thickTop="1" thickBot="1" x14ac:dyDescent="0.25">
      <c r="A38" s="659">
        <v>14040100</v>
      </c>
      <c r="B38" s="662" t="s">
        <v>1239</v>
      </c>
      <c r="C38" s="661">
        <f>SUM(D38,E38)</f>
        <v>190250115</v>
      </c>
      <c r="D38" s="661">
        <v>190250115</v>
      </c>
      <c r="E38" s="375"/>
      <c r="F38" s="379"/>
      <c r="G38" s="108"/>
    </row>
    <row r="39" spans="1:7" ht="65.25" thickTop="1" thickBot="1" x14ac:dyDescent="0.25">
      <c r="A39" s="659">
        <v>14040200</v>
      </c>
      <c r="B39" s="662" t="s">
        <v>1218</v>
      </c>
      <c r="C39" s="661">
        <f>SUM(D39,E39)</f>
        <v>99749885</v>
      </c>
      <c r="D39" s="661">
        <v>99749885</v>
      </c>
      <c r="E39" s="375"/>
      <c r="F39" s="379"/>
      <c r="G39" s="108"/>
    </row>
    <row r="40" spans="1:7" ht="29.25" customHeight="1" thickTop="1" thickBot="1" x14ac:dyDescent="0.3">
      <c r="A40" s="653">
        <v>18000000</v>
      </c>
      <c r="B40" s="653" t="s">
        <v>67</v>
      </c>
      <c r="C40" s="655">
        <f t="shared" si="1"/>
        <v>855130100</v>
      </c>
      <c r="D40" s="655">
        <f>SUM(D41,D54,D57,D52)</f>
        <v>855130100</v>
      </c>
      <c r="E40" s="375"/>
      <c r="F40" s="375"/>
      <c r="G40" s="105"/>
    </row>
    <row r="41" spans="1:7" ht="16.5" thickTop="1" thickBot="1" x14ac:dyDescent="0.3">
      <c r="A41" s="656">
        <v>18010000</v>
      </c>
      <c r="B41" s="664" t="s">
        <v>68</v>
      </c>
      <c r="C41" s="658">
        <f>SUM(D41,E41)</f>
        <v>302215000</v>
      </c>
      <c r="D41" s="658">
        <f>SUM(D42:D51)</f>
        <v>302215000</v>
      </c>
      <c r="E41" s="376"/>
      <c r="F41" s="376"/>
      <c r="G41" s="105"/>
    </row>
    <row r="42" spans="1:7" ht="52.5" thickTop="1" thickBot="1" x14ac:dyDescent="0.3">
      <c r="A42" s="659">
        <v>18010100</v>
      </c>
      <c r="B42" s="662" t="s">
        <v>69</v>
      </c>
      <c r="C42" s="655">
        <f t="shared" si="1"/>
        <v>310500</v>
      </c>
      <c r="D42" s="661">
        <v>310500</v>
      </c>
      <c r="E42" s="379"/>
      <c r="F42" s="379"/>
      <c r="G42" s="105"/>
    </row>
    <row r="43" spans="1:7" ht="52.5" thickTop="1" thickBot="1" x14ac:dyDescent="0.3">
      <c r="A43" s="659">
        <v>18010200</v>
      </c>
      <c r="B43" s="662" t="s">
        <v>70</v>
      </c>
      <c r="C43" s="655">
        <f t="shared" si="1"/>
        <v>20055000</v>
      </c>
      <c r="D43" s="661">
        <v>20055000</v>
      </c>
      <c r="E43" s="379"/>
      <c r="F43" s="379"/>
      <c r="G43" s="105"/>
    </row>
    <row r="44" spans="1:7" ht="52.5" thickTop="1" thickBot="1" x14ac:dyDescent="0.3">
      <c r="A44" s="659">
        <v>18010300</v>
      </c>
      <c r="B44" s="662" t="s">
        <v>71</v>
      </c>
      <c r="C44" s="655">
        <f t="shared" si="1"/>
        <v>10050600</v>
      </c>
      <c r="D44" s="661">
        <v>10050600</v>
      </c>
      <c r="E44" s="379"/>
      <c r="F44" s="379"/>
      <c r="G44" s="105"/>
    </row>
    <row r="45" spans="1:7" ht="52.5" thickTop="1" thickBot="1" x14ac:dyDescent="0.3">
      <c r="A45" s="659">
        <v>18010400</v>
      </c>
      <c r="B45" s="662" t="s">
        <v>72</v>
      </c>
      <c r="C45" s="655">
        <f t="shared" si="1"/>
        <v>38083900</v>
      </c>
      <c r="D45" s="661">
        <v>38083900</v>
      </c>
      <c r="E45" s="379"/>
      <c r="F45" s="379"/>
      <c r="G45" s="105"/>
    </row>
    <row r="46" spans="1:7" ht="16.5" thickTop="1" thickBot="1" x14ac:dyDescent="0.3">
      <c r="A46" s="659">
        <v>18010500</v>
      </c>
      <c r="B46" s="662" t="s">
        <v>73</v>
      </c>
      <c r="C46" s="655">
        <f t="shared" si="1"/>
        <v>40250000</v>
      </c>
      <c r="D46" s="661">
        <v>40250000</v>
      </c>
      <c r="E46" s="379"/>
      <c r="F46" s="379"/>
      <c r="G46" s="105"/>
    </row>
    <row r="47" spans="1:7" ht="16.5" thickTop="1" thickBot="1" x14ac:dyDescent="0.3">
      <c r="A47" s="659">
        <v>18010600</v>
      </c>
      <c r="B47" s="662" t="s">
        <v>74</v>
      </c>
      <c r="C47" s="655">
        <f t="shared" si="1"/>
        <v>145650800</v>
      </c>
      <c r="D47" s="661">
        <v>145650800</v>
      </c>
      <c r="E47" s="379"/>
      <c r="F47" s="379"/>
      <c r="G47" s="105"/>
    </row>
    <row r="48" spans="1:7" ht="16.5" thickTop="1" thickBot="1" x14ac:dyDescent="0.3">
      <c r="A48" s="659">
        <v>18010700</v>
      </c>
      <c r="B48" s="662" t="s">
        <v>75</v>
      </c>
      <c r="C48" s="655">
        <f t="shared" si="1"/>
        <v>3500000</v>
      </c>
      <c r="D48" s="661">
        <v>3500000</v>
      </c>
      <c r="E48" s="379"/>
      <c r="F48" s="379"/>
      <c r="G48" s="105"/>
    </row>
    <row r="49" spans="1:7" ht="16.5" thickTop="1" thickBot="1" x14ac:dyDescent="0.3">
      <c r="A49" s="659">
        <v>18010900</v>
      </c>
      <c r="B49" s="662" t="s">
        <v>76</v>
      </c>
      <c r="C49" s="655">
        <f t="shared" si="1"/>
        <v>42814200</v>
      </c>
      <c r="D49" s="661">
        <v>42814200</v>
      </c>
      <c r="E49" s="379"/>
      <c r="F49" s="379"/>
      <c r="G49" s="105"/>
    </row>
    <row r="50" spans="1:7" ht="15.75" thickTop="1" thickBot="1" x14ac:dyDescent="0.25">
      <c r="A50" s="659">
        <v>18011000</v>
      </c>
      <c r="B50" s="662" t="s">
        <v>77</v>
      </c>
      <c r="C50" s="655">
        <f t="shared" si="1"/>
        <v>950000</v>
      </c>
      <c r="D50" s="661">
        <v>950000</v>
      </c>
      <c r="E50" s="379"/>
      <c r="F50" s="379"/>
      <c r="G50" s="106"/>
    </row>
    <row r="51" spans="1:7" ht="16.5" thickTop="1" thickBot="1" x14ac:dyDescent="0.3">
      <c r="A51" s="659">
        <v>18011100</v>
      </c>
      <c r="B51" s="662" t="s">
        <v>78</v>
      </c>
      <c r="C51" s="655">
        <f t="shared" si="1"/>
        <v>550000</v>
      </c>
      <c r="D51" s="661">
        <v>550000</v>
      </c>
      <c r="E51" s="379"/>
      <c r="F51" s="379"/>
      <c r="G51" s="105"/>
    </row>
    <row r="52" spans="1:7" ht="28.5" thickTop="1" thickBot="1" x14ac:dyDescent="0.3">
      <c r="A52" s="656">
        <v>18020000</v>
      </c>
      <c r="B52" s="664" t="s">
        <v>1165</v>
      </c>
      <c r="C52" s="658">
        <f t="shared" si="1"/>
        <v>500000</v>
      </c>
      <c r="D52" s="658">
        <f>SUM(D53,E53)</f>
        <v>500000</v>
      </c>
      <c r="E52" s="376"/>
      <c r="F52" s="376"/>
      <c r="G52" s="105"/>
    </row>
    <row r="53" spans="1:7" ht="27" thickTop="1" thickBot="1" x14ac:dyDescent="0.3">
      <c r="A53" s="659">
        <v>180201000</v>
      </c>
      <c r="B53" s="662" t="s">
        <v>1166</v>
      </c>
      <c r="C53" s="655">
        <f t="shared" si="1"/>
        <v>500000</v>
      </c>
      <c r="D53" s="661">
        <v>500000</v>
      </c>
      <c r="E53" s="379"/>
      <c r="F53" s="379"/>
      <c r="G53" s="105"/>
    </row>
    <row r="54" spans="1:7" ht="16.5" thickTop="1" thickBot="1" x14ac:dyDescent="0.3">
      <c r="A54" s="656">
        <v>18030000</v>
      </c>
      <c r="B54" s="664" t="s">
        <v>79</v>
      </c>
      <c r="C54" s="658">
        <f>SUM(D54,E54)</f>
        <v>2215000</v>
      </c>
      <c r="D54" s="658">
        <f>SUM(D55:D56)</f>
        <v>2215000</v>
      </c>
      <c r="E54" s="376"/>
      <c r="F54" s="376"/>
      <c r="G54" s="105"/>
    </row>
    <row r="55" spans="1:7" ht="27" thickTop="1" thickBot="1" x14ac:dyDescent="0.3">
      <c r="A55" s="659">
        <v>18030100</v>
      </c>
      <c r="B55" s="662" t="s">
        <v>80</v>
      </c>
      <c r="C55" s="655">
        <f>SUM(D55,E55)</f>
        <v>1050000</v>
      </c>
      <c r="D55" s="661">
        <v>1050000</v>
      </c>
      <c r="E55" s="379"/>
      <c r="F55" s="379"/>
      <c r="G55" s="105"/>
    </row>
    <row r="56" spans="1:7" ht="27" thickTop="1" thickBot="1" x14ac:dyDescent="0.3">
      <c r="A56" s="659">
        <v>18030200</v>
      </c>
      <c r="B56" s="662" t="s">
        <v>81</v>
      </c>
      <c r="C56" s="655">
        <f>SUM(D56,E56)</f>
        <v>1165000</v>
      </c>
      <c r="D56" s="661">
        <v>1165000</v>
      </c>
      <c r="E56" s="379"/>
      <c r="F56" s="379"/>
      <c r="G56" s="105"/>
    </row>
    <row r="57" spans="1:7" ht="16.5" thickTop="1" thickBot="1" x14ac:dyDescent="0.3">
      <c r="A57" s="656">
        <v>18050000</v>
      </c>
      <c r="B57" s="664" t="s">
        <v>82</v>
      </c>
      <c r="C57" s="658">
        <f>SUM(D57,E57)</f>
        <v>550200100</v>
      </c>
      <c r="D57" s="658">
        <f>SUM(D58:D60)</f>
        <v>550200100</v>
      </c>
      <c r="E57" s="382"/>
      <c r="F57" s="382"/>
      <c r="G57" s="105"/>
    </row>
    <row r="58" spans="1:7" ht="16.5" thickTop="1" thickBot="1" x14ac:dyDescent="0.3">
      <c r="A58" s="659">
        <v>18050300</v>
      </c>
      <c r="B58" s="660" t="s">
        <v>1047</v>
      </c>
      <c r="C58" s="655">
        <f t="shared" si="1"/>
        <v>111450000</v>
      </c>
      <c r="D58" s="661">
        <v>111450000</v>
      </c>
      <c r="E58" s="379"/>
      <c r="F58" s="379"/>
      <c r="G58" s="105"/>
    </row>
    <row r="59" spans="1:7" ht="15.75" thickTop="1" thickBot="1" x14ac:dyDescent="0.25">
      <c r="A59" s="659">
        <v>18050400</v>
      </c>
      <c r="B59" s="662" t="s">
        <v>83</v>
      </c>
      <c r="C59" s="655">
        <f t="shared" si="1"/>
        <v>433750000</v>
      </c>
      <c r="D59" s="661">
        <v>433750000</v>
      </c>
      <c r="E59" s="379"/>
      <c r="F59" s="379"/>
      <c r="G59" s="106"/>
    </row>
    <row r="60" spans="1:7" ht="65.25" thickTop="1" thickBot="1" x14ac:dyDescent="0.25">
      <c r="A60" s="659">
        <v>18050500</v>
      </c>
      <c r="B60" s="662" t="s">
        <v>540</v>
      </c>
      <c r="C60" s="655">
        <f t="shared" si="1"/>
        <v>5000100</v>
      </c>
      <c r="D60" s="661">
        <v>5000100</v>
      </c>
      <c r="E60" s="379"/>
      <c r="F60" s="379"/>
      <c r="G60" s="106"/>
    </row>
    <row r="61" spans="1:7" ht="31.7" customHeight="1" thickTop="1" thickBot="1" x14ac:dyDescent="0.25">
      <c r="A61" s="653">
        <v>19000000</v>
      </c>
      <c r="B61" s="667" t="s">
        <v>533</v>
      </c>
      <c r="C61" s="655">
        <f t="shared" si="1"/>
        <v>1200000</v>
      </c>
      <c r="D61" s="655"/>
      <c r="E61" s="655">
        <f>SUM(E63:E65)</f>
        <v>1200000</v>
      </c>
      <c r="F61" s="379"/>
      <c r="G61" s="106"/>
    </row>
    <row r="62" spans="1:7" ht="16.5" thickTop="1" thickBot="1" x14ac:dyDescent="0.3">
      <c r="A62" s="656">
        <v>1901000</v>
      </c>
      <c r="B62" s="657" t="s">
        <v>84</v>
      </c>
      <c r="C62" s="658">
        <f t="shared" ref="C62:C66" si="3">SUM(D62,E62)</f>
        <v>1200000</v>
      </c>
      <c r="D62" s="658">
        <f>SUM(D63:D65)</f>
        <v>0</v>
      </c>
      <c r="E62" s="658">
        <f>SUM(E63:E65)</f>
        <v>1200000</v>
      </c>
      <c r="F62" s="376"/>
      <c r="G62" s="105"/>
    </row>
    <row r="63" spans="1:7" ht="52.5" thickTop="1" thickBot="1" x14ac:dyDescent="0.3">
      <c r="A63" s="659">
        <v>19010100</v>
      </c>
      <c r="B63" s="660" t="s">
        <v>534</v>
      </c>
      <c r="C63" s="655">
        <f t="shared" si="3"/>
        <v>165850</v>
      </c>
      <c r="D63" s="661"/>
      <c r="E63" s="661">
        <v>165850</v>
      </c>
      <c r="F63" s="379"/>
      <c r="G63" s="105"/>
    </row>
    <row r="64" spans="1:7" ht="27" thickTop="1" thickBot="1" x14ac:dyDescent="0.25">
      <c r="A64" s="659">
        <v>19010200</v>
      </c>
      <c r="B64" s="660" t="s">
        <v>1285</v>
      </c>
      <c r="C64" s="655">
        <f t="shared" si="3"/>
        <v>318550</v>
      </c>
      <c r="D64" s="661"/>
      <c r="E64" s="661">
        <v>318550</v>
      </c>
      <c r="F64" s="379"/>
      <c r="G64" s="108"/>
    </row>
    <row r="65" spans="1:7" ht="52.5" thickTop="1" thickBot="1" x14ac:dyDescent="0.3">
      <c r="A65" s="659">
        <v>19010300</v>
      </c>
      <c r="B65" s="660" t="s">
        <v>1286</v>
      </c>
      <c r="C65" s="655">
        <f t="shared" si="3"/>
        <v>715600</v>
      </c>
      <c r="D65" s="661"/>
      <c r="E65" s="661">
        <v>715600</v>
      </c>
      <c r="F65" s="379"/>
      <c r="G65" s="105"/>
    </row>
    <row r="66" spans="1:7" ht="30" customHeight="1" thickTop="1" thickBot="1" x14ac:dyDescent="0.3">
      <c r="A66" s="679">
        <v>20000000</v>
      </c>
      <c r="B66" s="679" t="s">
        <v>85</v>
      </c>
      <c r="C66" s="680">
        <f t="shared" si="3"/>
        <v>340587776</v>
      </c>
      <c r="D66" s="680">
        <f>SUM(D67,D77,D88,D93)+D87</f>
        <v>109442600</v>
      </c>
      <c r="E66" s="680">
        <f>SUM(E67,E77,E88,E93)+E87</f>
        <v>231145176</v>
      </c>
      <c r="F66" s="680">
        <f>SUM(F67,F77,F88,F93)+F87</f>
        <v>2000024</v>
      </c>
      <c r="G66" s="105"/>
    </row>
    <row r="67" spans="1:7" ht="27" thickTop="1" thickBot="1" x14ac:dyDescent="0.3">
      <c r="A67" s="653">
        <v>21000000</v>
      </c>
      <c r="B67" s="653" t="s">
        <v>535</v>
      </c>
      <c r="C67" s="655">
        <f>SUM(D67,E67)</f>
        <v>41635000</v>
      </c>
      <c r="D67" s="655">
        <f>SUM(D68,D71,D70)</f>
        <v>41635000</v>
      </c>
      <c r="E67" s="375"/>
      <c r="F67" s="375"/>
      <c r="G67" s="105"/>
    </row>
    <row r="68" spans="1:7" ht="55.5" thickTop="1" thickBot="1" x14ac:dyDescent="0.3">
      <c r="A68" s="656">
        <v>21010000</v>
      </c>
      <c r="B68" s="664" t="s">
        <v>536</v>
      </c>
      <c r="C68" s="658">
        <f t="shared" si="1"/>
        <v>2500000</v>
      </c>
      <c r="D68" s="658">
        <f>D69</f>
        <v>2500000</v>
      </c>
      <c r="E68" s="376"/>
      <c r="F68" s="376"/>
      <c r="G68" s="105"/>
    </row>
    <row r="69" spans="1:7" ht="52.5" thickTop="1" thickBot="1" x14ac:dyDescent="0.3">
      <c r="A69" s="659">
        <v>21010300</v>
      </c>
      <c r="B69" s="662" t="s">
        <v>1431</v>
      </c>
      <c r="C69" s="655">
        <f t="shared" si="1"/>
        <v>2500000</v>
      </c>
      <c r="D69" s="661">
        <v>2500000</v>
      </c>
      <c r="E69" s="379"/>
      <c r="F69" s="379"/>
      <c r="G69" s="105"/>
    </row>
    <row r="70" spans="1:7" ht="28.5" thickTop="1" thickBot="1" x14ac:dyDescent="0.3">
      <c r="A70" s="656">
        <v>21050000</v>
      </c>
      <c r="B70" s="664" t="s">
        <v>86</v>
      </c>
      <c r="C70" s="658">
        <f t="shared" si="1"/>
        <v>13900000</v>
      </c>
      <c r="D70" s="658">
        <v>13900000</v>
      </c>
      <c r="E70" s="376"/>
      <c r="F70" s="376"/>
      <c r="G70" s="105"/>
    </row>
    <row r="71" spans="1:7" ht="15" thickTop="1" thickBot="1" x14ac:dyDescent="0.25">
      <c r="A71" s="656">
        <v>21080000</v>
      </c>
      <c r="B71" s="664" t="s">
        <v>1048</v>
      </c>
      <c r="C71" s="658">
        <f>SUM(D71,E71)</f>
        <v>25235000</v>
      </c>
      <c r="D71" s="658">
        <f>SUM(D72:D76)</f>
        <v>25235000</v>
      </c>
      <c r="E71" s="376"/>
      <c r="F71" s="376"/>
      <c r="G71" s="108"/>
    </row>
    <row r="72" spans="1:7" ht="16.5" thickTop="1" thickBot="1" x14ac:dyDescent="0.3">
      <c r="A72" s="659">
        <v>21081100</v>
      </c>
      <c r="B72" s="668" t="s">
        <v>87</v>
      </c>
      <c r="C72" s="655">
        <f t="shared" ref="C72:C78" si="4">SUM(D72,E72)</f>
        <v>5500000</v>
      </c>
      <c r="D72" s="661">
        <v>5500000</v>
      </c>
      <c r="E72" s="379"/>
      <c r="F72" s="379"/>
      <c r="G72" s="105"/>
    </row>
    <row r="73" spans="1:7" ht="90.75" thickTop="1" thickBot="1" x14ac:dyDescent="0.3">
      <c r="A73" s="659">
        <v>21081500</v>
      </c>
      <c r="B73" s="660" t="s">
        <v>1301</v>
      </c>
      <c r="C73" s="655">
        <f t="shared" si="4"/>
        <v>1055000</v>
      </c>
      <c r="D73" s="661">
        <v>1055000</v>
      </c>
      <c r="E73" s="379"/>
      <c r="F73" s="379"/>
      <c r="G73" s="105"/>
    </row>
    <row r="74" spans="1:7" ht="16.5" thickTop="1" thickBot="1" x14ac:dyDescent="0.3">
      <c r="A74" s="659">
        <v>21081700</v>
      </c>
      <c r="B74" s="660" t="s">
        <v>374</v>
      </c>
      <c r="C74" s="655">
        <f t="shared" si="4"/>
        <v>18000000</v>
      </c>
      <c r="D74" s="661">
        <v>18000000</v>
      </c>
      <c r="E74" s="379"/>
      <c r="F74" s="379"/>
      <c r="G74" s="109"/>
    </row>
    <row r="75" spans="1:7" ht="52.5" thickTop="1" thickBot="1" x14ac:dyDescent="0.3">
      <c r="A75" s="659">
        <v>21081800</v>
      </c>
      <c r="B75" s="660" t="s">
        <v>1585</v>
      </c>
      <c r="C75" s="655">
        <f t="shared" si="4"/>
        <v>650000</v>
      </c>
      <c r="D75" s="661">
        <v>650000</v>
      </c>
      <c r="E75" s="379"/>
      <c r="F75" s="379"/>
      <c r="G75" s="109"/>
    </row>
    <row r="76" spans="1:7" ht="78" thickTop="1" thickBot="1" x14ac:dyDescent="0.3">
      <c r="A76" s="659">
        <v>21082400</v>
      </c>
      <c r="B76" s="660" t="s">
        <v>1586</v>
      </c>
      <c r="C76" s="655">
        <f t="shared" si="4"/>
        <v>30000</v>
      </c>
      <c r="D76" s="661">
        <v>30000</v>
      </c>
      <c r="E76" s="379"/>
      <c r="F76" s="379"/>
      <c r="G76" s="109"/>
    </row>
    <row r="77" spans="1:7" ht="27" thickTop="1" thickBot="1" x14ac:dyDescent="0.3">
      <c r="A77" s="653">
        <v>22000000</v>
      </c>
      <c r="B77" s="653" t="s">
        <v>88</v>
      </c>
      <c r="C77" s="655">
        <f t="shared" si="4"/>
        <v>56746600</v>
      </c>
      <c r="D77" s="655">
        <f>SUM(D78,D82,D84)</f>
        <v>56746600</v>
      </c>
      <c r="E77" s="379"/>
      <c r="F77" s="379"/>
      <c r="G77" s="105"/>
    </row>
    <row r="78" spans="1:7" ht="24.75" customHeight="1" thickTop="1" thickBot="1" x14ac:dyDescent="0.3">
      <c r="A78" s="656">
        <v>22010000</v>
      </c>
      <c r="B78" s="657" t="s">
        <v>537</v>
      </c>
      <c r="C78" s="658">
        <f t="shared" si="4"/>
        <v>30750000</v>
      </c>
      <c r="D78" s="658">
        <f>SUM(D79:D81)</f>
        <v>30750000</v>
      </c>
      <c r="E78" s="376"/>
      <c r="F78" s="376"/>
      <c r="G78" s="105"/>
    </row>
    <row r="79" spans="1:7" ht="39.75" thickTop="1" thickBot="1" x14ac:dyDescent="0.3">
      <c r="A79" s="659">
        <v>22010300</v>
      </c>
      <c r="B79" s="660" t="s">
        <v>147</v>
      </c>
      <c r="C79" s="655">
        <f t="shared" si="1"/>
        <v>1350300</v>
      </c>
      <c r="D79" s="661">
        <v>1350300</v>
      </c>
      <c r="E79" s="379"/>
      <c r="F79" s="379"/>
      <c r="G79" s="105"/>
    </row>
    <row r="80" spans="1:7" ht="16.5" thickTop="1" thickBot="1" x14ac:dyDescent="0.3">
      <c r="A80" s="659">
        <v>22012500</v>
      </c>
      <c r="B80" s="660" t="s">
        <v>90</v>
      </c>
      <c r="C80" s="655">
        <f t="shared" si="1"/>
        <v>26299700</v>
      </c>
      <c r="D80" s="661">
        <v>26299700</v>
      </c>
      <c r="E80" s="379"/>
      <c r="F80" s="379"/>
      <c r="G80" s="105"/>
    </row>
    <row r="81" spans="1:7" ht="27" thickTop="1" thickBot="1" x14ac:dyDescent="0.3">
      <c r="A81" s="659">
        <v>22012600</v>
      </c>
      <c r="B81" s="660" t="s">
        <v>89</v>
      </c>
      <c r="C81" s="655">
        <f>SUM(D81,E81)</f>
        <v>3100000</v>
      </c>
      <c r="D81" s="661">
        <v>3100000</v>
      </c>
      <c r="E81" s="379"/>
      <c r="F81" s="379"/>
      <c r="G81" s="105"/>
    </row>
    <row r="82" spans="1:7" ht="42" thickTop="1" thickBot="1" x14ac:dyDescent="0.3">
      <c r="A82" s="656">
        <v>2208000</v>
      </c>
      <c r="B82" s="657" t="s">
        <v>538</v>
      </c>
      <c r="C82" s="658">
        <f t="shared" si="1"/>
        <v>25486600</v>
      </c>
      <c r="D82" s="658">
        <f>D83</f>
        <v>25486600</v>
      </c>
      <c r="E82" s="376"/>
      <c r="F82" s="376"/>
      <c r="G82" s="105"/>
    </row>
    <row r="83" spans="1:7" ht="52.5" thickTop="1" thickBot="1" x14ac:dyDescent="0.3">
      <c r="A83" s="659">
        <v>22080400</v>
      </c>
      <c r="B83" s="668" t="s">
        <v>91</v>
      </c>
      <c r="C83" s="655">
        <f t="shared" si="1"/>
        <v>25486600</v>
      </c>
      <c r="D83" s="661">
        <v>25486600</v>
      </c>
      <c r="E83" s="379"/>
      <c r="F83" s="379"/>
      <c r="G83" s="105"/>
    </row>
    <row r="84" spans="1:7" ht="16.5" thickTop="1" thickBot="1" x14ac:dyDescent="0.3">
      <c r="A84" s="656">
        <v>22090000</v>
      </c>
      <c r="B84" s="669" t="s">
        <v>92</v>
      </c>
      <c r="C84" s="658">
        <f t="shared" si="1"/>
        <v>510000</v>
      </c>
      <c r="D84" s="658">
        <f>SUM(D85:D86)</f>
        <v>510000</v>
      </c>
      <c r="E84" s="376"/>
      <c r="F84" s="376"/>
      <c r="G84" s="105"/>
    </row>
    <row r="85" spans="1:7" ht="52.5" thickTop="1" thickBot="1" x14ac:dyDescent="0.3">
      <c r="A85" s="659">
        <v>22090100</v>
      </c>
      <c r="B85" s="662" t="s">
        <v>93</v>
      </c>
      <c r="C85" s="655">
        <f t="shared" si="1"/>
        <v>405000</v>
      </c>
      <c r="D85" s="661">
        <v>405000</v>
      </c>
      <c r="E85" s="379"/>
      <c r="F85" s="379"/>
      <c r="G85" s="105"/>
    </row>
    <row r="86" spans="1:7" ht="39.75" thickTop="1" thickBot="1" x14ac:dyDescent="0.25">
      <c r="A86" s="659">
        <v>22090400</v>
      </c>
      <c r="B86" s="662" t="s">
        <v>94</v>
      </c>
      <c r="C86" s="655">
        <f t="shared" si="1"/>
        <v>105000</v>
      </c>
      <c r="D86" s="661">
        <v>105000</v>
      </c>
      <c r="E86" s="379"/>
      <c r="F86" s="379"/>
      <c r="G86" s="107"/>
    </row>
    <row r="87" spans="1:7" ht="78" thickTop="1" thickBot="1" x14ac:dyDescent="0.25">
      <c r="A87" s="653">
        <v>22130000</v>
      </c>
      <c r="B87" s="670" t="s">
        <v>1587</v>
      </c>
      <c r="C87" s="655">
        <f t="shared" si="1"/>
        <v>61000</v>
      </c>
      <c r="D87" s="655">
        <v>61000</v>
      </c>
      <c r="E87" s="655"/>
      <c r="F87" s="655"/>
      <c r="G87" s="107"/>
    </row>
    <row r="88" spans="1:7" ht="20.25" customHeight="1" thickTop="1" thickBot="1" x14ac:dyDescent="0.3">
      <c r="A88" s="653">
        <v>24000000</v>
      </c>
      <c r="B88" s="670" t="s">
        <v>95</v>
      </c>
      <c r="C88" s="655">
        <f t="shared" si="1"/>
        <v>13000024</v>
      </c>
      <c r="D88" s="655">
        <f>D89+D90+D92+D91</f>
        <v>11000000</v>
      </c>
      <c r="E88" s="655">
        <f>E89+E90+E92+E91</f>
        <v>2000024</v>
      </c>
      <c r="F88" s="655">
        <f>F89+F90+F92+F91</f>
        <v>2000024</v>
      </c>
      <c r="G88" s="105"/>
    </row>
    <row r="89" spans="1:7" ht="16.5" thickTop="1" thickBot="1" x14ac:dyDescent="0.3">
      <c r="A89" s="659">
        <v>24060300</v>
      </c>
      <c r="B89" s="660" t="s">
        <v>96</v>
      </c>
      <c r="C89" s="655">
        <f t="shared" si="1"/>
        <v>10000000</v>
      </c>
      <c r="D89" s="661">
        <v>10000000</v>
      </c>
      <c r="E89" s="661"/>
      <c r="F89" s="661"/>
      <c r="G89" s="105"/>
    </row>
    <row r="90" spans="1:7" ht="65.25" thickTop="1" thickBot="1" x14ac:dyDescent="0.3">
      <c r="A90" s="659">
        <v>24062200</v>
      </c>
      <c r="B90" s="660" t="s">
        <v>375</v>
      </c>
      <c r="C90" s="655">
        <f t="shared" si="1"/>
        <v>1000000</v>
      </c>
      <c r="D90" s="661">
        <v>1000000</v>
      </c>
      <c r="E90" s="379"/>
      <c r="F90" s="379"/>
      <c r="G90" s="105"/>
    </row>
    <row r="91" spans="1:7" ht="39.75" thickTop="1" thickBot="1" x14ac:dyDescent="0.3">
      <c r="A91" s="659">
        <v>24110700</v>
      </c>
      <c r="B91" s="671" t="s">
        <v>590</v>
      </c>
      <c r="C91" s="655">
        <f t="shared" si="1"/>
        <v>24</v>
      </c>
      <c r="D91" s="661"/>
      <c r="E91" s="661">
        <v>24</v>
      </c>
      <c r="F91" s="661">
        <v>24</v>
      </c>
      <c r="G91" s="105"/>
    </row>
    <row r="92" spans="1:7" ht="27" thickTop="1" thickBot="1" x14ac:dyDescent="0.25">
      <c r="A92" s="659">
        <v>24170000</v>
      </c>
      <c r="B92" s="662" t="s">
        <v>97</v>
      </c>
      <c r="C92" s="655">
        <f t="shared" ref="C92:C98" si="5">SUM(D92,E92)</f>
        <v>2000000</v>
      </c>
      <c r="D92" s="661"/>
      <c r="E92" s="661">
        <v>2000000</v>
      </c>
      <c r="F92" s="661">
        <v>2000000</v>
      </c>
      <c r="G92" s="106"/>
    </row>
    <row r="93" spans="1:7" ht="16.5" thickTop="1" thickBot="1" x14ac:dyDescent="0.3">
      <c r="A93" s="653">
        <v>25000000</v>
      </c>
      <c r="B93" s="672" t="s">
        <v>98</v>
      </c>
      <c r="C93" s="655">
        <f t="shared" si="5"/>
        <v>229145152</v>
      </c>
      <c r="D93" s="655">
        <f>SUM(D94:D98,)</f>
        <v>0</v>
      </c>
      <c r="E93" s="655">
        <f>SUM(E94)</f>
        <v>229145152</v>
      </c>
      <c r="F93" s="375"/>
      <c r="G93" s="105"/>
    </row>
    <row r="94" spans="1:7" ht="42" thickTop="1" thickBot="1" x14ac:dyDescent="0.3">
      <c r="A94" s="656">
        <v>25010000</v>
      </c>
      <c r="B94" s="664" t="s">
        <v>99</v>
      </c>
      <c r="C94" s="658">
        <f t="shared" si="5"/>
        <v>229145152</v>
      </c>
      <c r="D94" s="658">
        <v>0</v>
      </c>
      <c r="E94" s="658">
        <f>SUM(E95:E98)</f>
        <v>229145152</v>
      </c>
      <c r="F94" s="376"/>
      <c r="G94" s="105"/>
    </row>
    <row r="95" spans="1:7" ht="27" thickTop="1" thickBot="1" x14ac:dyDescent="0.3">
      <c r="A95" s="659">
        <v>25010100</v>
      </c>
      <c r="B95" s="662" t="s">
        <v>100</v>
      </c>
      <c r="C95" s="655">
        <f t="shared" si="5"/>
        <v>212809795</v>
      </c>
      <c r="D95" s="661"/>
      <c r="E95" s="661">
        <v>212809795</v>
      </c>
      <c r="F95" s="379"/>
      <c r="G95" s="105"/>
    </row>
    <row r="96" spans="1:7" ht="27" thickTop="1" thickBot="1" x14ac:dyDescent="0.3">
      <c r="A96" s="659">
        <v>25010200</v>
      </c>
      <c r="B96" s="662" t="s">
        <v>101</v>
      </c>
      <c r="C96" s="655">
        <f t="shared" si="5"/>
        <v>12810270</v>
      </c>
      <c r="D96" s="661"/>
      <c r="E96" s="661">
        <v>12810270</v>
      </c>
      <c r="F96" s="379"/>
      <c r="G96" s="105"/>
    </row>
    <row r="97" spans="1:7" ht="16.5" thickTop="1" thickBot="1" x14ac:dyDescent="0.3">
      <c r="A97" s="659">
        <v>25010300</v>
      </c>
      <c r="B97" s="662" t="s">
        <v>102</v>
      </c>
      <c r="C97" s="655">
        <f t="shared" si="5"/>
        <v>3462787</v>
      </c>
      <c r="D97" s="661"/>
      <c r="E97" s="661">
        <v>3462787</v>
      </c>
      <c r="F97" s="379"/>
      <c r="G97" s="105"/>
    </row>
    <row r="98" spans="1:7" ht="39.75" thickTop="1" thickBot="1" x14ac:dyDescent="0.3">
      <c r="A98" s="659">
        <v>25010400</v>
      </c>
      <c r="B98" s="662" t="s">
        <v>103</v>
      </c>
      <c r="C98" s="655">
        <f t="shared" si="5"/>
        <v>62300</v>
      </c>
      <c r="D98" s="661"/>
      <c r="E98" s="661">
        <v>62300</v>
      </c>
      <c r="F98" s="379"/>
      <c r="G98" s="105"/>
    </row>
    <row r="99" spans="1:7" ht="24.75" customHeight="1" thickTop="1" thickBot="1" x14ac:dyDescent="0.25">
      <c r="A99" s="679">
        <v>30000000</v>
      </c>
      <c r="B99" s="679" t="s">
        <v>104</v>
      </c>
      <c r="C99" s="680">
        <f>SUM(D99,E99)</f>
        <v>9787979</v>
      </c>
      <c r="D99" s="680">
        <f>SUM(D100)+D104</f>
        <v>45000</v>
      </c>
      <c r="E99" s="680">
        <f>SUM(E100)+E104</f>
        <v>9742979</v>
      </c>
      <c r="F99" s="680">
        <f>SUM(F100)+F104</f>
        <v>9742979</v>
      </c>
      <c r="G99" s="107"/>
    </row>
    <row r="100" spans="1:7" ht="27" customHeight="1" thickTop="1" thickBot="1" x14ac:dyDescent="0.3">
      <c r="A100" s="653">
        <v>31000000</v>
      </c>
      <c r="B100" s="653" t="s">
        <v>105</v>
      </c>
      <c r="C100" s="655">
        <f>SUM(D100,E100)</f>
        <v>845000</v>
      </c>
      <c r="D100" s="655">
        <f>D101+D103</f>
        <v>45000</v>
      </c>
      <c r="E100" s="655">
        <f>E101+E103</f>
        <v>800000</v>
      </c>
      <c r="F100" s="655">
        <f>F101+F103</f>
        <v>800000</v>
      </c>
      <c r="G100" s="105"/>
    </row>
    <row r="101" spans="1:7" ht="82.5" thickTop="1" thickBot="1" x14ac:dyDescent="0.3">
      <c r="A101" s="656">
        <v>3101000</v>
      </c>
      <c r="B101" s="657" t="s">
        <v>539</v>
      </c>
      <c r="C101" s="658">
        <f>SUM(D101,E101)</f>
        <v>45000</v>
      </c>
      <c r="D101" s="658">
        <f>D102</f>
        <v>45000</v>
      </c>
      <c r="E101" s="658"/>
      <c r="F101" s="658"/>
      <c r="G101" s="105"/>
    </row>
    <row r="102" spans="1:7" ht="78" thickTop="1" thickBot="1" x14ac:dyDescent="0.3">
      <c r="A102" s="659">
        <v>31010200</v>
      </c>
      <c r="B102" s="662" t="s">
        <v>106</v>
      </c>
      <c r="C102" s="655">
        <f>SUM(D102,E102)</f>
        <v>45000</v>
      </c>
      <c r="D102" s="661">
        <v>45000</v>
      </c>
      <c r="E102" s="661"/>
      <c r="F102" s="661"/>
      <c r="G102" s="105"/>
    </row>
    <row r="103" spans="1:7" ht="55.5" thickTop="1" thickBot="1" x14ac:dyDescent="0.3">
      <c r="A103" s="656">
        <v>31030000</v>
      </c>
      <c r="B103" s="664" t="s">
        <v>107</v>
      </c>
      <c r="C103" s="658">
        <f t="shared" si="1"/>
        <v>800000</v>
      </c>
      <c r="D103" s="658"/>
      <c r="E103" s="658">
        <v>800000</v>
      </c>
      <c r="F103" s="658">
        <v>800000</v>
      </c>
      <c r="G103" s="105"/>
    </row>
    <row r="104" spans="1:7" ht="27" thickTop="1" thickBot="1" x14ac:dyDescent="0.3">
      <c r="A104" s="653">
        <v>33000000</v>
      </c>
      <c r="B104" s="653" t="s">
        <v>108</v>
      </c>
      <c r="C104" s="655">
        <f t="shared" si="1"/>
        <v>8942979</v>
      </c>
      <c r="D104" s="655">
        <f>SUM(D105)</f>
        <v>0</v>
      </c>
      <c r="E104" s="655">
        <f>SUM(E105)</f>
        <v>8942979</v>
      </c>
      <c r="F104" s="655">
        <f>SUM(F105)</f>
        <v>8942979</v>
      </c>
      <c r="G104" s="105"/>
    </row>
    <row r="105" spans="1:7" ht="16.5" thickTop="1" thickBot="1" x14ac:dyDescent="0.3">
      <c r="A105" s="656">
        <v>33010000</v>
      </c>
      <c r="B105" s="657" t="s">
        <v>109</v>
      </c>
      <c r="C105" s="658">
        <f>SUM(D105,E105)</f>
        <v>8942979</v>
      </c>
      <c r="D105" s="658">
        <f>SUM(D106:D108)</f>
        <v>0</v>
      </c>
      <c r="E105" s="658">
        <f>SUM(E106:E108)</f>
        <v>8942979</v>
      </c>
      <c r="F105" s="658">
        <f>SUM(F106:F108)</f>
        <v>8942979</v>
      </c>
      <c r="G105" s="105"/>
    </row>
    <row r="106" spans="1:7" ht="52.5" thickTop="1" thickBot="1" x14ac:dyDescent="0.3">
      <c r="A106" s="659">
        <v>33010100</v>
      </c>
      <c r="B106" s="662" t="s">
        <v>343</v>
      </c>
      <c r="C106" s="655">
        <f t="shared" si="1"/>
        <v>7517840</v>
      </c>
      <c r="D106" s="661"/>
      <c r="E106" s="661">
        <v>7517840</v>
      </c>
      <c r="F106" s="661">
        <v>7517840</v>
      </c>
      <c r="G106" s="105"/>
    </row>
    <row r="107" spans="1:7" ht="52.5" thickTop="1" thickBot="1" x14ac:dyDescent="0.3">
      <c r="A107" s="659">
        <v>33010200</v>
      </c>
      <c r="B107" s="662" t="s">
        <v>110</v>
      </c>
      <c r="C107" s="655">
        <f>SUM(D107,E107)</f>
        <v>1425139</v>
      </c>
      <c r="D107" s="661"/>
      <c r="E107" s="661">
        <v>1425139</v>
      </c>
      <c r="F107" s="661">
        <v>1425139</v>
      </c>
      <c r="G107" s="105"/>
    </row>
    <row r="108" spans="1:7" ht="65.25" hidden="1" thickTop="1" thickBot="1" x14ac:dyDescent="0.3">
      <c r="A108" s="377">
        <v>33010500</v>
      </c>
      <c r="B108" s="380" t="s">
        <v>1432</v>
      </c>
      <c r="C108" s="375">
        <f>SUM(D108,E108)</f>
        <v>0</v>
      </c>
      <c r="D108" s="379"/>
      <c r="E108" s="379">
        <v>0</v>
      </c>
      <c r="F108" s="379">
        <v>0</v>
      </c>
      <c r="G108" s="105"/>
    </row>
    <row r="109" spans="1:7" ht="27" customHeight="1" thickTop="1" thickBot="1" x14ac:dyDescent="0.3">
      <c r="A109" s="679">
        <v>50000000</v>
      </c>
      <c r="B109" s="679" t="s">
        <v>487</v>
      </c>
      <c r="C109" s="680">
        <f>SUM(D109,E109)</f>
        <v>5215800</v>
      </c>
      <c r="D109" s="680">
        <f>SUM(D110)</f>
        <v>0</v>
      </c>
      <c r="E109" s="680">
        <f>SUM(E110)</f>
        <v>5215800</v>
      </c>
      <c r="F109" s="680">
        <f>SUM(F110)</f>
        <v>0</v>
      </c>
      <c r="G109" s="105"/>
    </row>
    <row r="110" spans="1:7" ht="52.5" thickTop="1" thickBot="1" x14ac:dyDescent="0.3">
      <c r="A110" s="653">
        <v>50110000</v>
      </c>
      <c r="B110" s="667" t="s">
        <v>111</v>
      </c>
      <c r="C110" s="655">
        <f t="shared" ref="C110:C146" si="6">SUM(D110,E110)</f>
        <v>5215800</v>
      </c>
      <c r="D110" s="661"/>
      <c r="E110" s="655">
        <v>5215800</v>
      </c>
      <c r="F110" s="661"/>
      <c r="G110" s="105"/>
    </row>
    <row r="111" spans="1:7" ht="45.75" customHeight="1" thickTop="1" thickBot="1" x14ac:dyDescent="0.25">
      <c r="A111" s="673"/>
      <c r="B111" s="674" t="s">
        <v>488</v>
      </c>
      <c r="C111" s="675">
        <f t="shared" ref="C111:C119" si="7">SUM(D111,E111)</f>
        <v>3264721655</v>
      </c>
      <c r="D111" s="675">
        <f>D109+D99+D66+D15</f>
        <v>3017417700</v>
      </c>
      <c r="E111" s="675">
        <f>E109+E99+E66+E15</f>
        <v>247303955</v>
      </c>
      <c r="F111" s="675">
        <f>F109+F99+F66+F15</f>
        <v>11743003</v>
      </c>
      <c r="G111" s="106"/>
    </row>
    <row r="112" spans="1:7" ht="34.5" customHeight="1" thickTop="1" thickBot="1" x14ac:dyDescent="0.25">
      <c r="A112" s="679">
        <v>40000000</v>
      </c>
      <c r="B112" s="679" t="s">
        <v>427</v>
      </c>
      <c r="C112" s="680">
        <f>SUM(D112,E112)</f>
        <v>772252237</v>
      </c>
      <c r="D112" s="680">
        <f>SUM(D118,D115,D113)</f>
        <v>772252237</v>
      </c>
      <c r="E112" s="680">
        <f>SUM(E118,E115,E113)</f>
        <v>0</v>
      </c>
      <c r="F112" s="680">
        <f>SUM(F118,F115,F113)</f>
        <v>0</v>
      </c>
      <c r="G112" s="106"/>
    </row>
    <row r="113" spans="1:7" ht="34.5" hidden="1" customHeight="1" thickTop="1" thickBot="1" x14ac:dyDescent="0.25">
      <c r="A113" s="374">
        <v>41020000</v>
      </c>
      <c r="B113" s="381" t="s">
        <v>1366</v>
      </c>
      <c r="C113" s="375">
        <f t="shared" ref="C113:C114" si="8">SUM(D113,E113)</f>
        <v>0</v>
      </c>
      <c r="D113" s="375">
        <f>SUM(D114)</f>
        <v>0</v>
      </c>
      <c r="E113" s="375"/>
      <c r="F113" s="375"/>
      <c r="G113" s="106"/>
    </row>
    <row r="114" spans="1:7" ht="103.5" hidden="1" thickTop="1" thickBot="1" x14ac:dyDescent="0.25">
      <c r="A114" s="377">
        <v>41021400</v>
      </c>
      <c r="B114" s="380" t="s">
        <v>1373</v>
      </c>
      <c r="C114" s="375">
        <f t="shared" si="8"/>
        <v>0</v>
      </c>
      <c r="D114" s="379">
        <v>0</v>
      </c>
      <c r="E114" s="375"/>
      <c r="F114" s="375"/>
      <c r="G114" s="106"/>
    </row>
    <row r="115" spans="1:7" ht="27" thickTop="1" thickBot="1" x14ac:dyDescent="0.25">
      <c r="A115" s="653">
        <v>41040000</v>
      </c>
      <c r="B115" s="663" t="s">
        <v>344</v>
      </c>
      <c r="C115" s="655">
        <f>SUM(D115,E115)</f>
        <v>7509500</v>
      </c>
      <c r="D115" s="655">
        <f>SUM(D116:D117)</f>
        <v>7509500</v>
      </c>
      <c r="E115" s="375"/>
      <c r="F115" s="375"/>
      <c r="G115" s="106"/>
    </row>
    <row r="116" spans="1:7" ht="65.25" thickTop="1" thickBot="1" x14ac:dyDescent="0.25">
      <c r="A116" s="659">
        <v>41040200</v>
      </c>
      <c r="B116" s="662" t="s">
        <v>1168</v>
      </c>
      <c r="C116" s="655">
        <f t="shared" si="7"/>
        <v>7509500</v>
      </c>
      <c r="D116" s="661">
        <v>7509500</v>
      </c>
      <c r="E116" s="375"/>
      <c r="F116" s="375"/>
      <c r="G116" s="106"/>
    </row>
    <row r="117" spans="1:7" ht="15.75" hidden="1" thickTop="1" thickBot="1" x14ac:dyDescent="0.25">
      <c r="A117" s="377">
        <v>41040400</v>
      </c>
      <c r="B117" s="380" t="s">
        <v>1227</v>
      </c>
      <c r="C117" s="375">
        <f t="shared" si="7"/>
        <v>0</v>
      </c>
      <c r="D117" s="379">
        <v>0</v>
      </c>
      <c r="E117" s="375"/>
      <c r="F117" s="375"/>
      <c r="G117" s="106"/>
    </row>
    <row r="118" spans="1:7" s="647" customFormat="1" ht="15.75" thickTop="1" thickBot="1" x14ac:dyDescent="0.25">
      <c r="A118" s="653">
        <v>41000000</v>
      </c>
      <c r="B118" s="653" t="s">
        <v>112</v>
      </c>
      <c r="C118" s="655">
        <f t="shared" si="7"/>
        <v>764742737</v>
      </c>
      <c r="D118" s="655">
        <f>SUM(D119,D127)</f>
        <v>764742737</v>
      </c>
      <c r="E118" s="655">
        <f>SUM(E119,E127)</f>
        <v>0</v>
      </c>
      <c r="F118" s="655">
        <f>SUM(F119,F127)</f>
        <v>0</v>
      </c>
      <c r="G118" s="678"/>
    </row>
    <row r="119" spans="1:7" s="647" customFormat="1" ht="27" thickTop="1" thickBot="1" x14ac:dyDescent="0.3">
      <c r="A119" s="653">
        <v>41030000</v>
      </c>
      <c r="B119" s="672" t="s">
        <v>438</v>
      </c>
      <c r="C119" s="655">
        <f t="shared" si="7"/>
        <v>752597500</v>
      </c>
      <c r="D119" s="655">
        <f>SUM(D120:D126)</f>
        <v>752597500</v>
      </c>
      <c r="E119" s="655">
        <f>SUM(E120:E126)</f>
        <v>0</v>
      </c>
      <c r="F119" s="655">
        <f>SUM(F120:F126)</f>
        <v>0</v>
      </c>
      <c r="G119" s="654"/>
    </row>
    <row r="120" spans="1:7" ht="52.5" hidden="1" thickTop="1" thickBot="1" x14ac:dyDescent="0.3">
      <c r="A120" s="377">
        <v>41032300</v>
      </c>
      <c r="B120" s="378" t="s">
        <v>988</v>
      </c>
      <c r="C120" s="375">
        <f t="shared" si="6"/>
        <v>0</v>
      </c>
      <c r="D120" s="379">
        <v>0</v>
      </c>
      <c r="E120" s="375"/>
      <c r="F120" s="379"/>
      <c r="G120" s="105"/>
    </row>
    <row r="121" spans="1:7" ht="52.5" hidden="1" thickTop="1" thickBot="1" x14ac:dyDescent="0.3">
      <c r="A121" s="377">
        <v>41033800</v>
      </c>
      <c r="B121" s="378" t="s">
        <v>1050</v>
      </c>
      <c r="C121" s="375">
        <f t="shared" si="6"/>
        <v>0</v>
      </c>
      <c r="D121" s="379">
        <v>0</v>
      </c>
      <c r="E121" s="375"/>
      <c r="F121" s="379"/>
      <c r="G121" s="105"/>
    </row>
    <row r="122" spans="1:7" ht="27" thickTop="1" thickBot="1" x14ac:dyDescent="0.3">
      <c r="A122" s="659">
        <v>41033900</v>
      </c>
      <c r="B122" s="660" t="s">
        <v>113</v>
      </c>
      <c r="C122" s="655">
        <f t="shared" si="6"/>
        <v>752597500</v>
      </c>
      <c r="D122" s="661">
        <v>752597500</v>
      </c>
      <c r="E122" s="661"/>
      <c r="F122" s="661"/>
      <c r="G122" s="105"/>
    </row>
    <row r="123" spans="1:7" ht="39.75" hidden="1" thickTop="1" thickBot="1" x14ac:dyDescent="0.3">
      <c r="A123" s="377">
        <v>41034500</v>
      </c>
      <c r="B123" s="378" t="s">
        <v>1051</v>
      </c>
      <c r="C123" s="375">
        <f t="shared" si="6"/>
        <v>0</v>
      </c>
      <c r="D123" s="379">
        <v>0</v>
      </c>
      <c r="E123" s="379">
        <v>0</v>
      </c>
      <c r="F123" s="379">
        <v>0</v>
      </c>
      <c r="G123" s="105"/>
    </row>
    <row r="124" spans="1:7" ht="52.5" hidden="1" thickTop="1" thickBot="1" x14ac:dyDescent="0.3">
      <c r="A124" s="377">
        <v>41035500</v>
      </c>
      <c r="B124" s="378" t="s">
        <v>990</v>
      </c>
      <c r="C124" s="375">
        <f t="shared" si="6"/>
        <v>0</v>
      </c>
      <c r="D124" s="379">
        <v>0</v>
      </c>
      <c r="E124" s="379"/>
      <c r="F124" s="379"/>
      <c r="G124" s="105"/>
    </row>
    <row r="125" spans="1:7" ht="65.25" hidden="1" thickTop="1" thickBot="1" x14ac:dyDescent="0.3">
      <c r="A125" s="377">
        <v>41035600</v>
      </c>
      <c r="B125" s="378" t="s">
        <v>1015</v>
      </c>
      <c r="C125" s="375">
        <f t="shared" si="6"/>
        <v>0</v>
      </c>
      <c r="D125" s="379">
        <v>0</v>
      </c>
      <c r="E125" s="379"/>
      <c r="F125" s="379"/>
      <c r="G125" s="105"/>
    </row>
    <row r="126" spans="1:7" ht="39.75" hidden="1" thickTop="1" thickBot="1" x14ac:dyDescent="0.3">
      <c r="A126" s="377">
        <v>41035700</v>
      </c>
      <c r="B126" s="378" t="s">
        <v>980</v>
      </c>
      <c r="C126" s="375">
        <f t="shared" si="6"/>
        <v>0</v>
      </c>
      <c r="D126" s="379">
        <v>0</v>
      </c>
      <c r="E126" s="379"/>
      <c r="F126" s="379"/>
      <c r="G126" s="105"/>
    </row>
    <row r="127" spans="1:7" ht="27" thickTop="1" thickBot="1" x14ac:dyDescent="0.3">
      <c r="A127" s="653">
        <v>41050000</v>
      </c>
      <c r="B127" s="672" t="s">
        <v>473</v>
      </c>
      <c r="C127" s="655">
        <f t="shared" ref="C127:C134" si="9">SUM(D127,E127)</f>
        <v>12145237</v>
      </c>
      <c r="D127" s="655">
        <f>SUM(D128:D140)+D147+D148</f>
        <v>12145237</v>
      </c>
      <c r="E127" s="655">
        <f>SUM(E128:E140)</f>
        <v>0</v>
      </c>
      <c r="F127" s="655">
        <f>SUM(F128:F140)</f>
        <v>0</v>
      </c>
      <c r="G127" s="105"/>
    </row>
    <row r="128" spans="1:7" ht="313.5" hidden="1" customHeight="1" thickTop="1" thickBot="1" x14ac:dyDescent="0.3">
      <c r="A128" s="377">
        <v>41050400</v>
      </c>
      <c r="B128" s="378" t="s">
        <v>1458</v>
      </c>
      <c r="C128" s="375">
        <f t="shared" si="9"/>
        <v>0</v>
      </c>
      <c r="D128" s="379">
        <v>0</v>
      </c>
      <c r="E128" s="379"/>
      <c r="F128" s="379"/>
      <c r="G128" s="105"/>
    </row>
    <row r="129" spans="1:7" ht="228" hidden="1" customHeight="1" thickTop="1" thickBot="1" x14ac:dyDescent="0.3">
      <c r="A129" s="377">
        <v>41050500</v>
      </c>
      <c r="B129" s="378" t="s">
        <v>1052</v>
      </c>
      <c r="C129" s="375">
        <f t="shared" si="9"/>
        <v>0</v>
      </c>
      <c r="D129" s="379">
        <v>0</v>
      </c>
      <c r="E129" s="379"/>
      <c r="F129" s="379"/>
      <c r="G129" s="105"/>
    </row>
    <row r="130" spans="1:7" ht="326.25" hidden="1" customHeight="1" thickTop="1" thickBot="1" x14ac:dyDescent="0.3">
      <c r="A130" s="377">
        <v>41050600</v>
      </c>
      <c r="B130" s="378" t="s">
        <v>1459</v>
      </c>
      <c r="C130" s="375">
        <f t="shared" si="9"/>
        <v>0</v>
      </c>
      <c r="D130" s="379">
        <v>0</v>
      </c>
      <c r="E130" s="379"/>
      <c r="F130" s="379"/>
      <c r="G130" s="105"/>
    </row>
    <row r="131" spans="1:7" ht="116.25" hidden="1" thickTop="1" thickBot="1" x14ac:dyDescent="0.3">
      <c r="A131" s="383">
        <v>41050900</v>
      </c>
      <c r="B131" s="384" t="s">
        <v>1053</v>
      </c>
      <c r="C131" s="385">
        <f t="shared" si="9"/>
        <v>0</v>
      </c>
      <c r="D131" s="386">
        <v>0</v>
      </c>
      <c r="E131" s="386"/>
      <c r="F131" s="386"/>
      <c r="G131" s="105"/>
    </row>
    <row r="132" spans="1:7" ht="39.75" thickTop="1" thickBot="1" x14ac:dyDescent="0.3">
      <c r="A132" s="659">
        <v>41051000</v>
      </c>
      <c r="B132" s="660" t="s">
        <v>474</v>
      </c>
      <c r="C132" s="655">
        <f t="shared" si="9"/>
        <v>11127203</v>
      </c>
      <c r="D132" s="661">
        <v>11127203</v>
      </c>
      <c r="E132" s="379"/>
      <c r="F132" s="379"/>
      <c r="G132" s="105"/>
    </row>
    <row r="133" spans="1:7" ht="52.5" hidden="1" thickTop="1" thickBot="1" x14ac:dyDescent="0.3">
      <c r="A133" s="377">
        <v>41051200</v>
      </c>
      <c r="B133" s="378" t="s">
        <v>1303</v>
      </c>
      <c r="C133" s="375">
        <f>SUM(D133,E133)</f>
        <v>0</v>
      </c>
      <c r="D133" s="379">
        <v>0</v>
      </c>
      <c r="E133" s="379"/>
      <c r="F133" s="379"/>
      <c r="G133" s="105"/>
    </row>
    <row r="134" spans="1:7" ht="65.25" hidden="1" thickTop="1" thickBot="1" x14ac:dyDescent="0.3">
      <c r="A134" s="383">
        <v>41051400</v>
      </c>
      <c r="B134" s="384" t="s">
        <v>993</v>
      </c>
      <c r="C134" s="385">
        <f t="shared" si="9"/>
        <v>0</v>
      </c>
      <c r="D134" s="386">
        <v>0</v>
      </c>
      <c r="E134" s="386"/>
      <c r="F134" s="386"/>
      <c r="G134" s="105"/>
    </row>
    <row r="135" spans="1:7" ht="65.25" hidden="1" thickTop="1" thickBot="1" x14ac:dyDescent="0.3">
      <c r="A135" s="377">
        <v>41051700</v>
      </c>
      <c r="B135" s="378" t="s">
        <v>950</v>
      </c>
      <c r="C135" s="375">
        <f t="shared" si="6"/>
        <v>0</v>
      </c>
      <c r="D135" s="379">
        <v>0</v>
      </c>
      <c r="E135" s="379"/>
      <c r="F135" s="379"/>
      <c r="G135" s="105"/>
    </row>
    <row r="136" spans="1:7" ht="90.75" hidden="1" thickTop="1" thickBot="1" x14ac:dyDescent="0.3">
      <c r="A136" s="383">
        <v>41056600</v>
      </c>
      <c r="B136" s="384" t="s">
        <v>1034</v>
      </c>
      <c r="C136" s="385">
        <f t="shared" si="6"/>
        <v>0</v>
      </c>
      <c r="D136" s="386">
        <f>10623233.82-10623233.82</f>
        <v>0</v>
      </c>
      <c r="E136" s="386"/>
      <c r="F136" s="386"/>
      <c r="G136" s="105"/>
    </row>
    <row r="137" spans="1:7" ht="52.5" hidden="1" thickTop="1" thickBot="1" x14ac:dyDescent="0.25">
      <c r="A137" s="383">
        <v>41055000</v>
      </c>
      <c r="B137" s="384" t="s">
        <v>1054</v>
      </c>
      <c r="C137" s="385">
        <f t="shared" si="6"/>
        <v>0</v>
      </c>
      <c r="D137" s="386">
        <v>0</v>
      </c>
      <c r="E137" s="386"/>
      <c r="F137" s="386"/>
      <c r="G137" s="106"/>
    </row>
    <row r="138" spans="1:7" ht="27" hidden="1" thickTop="1" thickBot="1" x14ac:dyDescent="0.25">
      <c r="A138" s="383">
        <v>41053600</v>
      </c>
      <c r="B138" s="384" t="s">
        <v>952</v>
      </c>
      <c r="C138" s="385">
        <f t="shared" si="6"/>
        <v>0</v>
      </c>
      <c r="D138" s="386"/>
      <c r="E138" s="386">
        <v>0</v>
      </c>
      <c r="F138" s="386"/>
      <c r="G138" s="106"/>
    </row>
    <row r="139" spans="1:7" ht="205.5" hidden="1" thickTop="1" thickBot="1" x14ac:dyDescent="0.25">
      <c r="A139" s="383">
        <v>41054200</v>
      </c>
      <c r="B139" s="384" t="s">
        <v>1055</v>
      </c>
      <c r="C139" s="385">
        <f t="shared" si="6"/>
        <v>0</v>
      </c>
      <c r="D139" s="386">
        <v>0</v>
      </c>
      <c r="E139" s="386"/>
      <c r="F139" s="386"/>
      <c r="G139" s="106"/>
    </row>
    <row r="140" spans="1:7" ht="27" thickTop="1" thickBot="1" x14ac:dyDescent="0.25">
      <c r="A140" s="659">
        <v>41053900</v>
      </c>
      <c r="B140" s="660" t="s">
        <v>903</v>
      </c>
      <c r="C140" s="655">
        <f t="shared" si="6"/>
        <v>1018034</v>
      </c>
      <c r="D140" s="661">
        <f>SUM(D141:D146)</f>
        <v>1018034</v>
      </c>
      <c r="E140" s="661">
        <f>SUM(E141:E146)</f>
        <v>0</v>
      </c>
      <c r="F140" s="661">
        <f>SUM(F141:F146)</f>
        <v>0</v>
      </c>
      <c r="G140" s="106"/>
    </row>
    <row r="141" spans="1:7" ht="15.75" hidden="1" thickTop="1" thickBot="1" x14ac:dyDescent="0.25">
      <c r="A141" s="659"/>
      <c r="B141" s="676" t="s">
        <v>953</v>
      </c>
      <c r="C141" s="658">
        <f>SUM(D141,E141)</f>
        <v>0</v>
      </c>
      <c r="D141" s="677"/>
      <c r="E141" s="382">
        <v>0</v>
      </c>
      <c r="F141" s="382">
        <v>0</v>
      </c>
      <c r="G141" s="106"/>
    </row>
    <row r="142" spans="1:7" ht="39.75" thickTop="1" thickBot="1" x14ac:dyDescent="0.25">
      <c r="A142" s="659"/>
      <c r="B142" s="676" t="s">
        <v>904</v>
      </c>
      <c r="C142" s="658">
        <f t="shared" si="6"/>
        <v>362971</v>
      </c>
      <c r="D142" s="677">
        <v>362971</v>
      </c>
      <c r="E142" s="382"/>
      <c r="F142" s="382"/>
      <c r="G142" s="106"/>
    </row>
    <row r="143" spans="1:7" ht="52.5" thickTop="1" thickBot="1" x14ac:dyDescent="0.25">
      <c r="A143" s="659"/>
      <c r="B143" s="676" t="s">
        <v>905</v>
      </c>
      <c r="C143" s="658">
        <f t="shared" si="6"/>
        <v>184607</v>
      </c>
      <c r="D143" s="677">
        <v>184607</v>
      </c>
      <c r="E143" s="382"/>
      <c r="F143" s="382"/>
      <c r="G143" s="106"/>
    </row>
    <row r="144" spans="1:7" ht="27" thickTop="1" thickBot="1" x14ac:dyDescent="0.25">
      <c r="A144" s="659"/>
      <c r="B144" s="676" t="s">
        <v>906</v>
      </c>
      <c r="C144" s="658">
        <f t="shared" si="6"/>
        <v>470456</v>
      </c>
      <c r="D144" s="677">
        <v>470456</v>
      </c>
      <c r="E144" s="382"/>
      <c r="F144" s="382"/>
      <c r="G144" s="106"/>
    </row>
    <row r="145" spans="1:10" ht="39.75" hidden="1" thickTop="1" thickBot="1" x14ac:dyDescent="0.25">
      <c r="A145" s="383"/>
      <c r="B145" s="387" t="s">
        <v>1093</v>
      </c>
      <c r="C145" s="110">
        <f t="shared" si="6"/>
        <v>0</v>
      </c>
      <c r="D145" s="111">
        <v>0</v>
      </c>
      <c r="E145" s="111"/>
      <c r="F145" s="111"/>
      <c r="G145" s="106"/>
    </row>
    <row r="146" spans="1:10" ht="27" hidden="1" thickTop="1" thickBot="1" x14ac:dyDescent="0.25">
      <c r="A146" s="383"/>
      <c r="B146" s="387" t="s">
        <v>1094</v>
      </c>
      <c r="C146" s="110">
        <f t="shared" si="6"/>
        <v>0</v>
      </c>
      <c r="D146" s="111"/>
      <c r="E146" s="111">
        <v>0</v>
      </c>
      <c r="F146" s="111">
        <v>0</v>
      </c>
      <c r="G146" s="106"/>
    </row>
    <row r="147" spans="1:10" ht="65.25" hidden="1" thickTop="1" thickBot="1" x14ac:dyDescent="0.25">
      <c r="A147" s="377">
        <v>41057700</v>
      </c>
      <c r="B147" s="378" t="s">
        <v>1406</v>
      </c>
      <c r="C147" s="375">
        <f>SUM(D147,E147)</f>
        <v>0</v>
      </c>
      <c r="D147" s="379">
        <v>0</v>
      </c>
      <c r="E147" s="379"/>
      <c r="F147" s="379"/>
      <c r="G147" s="106"/>
    </row>
    <row r="148" spans="1:10" ht="52.5" hidden="1" thickTop="1" thickBot="1" x14ac:dyDescent="0.25">
      <c r="A148" s="377">
        <v>41059000</v>
      </c>
      <c r="B148" s="378" t="s">
        <v>1433</v>
      </c>
      <c r="C148" s="375">
        <f>SUM(D148,E148)</f>
        <v>0</v>
      </c>
      <c r="D148" s="379">
        <v>0</v>
      </c>
      <c r="E148" s="379"/>
      <c r="F148" s="379"/>
      <c r="G148" s="106"/>
    </row>
    <row r="149" spans="1:10" ht="33.75" customHeight="1" thickTop="1" thickBot="1" x14ac:dyDescent="0.3">
      <c r="A149" s="673"/>
      <c r="B149" s="674" t="s">
        <v>1046</v>
      </c>
      <c r="C149" s="675">
        <f>SUM(D149,E149)</f>
        <v>4036973892</v>
      </c>
      <c r="D149" s="675">
        <f>SUM(D111,D112)</f>
        <v>3789669937</v>
      </c>
      <c r="E149" s="675">
        <f>SUM(E111,E112)</f>
        <v>247303955</v>
      </c>
      <c r="F149" s="675">
        <f>SUM(F111,F112)</f>
        <v>11743003</v>
      </c>
      <c r="G149" s="681" t="b">
        <f>C149=C144+C143+C142+C122+C116+C110+C103+C102+C98+C97+C96+C95+C92+C91+C90+C89+C86+C85+C83+C81+C80+C79+C74+C73+C72+C70+C69+C65+C64+C63+C60+C59+C58+C56+C55+C51+C50+C49+C48+C47+C46+C45+C44+C43+C42+C38+C36+C33+C31+C29+C25+C21+C20+C19+C18+C107+C106+C39+C53+C133+C132+C114+C147+C117+C148+C108+C130+C128+C129+C135+C87+C28+C23+C22+C76+C75</f>
        <v>1</v>
      </c>
      <c r="H149" s="681" t="b">
        <f>D149=D144+D143+D142+D122+D116+D110+D103+D102+D98+D97+D96+D95+D92+D91+D90+D89+D86+D85+D83+D81+D80+D79+D74+D73+D72+D70+D69+D65+D64+D63+D60+D59+D58+D56+D55+D51+D50+D49+D48+D47+D46+D45+D44+D43+D42+D38+D36+D33+D31+D29+D25+D21+D20+D19+D18+D107+D106+D39+D53+D133+D132+D114+D147+D117+D148+D108+D130+D128+D129+D135+D87+D28+D23+D22+D76+D75</f>
        <v>1</v>
      </c>
      <c r="I149" s="681" t="b">
        <f>E149=E144+E143+E142+E122+E116+E110+E103+E102+E98+E97+E96+E95+E92+E91+E90+E89+E86+E85+E83+E81+E80+E79+E74+E73+E72+E70+E69+E65+E64+E63+E60+E59+E58+E56+E55+E51+E50+E49+E48+E47+E46+E45+E44+E43+E42+E38+E36+E33+E31+E29+E25+E21+E20+E19+E18+E107+E106+E39+E53+E133+E132+E114+E147+E117+E148+E108+E130+E128+E129+E135+E87+E28+E23+E22+E76+E75</f>
        <v>1</v>
      </c>
      <c r="J149" s="681" t="b">
        <f>F149=F144+F143+F142+F122+F116+F110+F103+F102+F98+F97+F96+F95+F92+F91+F90+F89+F86+F85+F83+F81+F80+F79+F74+F73+F72+F70+F69+F65+F64+F63+F60+F59+F58+F56+F55+F51+F50+F49+F48+F47+F46+F45+F44+F43+F42+F38+F36+F33+F31+F29+F25+F21+F20+F19+F18+F107+F106+F39+F53+F133+F132+F114+F147+F117+F148+F108+F130+F128+F129+F135+F87+F28+F23+F22+F76+F75</f>
        <v>1</v>
      </c>
    </row>
    <row r="150" spans="1:10" ht="16.5" thickTop="1" x14ac:dyDescent="0.25">
      <c r="B150" s="112"/>
      <c r="G150" s="681" t="b">
        <f>4196633892-'d2'!C37-'d2'!C22=C149</f>
        <v>1</v>
      </c>
    </row>
    <row r="151" spans="1:10" ht="15.75" x14ac:dyDescent="0.2">
      <c r="B151" s="368" t="s">
        <v>1515</v>
      </c>
      <c r="C151"/>
      <c r="D151"/>
      <c r="E151" s="369" t="s">
        <v>1516</v>
      </c>
      <c r="F151" s="114"/>
    </row>
    <row r="152" spans="1:10" ht="15.75" hidden="1" x14ac:dyDescent="0.2">
      <c r="B152" s="368" t="s">
        <v>1479</v>
      </c>
      <c r="C152"/>
      <c r="D152"/>
      <c r="E152" s="369" t="s">
        <v>1480</v>
      </c>
      <c r="F152" s="114"/>
    </row>
    <row r="153" spans="1:10" ht="15.75" x14ac:dyDescent="0.25">
      <c r="B153" s="1"/>
      <c r="C153" s="647"/>
      <c r="D153" s="647"/>
      <c r="E153" s="1"/>
    </row>
    <row r="154" spans="1:10" ht="15.75" x14ac:dyDescent="0.25">
      <c r="A154" s="115"/>
      <c r="B154" s="491" t="s">
        <v>524</v>
      </c>
      <c r="C154" s="1"/>
      <c r="D154" s="1"/>
      <c r="E154" s="1" t="s">
        <v>1374</v>
      </c>
      <c r="F154" s="115"/>
    </row>
    <row r="157" spans="1:10" x14ac:dyDescent="0.2">
      <c r="C157" s="113"/>
      <c r="D157" s="113"/>
      <c r="E157" s="113"/>
      <c r="F157" s="113"/>
    </row>
  </sheetData>
  <mergeCells count="13">
    <mergeCell ref="A6:F6"/>
    <mergeCell ref="A8:F8"/>
    <mergeCell ref="A9:F9"/>
    <mergeCell ref="A12:A13"/>
    <mergeCell ref="B12:B13"/>
    <mergeCell ref="C12:C13"/>
    <mergeCell ref="D12:D13"/>
    <mergeCell ref="E12:F12"/>
    <mergeCell ref="D1:G1"/>
    <mergeCell ref="D2:G2"/>
    <mergeCell ref="D3:G3"/>
    <mergeCell ref="A4:E4"/>
    <mergeCell ref="A5:F5"/>
  </mergeCells>
  <hyperlinks>
    <hyperlink ref="B100" location="_ftn1" display="_ftn1" xr:uid="{00000000-0004-0000-0000-000000000000}"/>
    <hyperlink ref="B99" location="_ftn1" display="_ftn1" xr:uid="{00000000-0004-0000-0000-000001000000}"/>
    <hyperlink ref="B86" location="_ftn1" display="_ftn1" xr:uid="{00000000-0004-0000-0000-000002000000}"/>
    <hyperlink ref="B20" location="_ftn1" display="_ftn1" xr:uid="{00000000-0004-0000-0000-000003000000}"/>
    <hyperlink ref="B19" location="_ftn1" display="_ftn1" xr:uid="{00000000-0004-0000-0000-000004000000}"/>
    <hyperlink ref="B64" location="_ftn1" display="_ftn1" xr:uid="{00000000-0004-0000-0000-000005000000}"/>
    <hyperlink ref="B104" location="_ftn1" display="_ftn1" xr:uid="{00000000-0004-0000-0000-000006000000}"/>
    <hyperlink ref="B105" location="_ftn1" display="_ftn1" xr:uid="{00000000-0004-0000-0000-000007000000}"/>
    <hyperlink ref="B72" location="_ftn1" display="_ftn1" xr:uid="{00000000-0004-0000-0000-000008000000}"/>
  </hyperlinks>
  <printOptions horizontalCentered="1"/>
  <pageMargins left="0.35433070866141736" right="0.15748031496062992" top="0.59055118110236227" bottom="0.51181102362204722" header="0.51181102362204722" footer="0.51181102362204722"/>
  <pageSetup paperSize="9" scale="87" fitToHeight="0" orientation="portrait" verticalDpi="4294967295" r:id="rId1"/>
  <headerFooter alignWithMargins="0"/>
  <rowBreaks count="1" manualBreakCount="1">
    <brk id="109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4"/>
  <sheetViews>
    <sheetView view="pageBreakPreview" topLeftCell="A51" zoomScale="90" zoomScaleSheetLayoutView="90" workbookViewId="0">
      <selection activeCell="A62" sqref="A62:XFD62"/>
    </sheetView>
  </sheetViews>
  <sheetFormatPr defaultColWidth="9.140625" defaultRowHeight="12.75" x14ac:dyDescent="0.2"/>
  <cols>
    <col min="1" max="1" width="9.7109375" style="13" customWidth="1"/>
    <col min="2" max="3" width="22.140625" style="13" customWidth="1"/>
    <col min="4" max="4" width="15.5703125" style="13" customWidth="1"/>
    <col min="5" max="5" width="15.28515625" style="13" customWidth="1"/>
    <col min="6" max="6" width="15.42578125" style="13" customWidth="1"/>
    <col min="7" max="7" width="15.140625" style="13" customWidth="1"/>
    <col min="8" max="8" width="16.42578125" style="13" customWidth="1"/>
    <col min="9" max="9" width="8.28515625" style="13" customWidth="1"/>
    <col min="10" max="10" width="9.140625" style="13"/>
    <col min="11" max="11" width="9.7109375" style="13" customWidth="1"/>
    <col min="12" max="12" width="9.140625" style="13"/>
    <col min="13" max="13" width="8.140625" style="13" customWidth="1"/>
    <col min="14" max="16384" width="9.140625" style="13"/>
  </cols>
  <sheetData>
    <row r="1" spans="1:17" x14ac:dyDescent="0.2">
      <c r="A1"/>
      <c r="B1"/>
      <c r="C1"/>
      <c r="D1"/>
      <c r="E1"/>
      <c r="F1" s="323" t="s">
        <v>114</v>
      </c>
    </row>
    <row r="2" spans="1:17" x14ac:dyDescent="0.2">
      <c r="A2"/>
      <c r="B2"/>
      <c r="C2"/>
      <c r="D2"/>
      <c r="E2"/>
      <c r="F2" s="323" t="s">
        <v>965</v>
      </c>
    </row>
    <row r="3" spans="1:17" x14ac:dyDescent="0.2">
      <c r="A3"/>
      <c r="B3"/>
      <c r="C3"/>
      <c r="D3"/>
      <c r="E3"/>
      <c r="F3" s="323" t="s">
        <v>1314</v>
      </c>
    </row>
    <row r="4" spans="1:17" x14ac:dyDescent="0.2">
      <c r="A4"/>
      <c r="B4"/>
      <c r="C4"/>
      <c r="D4"/>
      <c r="E4"/>
      <c r="F4"/>
    </row>
    <row r="5" spans="1:17" ht="18.75" x14ac:dyDescent="0.2">
      <c r="A5" s="709" t="s">
        <v>573</v>
      </c>
      <c r="B5" s="709"/>
      <c r="C5" s="709"/>
      <c r="D5" s="709"/>
      <c r="E5" s="709"/>
      <c r="F5" s="709"/>
    </row>
    <row r="6" spans="1:17" ht="18.75" x14ac:dyDescent="0.2">
      <c r="A6" s="709" t="s">
        <v>1563</v>
      </c>
      <c r="B6" s="709"/>
      <c r="C6" s="709"/>
      <c r="D6" s="709"/>
      <c r="E6" s="709"/>
      <c r="F6" s="709"/>
    </row>
    <row r="7" spans="1:17" ht="18.75" x14ac:dyDescent="0.2">
      <c r="A7" s="324"/>
      <c r="B7" s="324"/>
      <c r="C7" s="324"/>
      <c r="D7" s="324"/>
      <c r="E7" s="324"/>
      <c r="F7" s="324"/>
    </row>
    <row r="8" spans="1:17" x14ac:dyDescent="0.2">
      <c r="A8" s="710">
        <v>2256400000</v>
      </c>
      <c r="B8" s="711"/>
      <c r="C8" s="712"/>
      <c r="D8" s="712"/>
      <c r="E8" s="712"/>
      <c r="F8" s="712"/>
      <c r="G8" s="20"/>
    </row>
    <row r="9" spans="1:17" ht="15" customHeight="1" x14ac:dyDescent="0.2">
      <c r="A9" s="713" t="s">
        <v>490</v>
      </c>
      <c r="B9" s="714"/>
      <c r="C9" s="712"/>
      <c r="D9" s="712"/>
      <c r="E9" s="712"/>
      <c r="F9" s="712"/>
      <c r="G9" s="20"/>
    </row>
    <row r="10" spans="1:17" ht="13.5" thickBot="1" x14ac:dyDescent="0.25">
      <c r="A10" s="566"/>
      <c r="B10" s="566"/>
      <c r="C10"/>
      <c r="D10"/>
      <c r="E10"/>
      <c r="F10" s="567" t="s">
        <v>404</v>
      </c>
      <c r="G10" s="20"/>
    </row>
    <row r="11" spans="1:17" ht="14.25" thickTop="1" thickBot="1" x14ac:dyDescent="0.25">
      <c r="A11" s="715" t="s">
        <v>57</v>
      </c>
      <c r="B11" s="715" t="s">
        <v>378</v>
      </c>
      <c r="C11" s="715" t="s">
        <v>383</v>
      </c>
      <c r="D11" s="715" t="s">
        <v>12</v>
      </c>
      <c r="E11" s="715" t="s">
        <v>52</v>
      </c>
      <c r="F11" s="715"/>
      <c r="G11" s="20"/>
    </row>
    <row r="12" spans="1:17" ht="35.450000000000003" customHeight="1" thickTop="1" thickBot="1" x14ac:dyDescent="0.25">
      <c r="A12" s="715"/>
      <c r="B12" s="715"/>
      <c r="C12" s="715"/>
      <c r="D12" s="716"/>
      <c r="E12" s="568" t="s">
        <v>384</v>
      </c>
      <c r="F12" s="568" t="s">
        <v>385</v>
      </c>
      <c r="G12" s="20"/>
    </row>
    <row r="13" spans="1:17" ht="14.25" thickTop="1" thickBot="1" x14ac:dyDescent="0.25">
      <c r="A13" s="569">
        <v>1</v>
      </c>
      <c r="B13" s="569">
        <v>2</v>
      </c>
      <c r="C13" s="569">
        <v>3</v>
      </c>
      <c r="D13" s="569">
        <v>4</v>
      </c>
      <c r="E13" s="569">
        <v>5</v>
      </c>
      <c r="F13" s="569">
        <v>6</v>
      </c>
      <c r="G13" s="20"/>
    </row>
    <row r="14" spans="1:17" ht="30.75" customHeight="1" thickTop="1" thickBot="1" x14ac:dyDescent="0.25">
      <c r="A14" s="717" t="s">
        <v>379</v>
      </c>
      <c r="B14" s="717"/>
      <c r="C14" s="718"/>
      <c r="D14" s="718"/>
      <c r="E14" s="718"/>
      <c r="F14" s="718"/>
      <c r="G14" s="20"/>
    </row>
    <row r="15" spans="1:17" ht="26.25" customHeight="1" thickTop="1" thickBot="1" x14ac:dyDescent="0.25">
      <c r="A15" s="579" t="s">
        <v>115</v>
      </c>
      <c r="B15" s="580" t="s">
        <v>116</v>
      </c>
      <c r="C15" s="579">
        <f>C16+C25+C20</f>
        <v>150000000</v>
      </c>
      <c r="D15" s="579">
        <f>D16+D25+D20</f>
        <v>-73255495.799999714</v>
      </c>
      <c r="E15" s="579">
        <f>E16+E25+E20</f>
        <v>223255495.79999971</v>
      </c>
      <c r="F15" s="579">
        <f>F16+F25+F20</f>
        <v>223255495.79999971</v>
      </c>
      <c r="G15" s="390">
        <f>E15-F15</f>
        <v>0</v>
      </c>
      <c r="H15" s="117"/>
      <c r="I15" s="117"/>
      <c r="J15" s="117"/>
      <c r="K15" s="117"/>
      <c r="L15" s="117"/>
      <c r="M15" s="117"/>
      <c r="N15" s="117"/>
      <c r="O15" s="117"/>
      <c r="P15" s="117"/>
      <c r="Q15" s="117"/>
    </row>
    <row r="16" spans="1:17" ht="42" hidden="1" thickTop="1" thickBot="1" x14ac:dyDescent="0.25">
      <c r="A16" s="576">
        <v>202000</v>
      </c>
      <c r="B16" s="581" t="s">
        <v>971</v>
      </c>
      <c r="C16" s="578">
        <f t="shared" ref="C16:C17" si="0">SUM(D16,E16)</f>
        <v>0</v>
      </c>
      <c r="D16" s="578">
        <f t="shared" ref="D16" si="1">D17</f>
        <v>0</v>
      </c>
      <c r="E16" s="578">
        <f>E17</f>
        <v>0</v>
      </c>
      <c r="F16" s="578">
        <f t="shared" ref="F16" si="2">F17</f>
        <v>0</v>
      </c>
      <c r="G16" s="390"/>
      <c r="H16" s="117"/>
      <c r="I16" s="117"/>
      <c r="J16" s="117"/>
      <c r="K16" s="117"/>
      <c r="L16" s="117"/>
      <c r="M16" s="117"/>
      <c r="N16" s="117"/>
      <c r="O16" s="117"/>
      <c r="P16" s="117"/>
      <c r="Q16" s="117"/>
    </row>
    <row r="17" spans="1:17" ht="27" hidden="1" thickTop="1" thickBot="1" x14ac:dyDescent="0.25">
      <c r="A17" s="582">
        <v>202200</v>
      </c>
      <c r="B17" s="583" t="s">
        <v>973</v>
      </c>
      <c r="C17" s="579">
        <f t="shared" si="0"/>
        <v>0</v>
      </c>
      <c r="D17" s="579">
        <f>SUM(D18:D19)</f>
        <v>0</v>
      </c>
      <c r="E17" s="579">
        <f>SUM(E18:E19)</f>
        <v>0</v>
      </c>
      <c r="F17" s="579">
        <f>SUM(F18:F19)</f>
        <v>0</v>
      </c>
      <c r="G17" s="390"/>
      <c r="H17" s="117"/>
      <c r="I17" s="117"/>
      <c r="J17" s="117"/>
      <c r="K17" s="117"/>
      <c r="L17" s="117"/>
      <c r="M17" s="117"/>
      <c r="N17" s="117"/>
      <c r="O17" s="117"/>
      <c r="P17" s="117"/>
      <c r="Q17" s="117"/>
    </row>
    <row r="18" spans="1:17" ht="14.25" hidden="1" thickTop="1" thickBot="1" x14ac:dyDescent="0.25">
      <c r="A18" s="573">
        <v>202210</v>
      </c>
      <c r="B18" s="574" t="s">
        <v>972</v>
      </c>
      <c r="C18" s="575">
        <f>SUM(D18,E18)</f>
        <v>0</v>
      </c>
      <c r="D18" s="579"/>
      <c r="E18" s="575">
        <v>0</v>
      </c>
      <c r="F18" s="575">
        <v>0</v>
      </c>
      <c r="G18" s="390"/>
      <c r="H18" s="117"/>
      <c r="I18" s="117"/>
      <c r="J18" s="117"/>
      <c r="K18" s="117"/>
      <c r="L18" s="117"/>
      <c r="M18" s="117"/>
      <c r="N18" s="117"/>
      <c r="O18" s="117"/>
      <c r="P18" s="117"/>
      <c r="Q18" s="117"/>
    </row>
    <row r="19" spans="1:17" ht="14.25" hidden="1" thickTop="1" thickBot="1" x14ac:dyDescent="0.25">
      <c r="A19" s="573">
        <v>202220</v>
      </c>
      <c r="B19" s="574" t="s">
        <v>359</v>
      </c>
      <c r="C19" s="575">
        <f>SUM(D19,E19)</f>
        <v>0</v>
      </c>
      <c r="D19" s="579"/>
      <c r="E19" s="575">
        <v>0</v>
      </c>
      <c r="F19" s="575">
        <v>0</v>
      </c>
      <c r="G19" s="390"/>
      <c r="H19" s="117"/>
      <c r="I19" s="117"/>
      <c r="J19" s="117"/>
      <c r="K19" s="117"/>
      <c r="L19" s="117"/>
      <c r="M19" s="117"/>
      <c r="N19" s="117"/>
      <c r="O19" s="117"/>
      <c r="P19" s="117"/>
      <c r="Q19" s="117"/>
    </row>
    <row r="20" spans="1:17" ht="70.5" customHeight="1" thickTop="1" thickBot="1" x14ac:dyDescent="0.25">
      <c r="A20" s="576">
        <v>206000</v>
      </c>
      <c r="B20" s="577" t="s">
        <v>1507</v>
      </c>
      <c r="C20" s="578">
        <f>C21+C23</f>
        <v>150000000</v>
      </c>
      <c r="D20" s="578">
        <f t="shared" ref="D20:F20" si="3">D21+D23</f>
        <v>150000000</v>
      </c>
      <c r="E20" s="578">
        <f t="shared" si="3"/>
        <v>0</v>
      </c>
      <c r="F20" s="578">
        <f t="shared" si="3"/>
        <v>0</v>
      </c>
      <c r="G20" s="390"/>
      <c r="H20" s="117"/>
      <c r="I20" s="117"/>
      <c r="J20" s="117"/>
      <c r="K20" s="117"/>
      <c r="L20" s="117"/>
      <c r="M20" s="117"/>
      <c r="N20" s="117"/>
      <c r="O20" s="117"/>
      <c r="P20" s="117"/>
      <c r="Q20" s="117"/>
    </row>
    <row r="21" spans="1:17" ht="65.25" thickTop="1" thickBot="1" x14ac:dyDescent="0.25">
      <c r="A21" s="570">
        <v>206100</v>
      </c>
      <c r="B21" s="571" t="s">
        <v>1508</v>
      </c>
      <c r="C21" s="572">
        <f>C22</f>
        <v>150000000</v>
      </c>
      <c r="D21" s="572">
        <f t="shared" ref="D21" si="4">D22</f>
        <v>150000000</v>
      </c>
      <c r="E21" s="572">
        <f t="shared" ref="E21" si="5">E22</f>
        <v>0</v>
      </c>
      <c r="F21" s="572">
        <f t="shared" ref="F21" si="6">F22</f>
        <v>0</v>
      </c>
      <c r="G21" s="390"/>
      <c r="H21" s="117"/>
      <c r="I21" s="117"/>
      <c r="J21" s="117"/>
      <c r="K21" s="117"/>
      <c r="L21" s="117"/>
      <c r="M21" s="117"/>
      <c r="N21" s="117"/>
      <c r="O21" s="117"/>
      <c r="P21" s="117"/>
      <c r="Q21" s="117"/>
    </row>
    <row r="22" spans="1:17" ht="39.75" thickTop="1" thickBot="1" x14ac:dyDescent="0.25">
      <c r="A22" s="573">
        <v>206120</v>
      </c>
      <c r="B22" s="574" t="s">
        <v>1510</v>
      </c>
      <c r="C22" s="575">
        <f>D22+E22</f>
        <v>150000000</v>
      </c>
      <c r="D22" s="575">
        <v>150000000</v>
      </c>
      <c r="E22" s="575">
        <v>0</v>
      </c>
      <c r="F22" s="575">
        <v>0</v>
      </c>
      <c r="G22" s="390"/>
      <c r="H22" s="117"/>
      <c r="I22" s="117"/>
      <c r="J22" s="117"/>
      <c r="K22" s="117"/>
      <c r="L22" s="117"/>
      <c r="M22" s="117"/>
      <c r="N22" s="117"/>
      <c r="O22" s="117"/>
      <c r="P22" s="117"/>
      <c r="Q22" s="117"/>
    </row>
    <row r="23" spans="1:17" ht="52.5" hidden="1" thickTop="1" thickBot="1" x14ac:dyDescent="0.25">
      <c r="A23" s="394">
        <v>206200</v>
      </c>
      <c r="B23" s="395" t="s">
        <v>1509</v>
      </c>
      <c r="C23" s="396">
        <f>C24</f>
        <v>0</v>
      </c>
      <c r="D23" s="396">
        <f t="shared" ref="D23:F23" si="7">D24</f>
        <v>0</v>
      </c>
      <c r="E23" s="396">
        <f t="shared" si="7"/>
        <v>0</v>
      </c>
      <c r="F23" s="396">
        <f t="shared" si="7"/>
        <v>0</v>
      </c>
      <c r="G23" s="390"/>
      <c r="H23" s="117"/>
      <c r="I23" s="117"/>
      <c r="J23" s="117"/>
      <c r="K23" s="117"/>
      <c r="L23" s="117"/>
      <c r="M23" s="117"/>
      <c r="N23" s="117"/>
      <c r="O23" s="117"/>
      <c r="P23" s="117"/>
      <c r="Q23" s="117"/>
    </row>
    <row r="24" spans="1:17" ht="27" hidden="1" thickTop="1" thickBot="1" x14ac:dyDescent="0.25">
      <c r="A24" s="392">
        <v>206220</v>
      </c>
      <c r="B24" s="393" t="s">
        <v>1511</v>
      </c>
      <c r="C24" s="359">
        <f>D24+E24</f>
        <v>0</v>
      </c>
      <c r="D24" s="359">
        <v>0</v>
      </c>
      <c r="E24" s="359">
        <v>0</v>
      </c>
      <c r="F24" s="359">
        <v>0</v>
      </c>
      <c r="G24" s="390"/>
      <c r="H24" s="117"/>
      <c r="I24" s="117"/>
      <c r="J24" s="117"/>
      <c r="K24" s="117"/>
      <c r="L24" s="117"/>
      <c r="M24" s="117"/>
      <c r="N24" s="117"/>
      <c r="O24" s="117"/>
      <c r="P24" s="117"/>
      <c r="Q24" s="117"/>
    </row>
    <row r="25" spans="1:17" ht="42" thickTop="1" thickBot="1" x14ac:dyDescent="0.25">
      <c r="A25" s="576">
        <v>208000</v>
      </c>
      <c r="B25" s="577" t="s">
        <v>975</v>
      </c>
      <c r="C25" s="578">
        <f>C26+C29+C27</f>
        <v>0</v>
      </c>
      <c r="D25" s="578">
        <f>D26+D29+D27</f>
        <v>-223255495.79999971</v>
      </c>
      <c r="E25" s="578">
        <f>E26+E29+E27</f>
        <v>223255495.79999971</v>
      </c>
      <c r="F25" s="578">
        <f>F26+F29+F27</f>
        <v>223255495.79999971</v>
      </c>
      <c r="G25" s="397">
        <f>E25-F25</f>
        <v>0</v>
      </c>
      <c r="H25" s="117"/>
      <c r="I25" s="117"/>
      <c r="J25" s="117"/>
      <c r="K25" s="117"/>
      <c r="L25" s="117"/>
      <c r="M25" s="117"/>
      <c r="N25" s="117"/>
      <c r="O25" s="117"/>
      <c r="P25" s="117"/>
      <c r="Q25" s="117"/>
    </row>
    <row r="26" spans="1:17" ht="15" hidden="1" thickTop="1" thickBot="1" x14ac:dyDescent="0.25">
      <c r="A26" s="576" t="s">
        <v>117</v>
      </c>
      <c r="B26" s="581" t="s">
        <v>118</v>
      </c>
      <c r="C26" s="578">
        <f>SUM(D26,E26)</f>
        <v>0</v>
      </c>
      <c r="D26" s="578">
        <v>0</v>
      </c>
      <c r="E26" s="578">
        <v>0</v>
      </c>
      <c r="F26" s="578">
        <v>0</v>
      </c>
      <c r="G26" s="397"/>
      <c r="H26" s="117"/>
      <c r="I26" s="117"/>
      <c r="J26" s="117"/>
      <c r="K26" s="117"/>
      <c r="L26" s="117"/>
      <c r="M26" s="117"/>
      <c r="N26" s="117"/>
      <c r="O26" s="117"/>
      <c r="P26" s="117"/>
      <c r="Q26" s="117"/>
    </row>
    <row r="27" spans="1:17" ht="15" hidden="1" thickTop="1" thickBot="1" x14ac:dyDescent="0.25">
      <c r="A27" s="398">
        <v>208300</v>
      </c>
      <c r="B27" s="399" t="s">
        <v>978</v>
      </c>
      <c r="C27" s="400">
        <f>SUM(D27,E27)</f>
        <v>0</v>
      </c>
      <c r="D27" s="391">
        <f>D28</f>
        <v>0</v>
      </c>
      <c r="E27" s="391">
        <f>E28</f>
        <v>0</v>
      </c>
      <c r="F27" s="391">
        <f>F28</f>
        <v>0</v>
      </c>
      <c r="G27" s="390"/>
      <c r="H27" s="117"/>
      <c r="I27" s="117"/>
      <c r="J27" s="117"/>
      <c r="K27" s="117"/>
      <c r="L27" s="117"/>
      <c r="M27" s="117"/>
      <c r="N27" s="117"/>
      <c r="O27" s="117"/>
      <c r="P27" s="117"/>
      <c r="Q27" s="117"/>
    </row>
    <row r="28" spans="1:17" ht="52.5" hidden="1" thickTop="1" thickBot="1" x14ac:dyDescent="0.25">
      <c r="A28" s="118">
        <v>208330</v>
      </c>
      <c r="B28" s="119" t="s">
        <v>979</v>
      </c>
      <c r="C28" s="400">
        <f>SUM(D28,E28)</f>
        <v>0</v>
      </c>
      <c r="D28" s="359"/>
      <c r="E28" s="359">
        <f>-D28</f>
        <v>0</v>
      </c>
      <c r="F28" s="359">
        <f>E28</f>
        <v>0</v>
      </c>
      <c r="G28" s="390"/>
      <c r="H28" s="117"/>
      <c r="I28" s="117"/>
      <c r="J28" s="117"/>
      <c r="K28" s="117"/>
      <c r="L28" s="117"/>
      <c r="M28" s="117"/>
      <c r="N28" s="117"/>
      <c r="O28" s="117"/>
      <c r="P28" s="117"/>
      <c r="Q28" s="117"/>
    </row>
    <row r="29" spans="1:17" ht="55.5" thickTop="1" thickBot="1" x14ac:dyDescent="0.25">
      <c r="A29" s="576">
        <v>208400</v>
      </c>
      <c r="B29" s="581" t="s">
        <v>119</v>
      </c>
      <c r="C29" s="578">
        <f>SUM(D29,E29)</f>
        <v>0</v>
      </c>
      <c r="D29" s="578">
        <f>'d3'!E421-'d1'!D149+'d4'!N28+(-D20)-D26</f>
        <v>-223255495.79999971</v>
      </c>
      <c r="E29" s="578">
        <f>-D29</f>
        <v>223255495.79999971</v>
      </c>
      <c r="F29" s="578">
        <f>E29</f>
        <v>223255495.79999971</v>
      </c>
      <c r="G29" s="682" t="b">
        <f>E29=('d3'!J421+'d4'!O28)-('d1'!E149+E30+E26)</f>
        <v>1</v>
      </c>
      <c r="H29" s="117"/>
      <c r="I29" s="117"/>
      <c r="J29" s="117"/>
      <c r="K29" s="117"/>
      <c r="L29" s="117"/>
      <c r="M29" s="117"/>
      <c r="N29" s="117"/>
      <c r="O29" s="117"/>
      <c r="P29" s="117"/>
      <c r="Q29" s="117"/>
    </row>
    <row r="30" spans="1:17" ht="14.25" thickTop="1" thickBot="1" x14ac:dyDescent="0.25">
      <c r="A30" s="582">
        <v>300000</v>
      </c>
      <c r="B30" s="583" t="s">
        <v>356</v>
      </c>
      <c r="C30" s="579">
        <f>C31</f>
        <v>7069510</v>
      </c>
      <c r="D30" s="579">
        <f>D31</f>
        <v>0</v>
      </c>
      <c r="E30" s="579">
        <f>E31</f>
        <v>7069510</v>
      </c>
      <c r="F30" s="579">
        <f>F31</f>
        <v>7069510</v>
      </c>
      <c r="G30" s="116"/>
      <c r="H30" s="117"/>
      <c r="I30" s="117"/>
      <c r="J30" s="117"/>
      <c r="K30" s="117"/>
      <c r="L30" s="117"/>
      <c r="M30" s="117"/>
      <c r="N30" s="117"/>
      <c r="O30" s="117"/>
      <c r="P30" s="117"/>
      <c r="Q30" s="117"/>
    </row>
    <row r="31" spans="1:17" ht="42" thickTop="1" thickBot="1" x14ac:dyDescent="0.25">
      <c r="A31" s="576">
        <v>301000</v>
      </c>
      <c r="B31" s="581" t="s">
        <v>357</v>
      </c>
      <c r="C31" s="578">
        <f>C32+C33</f>
        <v>7069510</v>
      </c>
      <c r="D31" s="578">
        <f>D32+D33</f>
        <v>0</v>
      </c>
      <c r="E31" s="578">
        <f>E32+E33</f>
        <v>7069510</v>
      </c>
      <c r="F31" s="578">
        <f>F32+F33</f>
        <v>7069510</v>
      </c>
      <c r="G31" s="116"/>
      <c r="H31" s="117"/>
      <c r="I31" s="117"/>
      <c r="J31" s="117"/>
      <c r="K31" s="117"/>
      <c r="L31" s="117"/>
      <c r="M31" s="117"/>
      <c r="N31" s="117"/>
      <c r="O31" s="117"/>
      <c r="P31" s="117"/>
      <c r="Q31" s="117"/>
    </row>
    <row r="32" spans="1:17" ht="14.25" thickTop="1" thickBot="1" x14ac:dyDescent="0.25">
      <c r="A32" s="573">
        <v>301100</v>
      </c>
      <c r="B32" s="574" t="s">
        <v>358</v>
      </c>
      <c r="C32" s="575">
        <f>SUM(D32,E32)</f>
        <v>9660000</v>
      </c>
      <c r="D32" s="575"/>
      <c r="E32" s="575">
        <v>9660000</v>
      </c>
      <c r="F32" s="575">
        <v>9660000</v>
      </c>
      <c r="G32" s="116"/>
      <c r="H32" s="117"/>
      <c r="I32" s="117"/>
      <c r="J32" s="117"/>
      <c r="K32" s="117"/>
      <c r="L32" s="117"/>
      <c r="M32" s="117"/>
      <c r="N32" s="117"/>
      <c r="O32" s="117"/>
      <c r="P32" s="117"/>
      <c r="Q32" s="117"/>
    </row>
    <row r="33" spans="1:17" ht="14.25" thickTop="1" thickBot="1" x14ac:dyDescent="0.25">
      <c r="A33" s="573">
        <v>301200</v>
      </c>
      <c r="B33" s="574" t="s">
        <v>359</v>
      </c>
      <c r="C33" s="575">
        <f>SUM(D33,E33)</f>
        <v>-2590490</v>
      </c>
      <c r="D33" s="575"/>
      <c r="E33" s="575">
        <v>-2590490</v>
      </c>
      <c r="F33" s="575">
        <v>-2590490</v>
      </c>
      <c r="G33" s="116"/>
      <c r="H33" s="117"/>
      <c r="I33" s="117"/>
      <c r="J33" s="117"/>
      <c r="K33" s="117"/>
      <c r="L33" s="117"/>
      <c r="M33" s="117"/>
      <c r="N33" s="117"/>
      <c r="O33" s="117"/>
      <c r="P33" s="117"/>
      <c r="Q33" s="117"/>
    </row>
    <row r="34" spans="1:17" ht="24" customHeight="1" thickTop="1" thickBot="1" x14ac:dyDescent="0.25">
      <c r="A34" s="584" t="s">
        <v>381</v>
      </c>
      <c r="B34" s="585" t="s">
        <v>380</v>
      </c>
      <c r="C34" s="586">
        <f>C15+C30</f>
        <v>157069510</v>
      </c>
      <c r="D34" s="586">
        <f>D15+D30</f>
        <v>-73255495.799999714</v>
      </c>
      <c r="E34" s="586">
        <f>E15+E30</f>
        <v>230325005.79999971</v>
      </c>
      <c r="F34" s="586">
        <f>F15+F30</f>
        <v>230325005.79999971</v>
      </c>
      <c r="G34" s="116"/>
      <c r="H34" s="117"/>
      <c r="I34" s="117"/>
      <c r="J34" s="117"/>
      <c r="K34" s="117"/>
      <c r="L34" s="117"/>
      <c r="M34" s="117"/>
      <c r="N34" s="117"/>
      <c r="O34" s="117"/>
      <c r="P34" s="117"/>
      <c r="Q34" s="117"/>
    </row>
    <row r="35" spans="1:17" ht="35.450000000000003" customHeight="1" thickTop="1" thickBot="1" x14ac:dyDescent="0.25">
      <c r="A35" s="717" t="s">
        <v>382</v>
      </c>
      <c r="B35" s="717"/>
      <c r="C35" s="718"/>
      <c r="D35" s="718"/>
      <c r="E35" s="718"/>
      <c r="F35" s="718"/>
      <c r="G35" s="116"/>
      <c r="H35" s="117"/>
      <c r="I35" s="117"/>
      <c r="J35" s="117"/>
      <c r="K35" s="117"/>
      <c r="L35" s="117"/>
      <c r="M35" s="117"/>
      <c r="N35" s="117"/>
      <c r="O35" s="117"/>
      <c r="P35" s="117"/>
      <c r="Q35" s="117"/>
    </row>
    <row r="36" spans="1:17" ht="27" thickTop="1" thickBot="1" x14ac:dyDescent="0.25">
      <c r="A36" s="582">
        <v>400000</v>
      </c>
      <c r="B36" s="583" t="s">
        <v>120</v>
      </c>
      <c r="C36" s="579">
        <f>C37+C42</f>
        <v>7069510</v>
      </c>
      <c r="D36" s="579">
        <f>D37+D42</f>
        <v>0</v>
      </c>
      <c r="E36" s="579">
        <f>E37+E42</f>
        <v>7069510</v>
      </c>
      <c r="F36" s="579">
        <f>F37+F42</f>
        <v>7069510</v>
      </c>
      <c r="G36" s="116"/>
      <c r="H36" s="117"/>
      <c r="I36" s="117"/>
      <c r="J36" s="117"/>
      <c r="K36" s="117"/>
      <c r="L36" s="117"/>
      <c r="M36" s="117"/>
      <c r="N36" s="117"/>
      <c r="O36" s="117"/>
      <c r="P36" s="117"/>
      <c r="Q36" s="117"/>
    </row>
    <row r="37" spans="1:17" ht="15" thickTop="1" thickBot="1" x14ac:dyDescent="0.25">
      <c r="A37" s="576">
        <v>401000</v>
      </c>
      <c r="B37" s="581" t="s">
        <v>121</v>
      </c>
      <c r="C37" s="578">
        <f>C38+C40</f>
        <v>9660000</v>
      </c>
      <c r="D37" s="578">
        <f>D38+D40</f>
        <v>0</v>
      </c>
      <c r="E37" s="578">
        <f>E38+E40</f>
        <v>9660000</v>
      </c>
      <c r="F37" s="578">
        <f>F38+F40</f>
        <v>9660000</v>
      </c>
      <c r="G37" s="116"/>
      <c r="H37" s="117"/>
      <c r="I37" s="117"/>
      <c r="J37" s="117"/>
      <c r="K37" s="117"/>
      <c r="L37" s="117"/>
      <c r="M37" s="117"/>
      <c r="N37" s="117"/>
      <c r="O37" s="117"/>
      <c r="P37" s="117"/>
      <c r="Q37" s="117"/>
    </row>
    <row r="38" spans="1:17" ht="14.25" hidden="1" thickTop="1" thickBot="1" x14ac:dyDescent="0.25">
      <c r="A38" s="570">
        <v>401100</v>
      </c>
      <c r="B38" s="587" t="s">
        <v>974</v>
      </c>
      <c r="C38" s="572">
        <f>C39</f>
        <v>0</v>
      </c>
      <c r="D38" s="572">
        <f>D39</f>
        <v>0</v>
      </c>
      <c r="E38" s="572">
        <f>E39</f>
        <v>0</v>
      </c>
      <c r="F38" s="572">
        <f>F39</f>
        <v>0</v>
      </c>
      <c r="G38" s="116"/>
      <c r="H38" s="117"/>
      <c r="I38" s="117"/>
      <c r="J38" s="117"/>
      <c r="K38" s="117"/>
      <c r="L38" s="117"/>
      <c r="M38" s="117"/>
      <c r="N38" s="117"/>
      <c r="O38" s="117"/>
      <c r="P38" s="117"/>
      <c r="Q38" s="117"/>
    </row>
    <row r="39" spans="1:17" ht="27" hidden="1" thickTop="1" thickBot="1" x14ac:dyDescent="0.25">
      <c r="A39" s="573">
        <v>401101</v>
      </c>
      <c r="B39" s="574" t="s">
        <v>969</v>
      </c>
      <c r="C39" s="575">
        <f>SUM(D39,E39)</f>
        <v>0</v>
      </c>
      <c r="D39" s="579"/>
      <c r="E39" s="575">
        <v>0</v>
      </c>
      <c r="F39" s="575">
        <v>0</v>
      </c>
      <c r="G39" s="116"/>
      <c r="H39" s="117"/>
      <c r="I39" s="117"/>
      <c r="J39" s="117"/>
      <c r="K39" s="117"/>
      <c r="L39" s="117"/>
      <c r="M39" s="117"/>
      <c r="N39" s="117"/>
      <c r="O39" s="117"/>
      <c r="P39" s="117"/>
      <c r="Q39" s="117"/>
    </row>
    <row r="40" spans="1:17" s="4" customFormat="1" ht="14.25" thickTop="1" thickBot="1" x14ac:dyDescent="0.25">
      <c r="A40" s="570">
        <v>401200</v>
      </c>
      <c r="B40" s="587" t="s">
        <v>360</v>
      </c>
      <c r="C40" s="572">
        <f>SUM(D40,E40)</f>
        <v>9660000</v>
      </c>
      <c r="D40" s="572"/>
      <c r="E40" s="572">
        <f>E41</f>
        <v>9660000</v>
      </c>
      <c r="F40" s="572">
        <f>F41</f>
        <v>9660000</v>
      </c>
      <c r="G40" s="121"/>
      <c r="H40" s="122"/>
      <c r="I40" s="122"/>
      <c r="J40" s="122"/>
      <c r="K40" s="122"/>
      <c r="L40" s="122"/>
      <c r="M40" s="122"/>
      <c r="N40" s="122"/>
      <c r="O40" s="122"/>
      <c r="P40" s="122"/>
      <c r="Q40" s="122"/>
    </row>
    <row r="41" spans="1:17" ht="27" thickTop="1" thickBot="1" x14ac:dyDescent="0.25">
      <c r="A41" s="573">
        <v>401201</v>
      </c>
      <c r="B41" s="574" t="s">
        <v>969</v>
      </c>
      <c r="C41" s="575">
        <f>SUM(D41,E41)</f>
        <v>9660000</v>
      </c>
      <c r="D41" s="579"/>
      <c r="E41" s="575">
        <v>9660000</v>
      </c>
      <c r="F41" s="575">
        <v>9660000</v>
      </c>
      <c r="G41" s="116"/>
      <c r="H41" s="117"/>
      <c r="I41" s="117"/>
      <c r="J41" s="117"/>
      <c r="K41" s="117"/>
      <c r="L41" s="117"/>
      <c r="M41" s="117"/>
      <c r="N41" s="117"/>
      <c r="O41" s="117"/>
      <c r="P41" s="117"/>
      <c r="Q41" s="117"/>
    </row>
    <row r="42" spans="1:17" s="4" customFormat="1" ht="15" thickTop="1" thickBot="1" x14ac:dyDescent="0.25">
      <c r="A42" s="576">
        <v>402000</v>
      </c>
      <c r="B42" s="581" t="s">
        <v>361</v>
      </c>
      <c r="C42" s="578">
        <f>C45+C43</f>
        <v>-2590490</v>
      </c>
      <c r="D42" s="578">
        <f>D45+D43</f>
        <v>0</v>
      </c>
      <c r="E42" s="578">
        <f>E45+E43</f>
        <v>-2590490</v>
      </c>
      <c r="F42" s="578">
        <f>F45+F43</f>
        <v>-2590490</v>
      </c>
      <c r="G42" s="121"/>
      <c r="H42" s="122"/>
      <c r="I42" s="122"/>
      <c r="J42" s="122"/>
      <c r="K42" s="122"/>
      <c r="L42" s="122"/>
      <c r="M42" s="122"/>
      <c r="N42" s="122"/>
      <c r="O42" s="122"/>
      <c r="P42" s="122"/>
      <c r="Q42" s="122"/>
    </row>
    <row r="43" spans="1:17" s="4" customFormat="1" ht="14.25" hidden="1" thickTop="1" thickBot="1" x14ac:dyDescent="0.25">
      <c r="A43" s="570">
        <v>402100</v>
      </c>
      <c r="B43" s="587" t="s">
        <v>1031</v>
      </c>
      <c r="C43" s="572">
        <f>C44</f>
        <v>0</v>
      </c>
      <c r="D43" s="572">
        <f>D44</f>
        <v>0</v>
      </c>
      <c r="E43" s="572">
        <f>E44</f>
        <v>0</v>
      </c>
      <c r="F43" s="572">
        <f>F44</f>
        <v>0</v>
      </c>
      <c r="G43" s="121"/>
      <c r="H43" s="122"/>
      <c r="I43" s="122"/>
      <c r="J43" s="122"/>
      <c r="K43" s="122"/>
      <c r="L43" s="122"/>
      <c r="M43" s="122"/>
      <c r="N43" s="122"/>
      <c r="O43" s="122"/>
      <c r="P43" s="122"/>
      <c r="Q43" s="122"/>
    </row>
    <row r="44" spans="1:17" s="4" customFormat="1" ht="27" hidden="1" thickTop="1" thickBot="1" x14ac:dyDescent="0.25">
      <c r="A44" s="573">
        <v>402101</v>
      </c>
      <c r="B44" s="574" t="s">
        <v>969</v>
      </c>
      <c r="C44" s="575">
        <f>SUM(D44,E44)</f>
        <v>0</v>
      </c>
      <c r="D44" s="579"/>
      <c r="E44" s="575">
        <v>0</v>
      </c>
      <c r="F44" s="575">
        <v>0</v>
      </c>
      <c r="G44" s="121"/>
      <c r="H44" s="122"/>
      <c r="I44" s="122"/>
      <c r="J44" s="122"/>
      <c r="K44" s="122"/>
      <c r="L44" s="122"/>
      <c r="M44" s="122"/>
      <c r="N44" s="122"/>
      <c r="O44" s="122"/>
      <c r="P44" s="122"/>
      <c r="Q44" s="122"/>
    </row>
    <row r="45" spans="1:17" s="4" customFormat="1" ht="14.25" thickTop="1" thickBot="1" x14ac:dyDescent="0.25">
      <c r="A45" s="570">
        <v>402200</v>
      </c>
      <c r="B45" s="587" t="s">
        <v>968</v>
      </c>
      <c r="C45" s="572">
        <f>SUM(C46,C47)</f>
        <v>-2590490</v>
      </c>
      <c r="D45" s="572"/>
      <c r="E45" s="572">
        <f>SUM(E46,E47)</f>
        <v>-2590490</v>
      </c>
      <c r="F45" s="572">
        <f>SUM(F46,F47)</f>
        <v>-2590490</v>
      </c>
      <c r="G45" s="121"/>
      <c r="H45" s="122"/>
      <c r="I45" s="122"/>
      <c r="J45" s="122"/>
      <c r="K45" s="122"/>
      <c r="L45" s="122"/>
      <c r="M45" s="122"/>
      <c r="N45" s="122"/>
      <c r="O45" s="122"/>
      <c r="P45" s="122"/>
      <c r="Q45" s="122"/>
    </row>
    <row r="46" spans="1:17" s="4" customFormat="1" ht="27" thickTop="1" thickBot="1" x14ac:dyDescent="0.25">
      <c r="A46" s="573">
        <v>402201</v>
      </c>
      <c r="B46" s="574" t="s">
        <v>969</v>
      </c>
      <c r="C46" s="575">
        <f>SUM(D46,E46)</f>
        <v>-2590490</v>
      </c>
      <c r="D46" s="579"/>
      <c r="E46" s="575">
        <v>-2590490</v>
      </c>
      <c r="F46" s="575">
        <v>-2590490</v>
      </c>
      <c r="G46" s="121"/>
      <c r="H46" s="122"/>
      <c r="I46" s="122"/>
      <c r="J46" s="122"/>
      <c r="K46" s="122"/>
      <c r="L46" s="122"/>
      <c r="M46" s="122"/>
      <c r="N46" s="122"/>
      <c r="O46" s="122"/>
      <c r="P46" s="122"/>
      <c r="Q46" s="122"/>
    </row>
    <row r="47" spans="1:17" ht="27" hidden="1" thickTop="1" thickBot="1" x14ac:dyDescent="0.25">
      <c r="A47" s="118">
        <v>402202</v>
      </c>
      <c r="B47" s="119" t="s">
        <v>970</v>
      </c>
      <c r="C47" s="120">
        <f>SUM(D47,E47)</f>
        <v>0</v>
      </c>
      <c r="D47" s="358"/>
      <c r="E47" s="359">
        <v>0</v>
      </c>
      <c r="F47" s="120">
        <v>0</v>
      </c>
      <c r="G47" s="116"/>
      <c r="H47" s="117"/>
      <c r="I47" s="117"/>
      <c r="J47" s="117"/>
      <c r="K47" s="117"/>
      <c r="L47" s="117"/>
      <c r="M47" s="117"/>
      <c r="N47" s="117"/>
      <c r="O47" s="117"/>
      <c r="P47" s="117"/>
      <c r="Q47" s="117"/>
    </row>
    <row r="48" spans="1:17" ht="27" thickTop="1" thickBot="1" x14ac:dyDescent="0.25">
      <c r="A48" s="582" t="s">
        <v>122</v>
      </c>
      <c r="B48" s="583" t="s">
        <v>123</v>
      </c>
      <c r="C48" s="579">
        <f>C54+C49</f>
        <v>150000000</v>
      </c>
      <c r="D48" s="579">
        <f t="shared" ref="D48:F48" si="8">D54+D49</f>
        <v>-73255495.799999714</v>
      </c>
      <c r="E48" s="579">
        <f t="shared" si="8"/>
        <v>223255495.79999971</v>
      </c>
      <c r="F48" s="579">
        <f t="shared" si="8"/>
        <v>223255495.79999971</v>
      </c>
      <c r="G48" s="116"/>
      <c r="H48" s="117"/>
      <c r="I48" s="117"/>
      <c r="J48" s="117"/>
      <c r="K48" s="117"/>
      <c r="L48" s="117"/>
      <c r="M48" s="117"/>
      <c r="N48" s="117"/>
      <c r="O48" s="117"/>
      <c r="P48" s="117"/>
      <c r="Q48" s="117"/>
    </row>
    <row r="49" spans="1:17" ht="64.5" customHeight="1" thickTop="1" thickBot="1" x14ac:dyDescent="0.25">
      <c r="A49" s="576">
        <v>601000</v>
      </c>
      <c r="B49" s="581" t="s">
        <v>1512</v>
      </c>
      <c r="C49" s="578">
        <f>C50+C52</f>
        <v>150000000</v>
      </c>
      <c r="D49" s="578">
        <f t="shared" ref="D49:F49" si="9">D50+D52</f>
        <v>150000000</v>
      </c>
      <c r="E49" s="578">
        <f t="shared" si="9"/>
        <v>0</v>
      </c>
      <c r="F49" s="578">
        <f t="shared" si="9"/>
        <v>0</v>
      </c>
      <c r="G49" s="116"/>
      <c r="H49" s="117"/>
      <c r="I49" s="117"/>
      <c r="J49" s="117"/>
      <c r="K49" s="117"/>
      <c r="L49" s="117"/>
      <c r="M49" s="117"/>
      <c r="N49" s="117"/>
      <c r="O49" s="117"/>
      <c r="P49" s="117"/>
      <c r="Q49" s="117"/>
    </row>
    <row r="50" spans="1:17" ht="73.5" customHeight="1" thickTop="1" thickBot="1" x14ac:dyDescent="0.25">
      <c r="A50" s="570">
        <v>601100</v>
      </c>
      <c r="B50" s="587" t="s">
        <v>1508</v>
      </c>
      <c r="C50" s="572">
        <f>C51</f>
        <v>150000000</v>
      </c>
      <c r="D50" s="572">
        <f t="shared" ref="D50:F50" si="10">D51</f>
        <v>150000000</v>
      </c>
      <c r="E50" s="572">
        <f t="shared" si="10"/>
        <v>0</v>
      </c>
      <c r="F50" s="572">
        <f t="shared" si="10"/>
        <v>0</v>
      </c>
      <c r="G50" s="116"/>
      <c r="H50" s="117"/>
      <c r="I50" s="117"/>
      <c r="J50" s="117"/>
      <c r="K50" s="117"/>
      <c r="L50" s="117"/>
      <c r="M50" s="117"/>
      <c r="N50" s="117"/>
      <c r="O50" s="117"/>
      <c r="P50" s="117"/>
      <c r="Q50" s="117"/>
    </row>
    <row r="51" spans="1:17" ht="39.75" thickTop="1" thickBot="1" x14ac:dyDescent="0.25">
      <c r="A51" s="573">
        <v>601120</v>
      </c>
      <c r="B51" s="574" t="s">
        <v>1510</v>
      </c>
      <c r="C51" s="575">
        <f>D51+E51</f>
        <v>150000000</v>
      </c>
      <c r="D51" s="575">
        <v>150000000</v>
      </c>
      <c r="E51" s="575">
        <v>0</v>
      </c>
      <c r="F51" s="575">
        <v>0</v>
      </c>
      <c r="G51" s="116"/>
      <c r="H51" s="117"/>
      <c r="I51" s="117"/>
      <c r="J51" s="117"/>
      <c r="K51" s="117"/>
      <c r="L51" s="117"/>
      <c r="M51" s="117"/>
      <c r="N51" s="117"/>
      <c r="O51" s="117"/>
      <c r="P51" s="117"/>
      <c r="Q51" s="117"/>
    </row>
    <row r="52" spans="1:17" ht="52.5" hidden="1" thickTop="1" thickBot="1" x14ac:dyDescent="0.25">
      <c r="A52" s="394">
        <v>601200</v>
      </c>
      <c r="B52" s="401" t="s">
        <v>1513</v>
      </c>
      <c r="C52" s="396">
        <f>C53</f>
        <v>0</v>
      </c>
      <c r="D52" s="396">
        <f t="shared" ref="D52" si="11">D53</f>
        <v>0</v>
      </c>
      <c r="E52" s="396">
        <f t="shared" ref="E52" si="12">E53</f>
        <v>0</v>
      </c>
      <c r="F52" s="396">
        <f t="shared" ref="F52" si="13">F53</f>
        <v>0</v>
      </c>
      <c r="G52" s="116"/>
      <c r="H52" s="117"/>
      <c r="I52" s="117"/>
      <c r="J52" s="117"/>
      <c r="K52" s="117"/>
      <c r="L52" s="117"/>
      <c r="M52" s="117"/>
      <c r="N52" s="117"/>
      <c r="O52" s="117"/>
      <c r="P52" s="117"/>
      <c r="Q52" s="117"/>
    </row>
    <row r="53" spans="1:17" ht="27" hidden="1" thickTop="1" thickBot="1" x14ac:dyDescent="0.25">
      <c r="A53" s="392">
        <v>601220</v>
      </c>
      <c r="B53" s="393" t="s">
        <v>1514</v>
      </c>
      <c r="C53" s="359">
        <f>D53+E53</f>
        <v>0</v>
      </c>
      <c r="D53" s="359">
        <v>0</v>
      </c>
      <c r="E53" s="359">
        <v>0</v>
      </c>
      <c r="F53" s="359">
        <v>0</v>
      </c>
      <c r="G53" s="116"/>
      <c r="H53" s="117"/>
      <c r="I53" s="117"/>
      <c r="J53" s="117"/>
      <c r="K53" s="117"/>
      <c r="L53" s="117"/>
      <c r="M53" s="117"/>
      <c r="N53" s="117"/>
      <c r="O53" s="117"/>
      <c r="P53" s="117"/>
      <c r="Q53" s="117"/>
    </row>
    <row r="54" spans="1:17" ht="28.5" thickTop="1" thickBot="1" x14ac:dyDescent="0.25">
      <c r="A54" s="576">
        <v>602000</v>
      </c>
      <c r="B54" s="581" t="s">
        <v>976</v>
      </c>
      <c r="C54" s="578">
        <f>C55+C58+C56</f>
        <v>0</v>
      </c>
      <c r="D54" s="578">
        <f>D55+D58+D56</f>
        <v>-223255495.79999971</v>
      </c>
      <c r="E54" s="578">
        <f>E55+E58+E56</f>
        <v>223255495.79999971</v>
      </c>
      <c r="F54" s="578">
        <f>F55+F58+F56</f>
        <v>223255495.79999971</v>
      </c>
      <c r="G54" s="116"/>
      <c r="H54" s="117"/>
      <c r="I54" s="117"/>
      <c r="J54" s="117"/>
      <c r="K54" s="117"/>
      <c r="L54" s="117"/>
      <c r="M54" s="117"/>
      <c r="N54" s="117"/>
      <c r="O54" s="117"/>
      <c r="P54" s="117"/>
      <c r="Q54" s="117"/>
    </row>
    <row r="55" spans="1:17" ht="14.25" thickTop="1" thickBot="1" x14ac:dyDescent="0.25">
      <c r="A55" s="570">
        <v>602100</v>
      </c>
      <c r="B55" s="587" t="s">
        <v>977</v>
      </c>
      <c r="C55" s="572">
        <f>SUM(D55,E55)</f>
        <v>0</v>
      </c>
      <c r="D55" s="572">
        <f>D26</f>
        <v>0</v>
      </c>
      <c r="E55" s="572">
        <f>E26</f>
        <v>0</v>
      </c>
      <c r="F55" s="572">
        <f>F26</f>
        <v>0</v>
      </c>
      <c r="G55" s="116"/>
      <c r="H55" s="117"/>
      <c r="I55" s="117"/>
      <c r="J55" s="117"/>
      <c r="K55" s="117"/>
      <c r="L55" s="117"/>
      <c r="M55" s="117"/>
      <c r="N55" s="117"/>
      <c r="O55" s="117"/>
      <c r="P55" s="117"/>
      <c r="Q55" s="117"/>
    </row>
    <row r="56" spans="1:17" ht="14.25" hidden="1" thickTop="1" thickBot="1" x14ac:dyDescent="0.25">
      <c r="A56" s="570">
        <v>602300</v>
      </c>
      <c r="B56" s="587" t="s">
        <v>978</v>
      </c>
      <c r="C56" s="572">
        <f>SUM(D56,E56)</f>
        <v>0</v>
      </c>
      <c r="D56" s="572">
        <f>D57</f>
        <v>0</v>
      </c>
      <c r="E56" s="572">
        <f>E57</f>
        <v>0</v>
      </c>
      <c r="F56" s="572">
        <f>E56</f>
        <v>0</v>
      </c>
      <c r="G56" s="116"/>
      <c r="H56" s="117"/>
      <c r="I56" s="117"/>
      <c r="J56" s="117"/>
      <c r="K56" s="117"/>
      <c r="L56" s="117"/>
      <c r="M56" s="117"/>
      <c r="N56" s="117"/>
      <c r="O56" s="117"/>
      <c r="P56" s="117"/>
      <c r="Q56" s="117"/>
    </row>
    <row r="57" spans="1:17" ht="52.5" hidden="1" thickTop="1" thickBot="1" x14ac:dyDescent="0.25">
      <c r="A57" s="573">
        <v>602303</v>
      </c>
      <c r="B57" s="574" t="s">
        <v>979</v>
      </c>
      <c r="C57" s="575">
        <f>SUM(D57,E57)</f>
        <v>0</v>
      </c>
      <c r="D57" s="575"/>
      <c r="E57" s="575">
        <f>-D57</f>
        <v>0</v>
      </c>
      <c r="F57" s="575">
        <f>E57</f>
        <v>0</v>
      </c>
      <c r="G57" s="116"/>
      <c r="H57" s="117"/>
      <c r="I57" s="117"/>
      <c r="J57" s="117"/>
      <c r="K57" s="117"/>
      <c r="L57" s="117"/>
      <c r="M57" s="117"/>
      <c r="N57" s="117"/>
      <c r="O57" s="117"/>
      <c r="P57" s="117"/>
      <c r="Q57" s="117"/>
    </row>
    <row r="58" spans="1:17" ht="52.5" thickTop="1" thickBot="1" x14ac:dyDescent="0.25">
      <c r="A58" s="570">
        <v>602400</v>
      </c>
      <c r="B58" s="587" t="s">
        <v>119</v>
      </c>
      <c r="C58" s="572">
        <f>SUM(D58,E58)</f>
        <v>0</v>
      </c>
      <c r="D58" s="572">
        <f>D29</f>
        <v>-223255495.79999971</v>
      </c>
      <c r="E58" s="572">
        <f>E29</f>
        <v>223255495.79999971</v>
      </c>
      <c r="F58" s="572">
        <f>F29</f>
        <v>223255495.79999971</v>
      </c>
      <c r="G58" s="116"/>
      <c r="H58" s="117"/>
      <c r="I58" s="117"/>
      <c r="J58" s="117"/>
      <c r="K58" s="117"/>
      <c r="L58" s="117"/>
      <c r="M58" s="117"/>
      <c r="N58" s="117"/>
      <c r="O58" s="117"/>
      <c r="P58" s="117"/>
      <c r="Q58" s="117"/>
    </row>
    <row r="59" spans="1:17" ht="30" customHeight="1" thickTop="1" thickBot="1" x14ac:dyDescent="0.25">
      <c r="A59" s="584" t="s">
        <v>381</v>
      </c>
      <c r="B59" s="585" t="s">
        <v>380</v>
      </c>
      <c r="C59" s="586">
        <f>C36+C48</f>
        <v>157069510</v>
      </c>
      <c r="D59" s="586">
        <f>D36+D48</f>
        <v>-73255495.799999714</v>
      </c>
      <c r="E59" s="586">
        <f>E36+E48</f>
        <v>230325005.79999971</v>
      </c>
      <c r="F59" s="586">
        <f>F36+F48</f>
        <v>230325005.79999971</v>
      </c>
      <c r="G59" s="116"/>
      <c r="H59" s="117"/>
      <c r="I59" s="117"/>
      <c r="J59" s="117"/>
      <c r="K59" s="117"/>
      <c r="L59" s="117"/>
      <c r="M59" s="117"/>
      <c r="N59" s="117"/>
      <c r="O59" s="117"/>
      <c r="P59" s="117"/>
      <c r="Q59" s="117"/>
    </row>
    <row r="60" spans="1:17" ht="13.5" thickTop="1" x14ac:dyDescent="0.2">
      <c r="A60" s="123"/>
      <c r="B60" s="123"/>
      <c r="C60" s="123"/>
      <c r="D60" s="123"/>
      <c r="E60" s="123"/>
      <c r="F60" s="123"/>
      <c r="G60" s="123"/>
      <c r="H60" s="123"/>
      <c r="I60" s="123"/>
    </row>
    <row r="61" spans="1:17" ht="45.75" x14ac:dyDescent="0.65">
      <c r="A61" s="123"/>
      <c r="B61" s="371" t="s">
        <v>1515</v>
      </c>
      <c r="C61"/>
      <c r="D61"/>
      <c r="E61" s="14" t="s">
        <v>1516</v>
      </c>
      <c r="F61" s="14"/>
      <c r="G61" s="124"/>
      <c r="H61" s="124"/>
      <c r="I61" s="124"/>
      <c r="J61" s="124"/>
      <c r="K61" s="124"/>
      <c r="L61" s="124"/>
      <c r="M61" s="124"/>
      <c r="N61" s="124"/>
      <c r="O61" s="124"/>
    </row>
    <row r="62" spans="1:17" ht="31.5" hidden="1" x14ac:dyDescent="0.25">
      <c r="A62" s="123"/>
      <c r="B62" s="368" t="s">
        <v>1479</v>
      </c>
      <c r="C62"/>
      <c r="D62"/>
      <c r="E62" s="369" t="s">
        <v>1480</v>
      </c>
      <c r="F62" s="353"/>
      <c r="G62" s="123"/>
      <c r="H62" s="123"/>
      <c r="I62" s="123"/>
    </row>
    <row r="63" spans="1:17" ht="15.75" x14ac:dyDescent="0.25">
      <c r="A63" s="123"/>
      <c r="B63" s="366"/>
      <c r="C63" s="366"/>
      <c r="D63" s="367"/>
      <c r="E63" s="353"/>
      <c r="F63" s="353"/>
      <c r="G63" s="123"/>
      <c r="H63" s="123"/>
      <c r="I63" s="123"/>
    </row>
    <row r="64" spans="1:17" ht="15.75" customHeight="1" x14ac:dyDescent="0.25">
      <c r="B64" s="707" t="s">
        <v>524</v>
      </c>
      <c r="C64" s="708"/>
      <c r="D64" s="708"/>
      <c r="E64" s="1" t="s">
        <v>1374</v>
      </c>
      <c r="F64" s="1"/>
    </row>
  </sheetData>
  <mergeCells count="12">
    <mergeCell ref="B64:D64"/>
    <mergeCell ref="A5:F5"/>
    <mergeCell ref="A6:F6"/>
    <mergeCell ref="A8:F8"/>
    <mergeCell ref="A9:F9"/>
    <mergeCell ref="A11:A12"/>
    <mergeCell ref="B11:B12"/>
    <mergeCell ref="C11:C12"/>
    <mergeCell ref="D11:D12"/>
    <mergeCell ref="E11:F11"/>
    <mergeCell ref="A14:F14"/>
    <mergeCell ref="A35:F35"/>
  </mergeCells>
  <pageMargins left="1.1811023622047245" right="0.44" top="0.39370078740157483" bottom="0.19685039370078741" header="0.39370078740157483" footer="0.15748031496062992"/>
  <pageSetup paperSize="9" scale="8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49"/>
  <sheetViews>
    <sheetView view="pageBreakPreview" zoomScale="25" zoomScaleNormal="25" zoomScaleSheetLayoutView="25" zoomScalePageLayoutView="10" workbookViewId="0">
      <pane ySplit="14" topLeftCell="A406" activePane="bottomLeft" state="frozen"/>
      <selection activeCell="B52" sqref="B52:E52"/>
      <selection pane="bottomLeft" activeCell="A425" sqref="A425:XFD425"/>
    </sheetView>
  </sheetViews>
  <sheetFormatPr defaultColWidth="9.140625" defaultRowHeight="12.75" x14ac:dyDescent="0.2"/>
  <cols>
    <col min="1" max="1" width="48" style="18" customWidth="1"/>
    <col min="2" max="2" width="52.5703125" style="18" customWidth="1"/>
    <col min="3" max="3" width="65.7109375" style="18" customWidth="1"/>
    <col min="4" max="4" width="256.140625" style="18" customWidth="1"/>
    <col min="5" max="5" width="66.42578125" style="57" customWidth="1"/>
    <col min="6" max="6" width="62.5703125" style="18" customWidth="1"/>
    <col min="7" max="7" width="59.7109375" style="18" customWidth="1"/>
    <col min="8" max="8" width="53.140625" style="18" customWidth="1"/>
    <col min="9" max="9" width="41.85546875" style="18" customWidth="1"/>
    <col min="10" max="10" width="50.5703125" style="57" customWidth="1"/>
    <col min="11" max="11" width="52.5703125" style="57" customWidth="1"/>
    <col min="12" max="12" width="56.140625" style="18" customWidth="1"/>
    <col min="13" max="13" width="54.85546875" style="18" customWidth="1"/>
    <col min="14" max="14" width="51" style="18" customWidth="1"/>
    <col min="15" max="15" width="56.140625" style="18" bestFit="1" customWidth="1"/>
    <col min="16" max="16" width="86.28515625" style="57" customWidth="1"/>
    <col min="17" max="17" width="52.140625" style="81" customWidth="1"/>
    <col min="18" max="18" width="33.85546875" style="20" customWidth="1"/>
    <col min="19" max="19" width="40.140625" style="21" bestFit="1" customWidth="1"/>
    <col min="20" max="20" width="43.5703125" style="21" bestFit="1" customWidth="1"/>
    <col min="21" max="16384" width="9.140625" style="21"/>
  </cols>
  <sheetData>
    <row r="1" spans="1:18" ht="45.75" x14ac:dyDescent="0.2">
      <c r="A1" s="75"/>
      <c r="B1" s="75"/>
      <c r="C1" s="75"/>
      <c r="D1" s="76"/>
      <c r="E1" s="77"/>
      <c r="F1" s="78"/>
      <c r="G1" s="77"/>
      <c r="H1" s="77"/>
      <c r="I1" s="77"/>
      <c r="J1" s="77"/>
      <c r="K1" s="77"/>
      <c r="L1" s="77"/>
      <c r="M1" s="77"/>
      <c r="N1" s="738" t="s">
        <v>493</v>
      </c>
      <c r="O1" s="739"/>
      <c r="P1" s="739"/>
      <c r="Q1" s="739"/>
    </row>
    <row r="2" spans="1:18" ht="45.75" x14ac:dyDescent="0.2">
      <c r="A2" s="76"/>
      <c r="B2" s="76"/>
      <c r="C2" s="76"/>
      <c r="D2" s="76"/>
      <c r="E2" s="77"/>
      <c r="F2" s="78"/>
      <c r="G2" s="77"/>
      <c r="H2" s="77"/>
      <c r="I2" s="77"/>
      <c r="J2" s="77"/>
      <c r="K2" s="77"/>
      <c r="L2" s="77"/>
      <c r="M2" s="77"/>
      <c r="N2" s="738" t="s">
        <v>1315</v>
      </c>
      <c r="O2" s="740"/>
      <c r="P2" s="740"/>
      <c r="Q2" s="740"/>
    </row>
    <row r="3" spans="1:18" ht="40.700000000000003" customHeight="1" x14ac:dyDescent="0.2">
      <c r="A3" s="76"/>
      <c r="B3" s="76"/>
      <c r="C3" s="76"/>
      <c r="D3" s="76"/>
      <c r="E3" s="77"/>
      <c r="F3" s="78"/>
      <c r="G3" s="77"/>
      <c r="H3" s="77"/>
      <c r="I3" s="77"/>
      <c r="J3" s="77"/>
      <c r="K3" s="77"/>
      <c r="L3" s="77"/>
      <c r="M3" s="77"/>
      <c r="N3" s="77"/>
      <c r="O3" s="738"/>
      <c r="P3" s="741"/>
      <c r="Q3" s="80"/>
    </row>
    <row r="4" spans="1:18" ht="45.75" hidden="1" x14ac:dyDescent="0.2">
      <c r="A4" s="76"/>
      <c r="B4" s="76"/>
      <c r="C4" s="76"/>
      <c r="D4" s="76"/>
      <c r="E4" s="77"/>
      <c r="F4" s="78"/>
      <c r="G4" s="77"/>
      <c r="H4" s="77"/>
      <c r="I4" s="77"/>
      <c r="J4" s="77"/>
      <c r="K4" s="77"/>
      <c r="L4" s="77"/>
      <c r="M4" s="77"/>
      <c r="N4" s="77"/>
      <c r="O4" s="76"/>
      <c r="P4" s="78"/>
      <c r="Q4" s="80"/>
    </row>
    <row r="5" spans="1:18" ht="45" x14ac:dyDescent="0.2">
      <c r="A5" s="742" t="s">
        <v>566</v>
      </c>
      <c r="B5" s="742"/>
      <c r="C5" s="742"/>
      <c r="D5" s="742"/>
      <c r="E5" s="742"/>
      <c r="F5" s="742"/>
      <c r="G5" s="742"/>
      <c r="H5" s="742"/>
      <c r="I5" s="742"/>
      <c r="J5" s="742"/>
      <c r="K5" s="742"/>
      <c r="L5" s="742"/>
      <c r="M5" s="742"/>
      <c r="N5" s="742"/>
      <c r="O5" s="742"/>
      <c r="P5" s="742"/>
      <c r="Q5" s="80"/>
    </row>
    <row r="6" spans="1:18" ht="45" x14ac:dyDescent="0.2">
      <c r="A6" s="742" t="s">
        <v>1537</v>
      </c>
      <c r="B6" s="742"/>
      <c r="C6" s="742"/>
      <c r="D6" s="742"/>
      <c r="E6" s="742"/>
      <c r="F6" s="742"/>
      <c r="G6" s="742"/>
      <c r="H6" s="742"/>
      <c r="I6" s="742"/>
      <c r="J6" s="742"/>
      <c r="K6" s="742"/>
      <c r="L6" s="742"/>
      <c r="M6" s="742"/>
      <c r="N6" s="742"/>
      <c r="O6" s="742"/>
      <c r="P6" s="742"/>
      <c r="Q6" s="80"/>
    </row>
    <row r="7" spans="1:18" ht="45" x14ac:dyDescent="0.2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80"/>
    </row>
    <row r="8" spans="1:18" ht="45.75" x14ac:dyDescent="0.65">
      <c r="A8" s="743">
        <v>2256400000</v>
      </c>
      <c r="B8" s="744"/>
      <c r="C8" s="77"/>
      <c r="D8" s="402"/>
      <c r="E8" s="402"/>
      <c r="F8" s="402"/>
      <c r="G8" s="402"/>
      <c r="H8" s="402"/>
      <c r="I8" s="402"/>
      <c r="J8" s="402"/>
      <c r="K8" s="402"/>
      <c r="L8" s="402"/>
      <c r="M8" s="402"/>
      <c r="N8" s="402"/>
      <c r="O8" s="402"/>
      <c r="P8" s="402"/>
      <c r="Q8" s="13"/>
    </row>
    <row r="9" spans="1:18" ht="45.75" x14ac:dyDescent="0.2">
      <c r="A9" s="748" t="s">
        <v>490</v>
      </c>
      <c r="B9" s="749"/>
      <c r="C9" s="77"/>
      <c r="D9" s="402"/>
      <c r="E9" s="402"/>
      <c r="F9" s="402"/>
      <c r="G9" s="402"/>
      <c r="H9" s="402"/>
      <c r="I9" s="402"/>
      <c r="J9" s="402"/>
      <c r="K9" s="402"/>
      <c r="L9" s="402"/>
      <c r="M9" s="402"/>
      <c r="N9" s="402"/>
      <c r="O9" s="402"/>
      <c r="P9" s="402"/>
      <c r="Q9" s="13"/>
    </row>
    <row r="10" spans="1:18" ht="53.45" customHeight="1" thickBot="1" x14ac:dyDescent="0.25">
      <c r="A10" s="77"/>
      <c r="B10" s="77"/>
      <c r="C10" s="77"/>
      <c r="D10" s="402"/>
      <c r="E10" s="402"/>
      <c r="F10" s="403"/>
      <c r="G10" s="402"/>
      <c r="H10" s="402"/>
      <c r="I10" s="402"/>
      <c r="J10" s="402"/>
      <c r="K10" s="402"/>
      <c r="L10" s="402"/>
      <c r="M10" s="402"/>
      <c r="N10" s="402"/>
      <c r="O10" s="402"/>
      <c r="P10" s="316" t="s">
        <v>404</v>
      </c>
      <c r="Q10" s="13"/>
    </row>
    <row r="11" spans="1:18" ht="62.45" customHeight="1" thickTop="1" thickBot="1" x14ac:dyDescent="0.25">
      <c r="A11" s="747" t="s">
        <v>491</v>
      </c>
      <c r="B11" s="747" t="s">
        <v>492</v>
      </c>
      <c r="C11" s="747" t="s">
        <v>390</v>
      </c>
      <c r="D11" s="747" t="s">
        <v>574</v>
      </c>
      <c r="E11" s="745" t="s">
        <v>12</v>
      </c>
      <c r="F11" s="745"/>
      <c r="G11" s="745"/>
      <c r="H11" s="745"/>
      <c r="I11" s="745"/>
      <c r="J11" s="745" t="s">
        <v>52</v>
      </c>
      <c r="K11" s="745"/>
      <c r="L11" s="745"/>
      <c r="M11" s="745"/>
      <c r="N11" s="745"/>
      <c r="O11" s="746"/>
      <c r="P11" s="745" t="s">
        <v>11</v>
      </c>
      <c r="Q11" s="20"/>
    </row>
    <row r="12" spans="1:18" ht="96" customHeight="1" thickTop="1" thickBot="1" x14ac:dyDescent="0.25">
      <c r="A12" s="745"/>
      <c r="B12" s="750"/>
      <c r="C12" s="750"/>
      <c r="D12" s="745"/>
      <c r="E12" s="747" t="s">
        <v>384</v>
      </c>
      <c r="F12" s="747" t="s">
        <v>53</v>
      </c>
      <c r="G12" s="747" t="s">
        <v>13</v>
      </c>
      <c r="H12" s="747"/>
      <c r="I12" s="747" t="s">
        <v>55</v>
      </c>
      <c r="J12" s="747" t="s">
        <v>384</v>
      </c>
      <c r="K12" s="747" t="s">
        <v>385</v>
      </c>
      <c r="L12" s="747" t="s">
        <v>53</v>
      </c>
      <c r="M12" s="747" t="s">
        <v>13</v>
      </c>
      <c r="N12" s="747"/>
      <c r="O12" s="747" t="s">
        <v>55</v>
      </c>
      <c r="P12" s="745"/>
      <c r="Q12" s="20"/>
    </row>
    <row r="13" spans="1:18" ht="328.7" customHeight="1" thickTop="1" thickBot="1" x14ac:dyDescent="0.25">
      <c r="A13" s="750"/>
      <c r="B13" s="750"/>
      <c r="C13" s="750"/>
      <c r="D13" s="750"/>
      <c r="E13" s="747"/>
      <c r="F13" s="747"/>
      <c r="G13" s="317" t="s">
        <v>54</v>
      </c>
      <c r="H13" s="317" t="s">
        <v>15</v>
      </c>
      <c r="I13" s="747"/>
      <c r="J13" s="747"/>
      <c r="K13" s="747"/>
      <c r="L13" s="747"/>
      <c r="M13" s="317" t="s">
        <v>54</v>
      </c>
      <c r="N13" s="317" t="s">
        <v>15</v>
      </c>
      <c r="O13" s="747"/>
      <c r="P13" s="745"/>
      <c r="Q13" s="20"/>
    </row>
    <row r="14" spans="1:18" s="24" customFormat="1" ht="47.25" thickTop="1" thickBot="1" x14ac:dyDescent="0.25">
      <c r="A14" s="311" t="s">
        <v>2</v>
      </c>
      <c r="B14" s="311" t="s">
        <v>3</v>
      </c>
      <c r="C14" s="311" t="s">
        <v>14</v>
      </c>
      <c r="D14" s="311" t="s">
        <v>5</v>
      </c>
      <c r="E14" s="311" t="s">
        <v>392</v>
      </c>
      <c r="F14" s="311" t="s">
        <v>393</v>
      </c>
      <c r="G14" s="311" t="s">
        <v>394</v>
      </c>
      <c r="H14" s="311" t="s">
        <v>395</v>
      </c>
      <c r="I14" s="311" t="s">
        <v>396</v>
      </c>
      <c r="J14" s="311" t="s">
        <v>397</v>
      </c>
      <c r="K14" s="311" t="s">
        <v>398</v>
      </c>
      <c r="L14" s="311" t="s">
        <v>399</v>
      </c>
      <c r="M14" s="311" t="s">
        <v>400</v>
      </c>
      <c r="N14" s="311" t="s">
        <v>401</v>
      </c>
      <c r="O14" s="311" t="s">
        <v>402</v>
      </c>
      <c r="P14" s="311" t="s">
        <v>403</v>
      </c>
      <c r="Q14" s="126"/>
      <c r="R14" s="23"/>
    </row>
    <row r="15" spans="1:18" s="24" customFormat="1" ht="46.5" thickTop="1" thickBot="1" x14ac:dyDescent="0.25">
      <c r="A15" s="508" t="s">
        <v>148</v>
      </c>
      <c r="B15" s="508"/>
      <c r="C15" s="508"/>
      <c r="D15" s="509" t="s">
        <v>150</v>
      </c>
      <c r="E15" s="535">
        <f>E16</f>
        <v>335678299.13999999</v>
      </c>
      <c r="F15" s="510">
        <f t="shared" ref="F15:N15" si="0">F16</f>
        <v>335678299.13999999</v>
      </c>
      <c r="G15" s="510">
        <f t="shared" si="0"/>
        <v>95820900</v>
      </c>
      <c r="H15" s="510">
        <f t="shared" si="0"/>
        <v>6241293</v>
      </c>
      <c r="I15" s="510">
        <f t="shared" si="0"/>
        <v>0</v>
      </c>
      <c r="J15" s="535">
        <f t="shared" si="0"/>
        <v>71332481.859999999</v>
      </c>
      <c r="K15" s="510">
        <f t="shared" si="0"/>
        <v>66116681.859999999</v>
      </c>
      <c r="L15" s="510">
        <f t="shared" si="0"/>
        <v>4350400</v>
      </c>
      <c r="M15" s="510">
        <f t="shared" si="0"/>
        <v>0</v>
      </c>
      <c r="N15" s="510">
        <f t="shared" si="0"/>
        <v>0</v>
      </c>
      <c r="O15" s="535">
        <f>O16</f>
        <v>66982081.859999999</v>
      </c>
      <c r="P15" s="510">
        <f t="shared" ref="P15" si="1">P16</f>
        <v>407010781</v>
      </c>
      <c r="Q15" s="25"/>
      <c r="R15" s="25"/>
    </row>
    <row r="16" spans="1:18" s="24" customFormat="1" ht="91.5" thickTop="1" thickBot="1" x14ac:dyDescent="0.25">
      <c r="A16" s="511" t="s">
        <v>149</v>
      </c>
      <c r="B16" s="511"/>
      <c r="C16" s="511"/>
      <c r="D16" s="512" t="s">
        <v>151</v>
      </c>
      <c r="E16" s="513">
        <f>E17+E22+E33+E39</f>
        <v>335678299.13999999</v>
      </c>
      <c r="F16" s="513">
        <f>F17+F22+F33+F39</f>
        <v>335678299.13999999</v>
      </c>
      <c r="G16" s="513">
        <f>G17+G22+G33+G39</f>
        <v>95820900</v>
      </c>
      <c r="H16" s="513">
        <f>H17+H22+H33+H39</f>
        <v>6241293</v>
      </c>
      <c r="I16" s="513">
        <f>I17+I22+I33+I39</f>
        <v>0</v>
      </c>
      <c r="J16" s="513">
        <f>L16+O16</f>
        <v>71332481.859999999</v>
      </c>
      <c r="K16" s="513">
        <f>K17+K22+K33+K39</f>
        <v>66116681.859999999</v>
      </c>
      <c r="L16" s="513">
        <f>L17+L22+L33+L39</f>
        <v>4350400</v>
      </c>
      <c r="M16" s="513">
        <f>M17+M22+M33+M39</f>
        <v>0</v>
      </c>
      <c r="N16" s="513">
        <f>N17+N22+N33+N39</f>
        <v>0</v>
      </c>
      <c r="O16" s="513">
        <f>O17+O22+O33+O39</f>
        <v>66982081.859999999</v>
      </c>
      <c r="P16" s="513">
        <f>E16+J16</f>
        <v>407010781</v>
      </c>
      <c r="Q16" s="606" t="b">
        <f>P16=P18+P21+P24+P28+P30+P32+P35+P36+P38+P41+P42+P43</f>
        <v>1</v>
      </c>
      <c r="R16" s="26"/>
    </row>
    <row r="17" spans="1:18" s="28" customFormat="1" ht="47.25" thickTop="1" thickBot="1" x14ac:dyDescent="0.25">
      <c r="A17" s="311" t="s">
        <v>684</v>
      </c>
      <c r="B17" s="311" t="s">
        <v>685</v>
      </c>
      <c r="C17" s="311"/>
      <c r="D17" s="311" t="s">
        <v>686</v>
      </c>
      <c r="E17" s="328">
        <f>SUM(E18:E21)</f>
        <v>239135046</v>
      </c>
      <c r="F17" s="328">
        <f>SUM(F18:F21)</f>
        <v>239135046</v>
      </c>
      <c r="G17" s="328">
        <f t="shared" ref="G17:P17" si="2">SUM(G18:G21)</f>
        <v>95820900</v>
      </c>
      <c r="H17" s="328">
        <f t="shared" si="2"/>
        <v>6241293</v>
      </c>
      <c r="I17" s="328">
        <f t="shared" si="2"/>
        <v>0</v>
      </c>
      <c r="J17" s="328">
        <f t="shared" si="2"/>
        <v>0</v>
      </c>
      <c r="K17" s="328">
        <f t="shared" si="2"/>
        <v>0</v>
      </c>
      <c r="L17" s="328">
        <f t="shared" si="2"/>
        <v>0</v>
      </c>
      <c r="M17" s="328">
        <f t="shared" si="2"/>
        <v>0</v>
      </c>
      <c r="N17" s="328">
        <f t="shared" si="2"/>
        <v>0</v>
      </c>
      <c r="O17" s="328">
        <f t="shared" si="2"/>
        <v>0</v>
      </c>
      <c r="P17" s="328">
        <f t="shared" si="2"/>
        <v>239135046</v>
      </c>
      <c r="Q17" s="31"/>
      <c r="R17" s="27"/>
    </row>
    <row r="18" spans="1:18" ht="138.75" thickTop="1" thickBot="1" x14ac:dyDescent="0.25">
      <c r="A18" s="103" t="s">
        <v>232</v>
      </c>
      <c r="B18" s="103" t="s">
        <v>233</v>
      </c>
      <c r="C18" s="103" t="s">
        <v>234</v>
      </c>
      <c r="D18" s="103" t="s">
        <v>231</v>
      </c>
      <c r="E18" s="328">
        <f t="shared" ref="E18:E41" si="3">F18</f>
        <v>130683646</v>
      </c>
      <c r="F18" s="326">
        <v>130683646</v>
      </c>
      <c r="G18" s="326">
        <v>95820900</v>
      </c>
      <c r="H18" s="326">
        <f>3417000+111000+2275293+350000+88000</f>
        <v>6241293</v>
      </c>
      <c r="I18" s="326"/>
      <c r="J18" s="328">
        <f t="shared" ref="J18:J28" si="4">L18+O18</f>
        <v>0</v>
      </c>
      <c r="K18" s="326"/>
      <c r="L18" s="473"/>
      <c r="M18" s="605"/>
      <c r="N18" s="605"/>
      <c r="O18" s="474">
        <f t="shared" ref="O18:O28" si="5">K18</f>
        <v>0</v>
      </c>
      <c r="P18" s="328">
        <f>+J18+E18</f>
        <v>130683646</v>
      </c>
      <c r="Q18" s="133"/>
      <c r="R18" s="29"/>
    </row>
    <row r="19" spans="1:18" ht="93" hidden="1" thickTop="1" thickBot="1" x14ac:dyDescent="0.25">
      <c r="A19" s="128" t="s">
        <v>585</v>
      </c>
      <c r="B19" s="128" t="s">
        <v>236</v>
      </c>
      <c r="C19" s="128" t="s">
        <v>234</v>
      </c>
      <c r="D19" s="128" t="s">
        <v>235</v>
      </c>
      <c r="E19" s="127">
        <f t="shared" ref="E19" si="6">F19</f>
        <v>0</v>
      </c>
      <c r="F19" s="129"/>
      <c r="G19" s="129"/>
      <c r="H19" s="129"/>
      <c r="I19" s="129"/>
      <c r="J19" s="127">
        <f t="shared" ref="J19" si="7">L19+O19</f>
        <v>0</v>
      </c>
      <c r="K19" s="129"/>
      <c r="L19" s="130"/>
      <c r="M19" s="131"/>
      <c r="N19" s="131"/>
      <c r="O19" s="132">
        <f t="shared" si="5"/>
        <v>0</v>
      </c>
      <c r="P19" s="127">
        <f>+J19+E19</f>
        <v>0</v>
      </c>
      <c r="Q19" s="133"/>
      <c r="R19" s="29"/>
    </row>
    <row r="20" spans="1:18" ht="93" hidden="1" thickTop="1" thickBot="1" x14ac:dyDescent="0.25">
      <c r="A20" s="128" t="s">
        <v>625</v>
      </c>
      <c r="B20" s="128" t="s">
        <v>362</v>
      </c>
      <c r="C20" s="128" t="s">
        <v>626</v>
      </c>
      <c r="D20" s="128" t="s">
        <v>627</v>
      </c>
      <c r="E20" s="127">
        <f t="shared" ref="E20" si="8">F20</f>
        <v>0</v>
      </c>
      <c r="F20" s="129">
        <v>0</v>
      </c>
      <c r="G20" s="129"/>
      <c r="H20" s="129"/>
      <c r="I20" s="129"/>
      <c r="J20" s="127">
        <f t="shared" ref="J20" si="9">L20+O20</f>
        <v>0</v>
      </c>
      <c r="K20" s="129"/>
      <c r="L20" s="130"/>
      <c r="M20" s="131"/>
      <c r="N20" s="131"/>
      <c r="O20" s="132">
        <f t="shared" si="5"/>
        <v>0</v>
      </c>
      <c r="P20" s="127">
        <f>+J20+E20</f>
        <v>0</v>
      </c>
      <c r="Q20" s="133"/>
      <c r="R20" s="30"/>
    </row>
    <row r="21" spans="1:18" ht="48" thickTop="1" thickBot="1" x14ac:dyDescent="0.25">
      <c r="A21" s="103" t="s">
        <v>247</v>
      </c>
      <c r="B21" s="103" t="s">
        <v>43</v>
      </c>
      <c r="C21" s="103" t="s">
        <v>42</v>
      </c>
      <c r="D21" s="103" t="s">
        <v>248</v>
      </c>
      <c r="E21" s="328">
        <f t="shared" si="3"/>
        <v>108451400</v>
      </c>
      <c r="F21" s="477">
        <f>105141400+20000000-10000000+32000000-67690000+1000000-2000000+30000000</f>
        <v>108451400</v>
      </c>
      <c r="G21" s="477"/>
      <c r="H21" s="477"/>
      <c r="I21" s="477"/>
      <c r="J21" s="328">
        <f t="shared" si="4"/>
        <v>0</v>
      </c>
      <c r="K21" s="477"/>
      <c r="L21" s="477"/>
      <c r="M21" s="477"/>
      <c r="N21" s="477"/>
      <c r="O21" s="474">
        <f t="shared" si="5"/>
        <v>0</v>
      </c>
      <c r="P21" s="328">
        <f>E21+J21</f>
        <v>108451400</v>
      </c>
      <c r="Q21" s="133"/>
      <c r="R21" s="30"/>
    </row>
    <row r="22" spans="1:18" s="28" customFormat="1" ht="47.25" thickTop="1" thickBot="1" x14ac:dyDescent="0.3">
      <c r="A22" s="311" t="s">
        <v>748</v>
      </c>
      <c r="B22" s="311" t="s">
        <v>749</v>
      </c>
      <c r="C22" s="311"/>
      <c r="D22" s="311" t="s">
        <v>750</v>
      </c>
      <c r="E22" s="328">
        <f t="shared" ref="E22:P22" si="10">SUM(E23:E32)-E23-E26-E29</f>
        <v>7574335</v>
      </c>
      <c r="F22" s="328">
        <f t="shared" si="10"/>
        <v>7574335</v>
      </c>
      <c r="G22" s="328">
        <f t="shared" si="10"/>
        <v>0</v>
      </c>
      <c r="H22" s="328">
        <f t="shared" si="10"/>
        <v>0</v>
      </c>
      <c r="I22" s="328">
        <f t="shared" si="10"/>
        <v>0</v>
      </c>
      <c r="J22" s="328">
        <f t="shared" si="10"/>
        <v>5215800</v>
      </c>
      <c r="K22" s="328">
        <f t="shared" si="10"/>
        <v>0</v>
      </c>
      <c r="L22" s="328">
        <f t="shared" si="10"/>
        <v>4350400</v>
      </c>
      <c r="M22" s="328">
        <f t="shared" si="10"/>
        <v>0</v>
      </c>
      <c r="N22" s="328">
        <f t="shared" si="10"/>
        <v>0</v>
      </c>
      <c r="O22" s="328">
        <f t="shared" si="10"/>
        <v>865400</v>
      </c>
      <c r="P22" s="328">
        <f t="shared" si="10"/>
        <v>12790135</v>
      </c>
      <c r="Q22" s="135"/>
      <c r="R22" s="31"/>
    </row>
    <row r="23" spans="1:18" s="33" customFormat="1" ht="47.25" thickTop="1" thickBot="1" x14ac:dyDescent="0.25">
      <c r="A23" s="313" t="s">
        <v>687</v>
      </c>
      <c r="B23" s="313" t="s">
        <v>688</v>
      </c>
      <c r="C23" s="313"/>
      <c r="D23" s="313" t="s">
        <v>689</v>
      </c>
      <c r="E23" s="315">
        <f t="shared" ref="E23:P23" si="11">SUM(E24:E25)</f>
        <v>4883000</v>
      </c>
      <c r="F23" s="315">
        <f t="shared" si="11"/>
        <v>4883000</v>
      </c>
      <c r="G23" s="315">
        <f t="shared" si="11"/>
        <v>0</v>
      </c>
      <c r="H23" s="315">
        <f t="shared" si="11"/>
        <v>0</v>
      </c>
      <c r="I23" s="315">
        <f t="shared" si="11"/>
        <v>0</v>
      </c>
      <c r="J23" s="315">
        <f t="shared" si="11"/>
        <v>0</v>
      </c>
      <c r="K23" s="315">
        <f t="shared" si="11"/>
        <v>0</v>
      </c>
      <c r="L23" s="315">
        <f t="shared" si="11"/>
        <v>0</v>
      </c>
      <c r="M23" s="315">
        <f t="shared" si="11"/>
        <v>0</v>
      </c>
      <c r="N23" s="315">
        <f t="shared" si="11"/>
        <v>0</v>
      </c>
      <c r="O23" s="315">
        <f t="shared" si="11"/>
        <v>0</v>
      </c>
      <c r="P23" s="315">
        <f t="shared" si="11"/>
        <v>4883000</v>
      </c>
      <c r="Q23" s="138"/>
      <c r="R23" s="32"/>
    </row>
    <row r="24" spans="1:18" ht="48" thickTop="1" thickBot="1" x14ac:dyDescent="0.25">
      <c r="A24" s="103" t="s">
        <v>238</v>
      </c>
      <c r="B24" s="103" t="s">
        <v>239</v>
      </c>
      <c r="C24" s="103" t="s">
        <v>240</v>
      </c>
      <c r="D24" s="103" t="s">
        <v>237</v>
      </c>
      <c r="E24" s="328">
        <f t="shared" si="3"/>
        <v>4883000</v>
      </c>
      <c r="F24" s="477">
        <v>4883000</v>
      </c>
      <c r="G24" s="477"/>
      <c r="H24" s="477"/>
      <c r="I24" s="477"/>
      <c r="J24" s="328">
        <f t="shared" si="4"/>
        <v>0</v>
      </c>
      <c r="K24" s="477"/>
      <c r="L24" s="477"/>
      <c r="M24" s="477"/>
      <c r="N24" s="477"/>
      <c r="O24" s="474">
        <f t="shared" si="5"/>
        <v>0</v>
      </c>
      <c r="P24" s="328">
        <f>+J24+E24</f>
        <v>4883000</v>
      </c>
      <c r="Q24" s="133"/>
      <c r="R24" s="29"/>
    </row>
    <row r="25" spans="1:18" ht="93" hidden="1" thickTop="1" thickBot="1" x14ac:dyDescent="0.25">
      <c r="A25" s="41" t="s">
        <v>982</v>
      </c>
      <c r="B25" s="41" t="s">
        <v>983</v>
      </c>
      <c r="C25" s="41" t="s">
        <v>240</v>
      </c>
      <c r="D25" s="41" t="s">
        <v>984</v>
      </c>
      <c r="E25" s="127">
        <f t="shared" si="3"/>
        <v>0</v>
      </c>
      <c r="F25" s="134">
        <v>0</v>
      </c>
      <c r="G25" s="134"/>
      <c r="H25" s="134"/>
      <c r="I25" s="134"/>
      <c r="J25" s="127">
        <f t="shared" si="4"/>
        <v>0</v>
      </c>
      <c r="K25" s="43"/>
      <c r="L25" s="43"/>
      <c r="M25" s="43"/>
      <c r="N25" s="43"/>
      <c r="O25" s="44"/>
      <c r="P25" s="42">
        <f>+J25+E25</f>
        <v>0</v>
      </c>
      <c r="Q25" s="133"/>
      <c r="R25" s="29"/>
    </row>
    <row r="26" spans="1:18" ht="47.25" thickTop="1" thickBot="1" x14ac:dyDescent="0.25">
      <c r="A26" s="313" t="s">
        <v>691</v>
      </c>
      <c r="B26" s="313" t="s">
        <v>692</v>
      </c>
      <c r="C26" s="313"/>
      <c r="D26" s="313" t="s">
        <v>690</v>
      </c>
      <c r="E26" s="315">
        <f>SUM(E28)+E29+E27</f>
        <v>2691335</v>
      </c>
      <c r="F26" s="315">
        <f t="shared" ref="F26:P26" si="12">SUM(F28)+F29+F27</f>
        <v>2691335</v>
      </c>
      <c r="G26" s="315">
        <f t="shared" si="12"/>
        <v>0</v>
      </c>
      <c r="H26" s="315">
        <f t="shared" si="12"/>
        <v>0</v>
      </c>
      <c r="I26" s="315">
        <f t="shared" si="12"/>
        <v>0</v>
      </c>
      <c r="J26" s="315">
        <f t="shared" si="12"/>
        <v>5215800</v>
      </c>
      <c r="K26" s="315">
        <f t="shared" si="12"/>
        <v>0</v>
      </c>
      <c r="L26" s="315">
        <f t="shared" si="12"/>
        <v>4350400</v>
      </c>
      <c r="M26" s="315">
        <f t="shared" si="12"/>
        <v>0</v>
      </c>
      <c r="N26" s="315">
        <f t="shared" si="12"/>
        <v>0</v>
      </c>
      <c r="O26" s="315">
        <f t="shared" si="12"/>
        <v>865400</v>
      </c>
      <c r="P26" s="315">
        <f t="shared" si="12"/>
        <v>7907135</v>
      </c>
      <c r="Q26" s="139"/>
      <c r="R26" s="34"/>
    </row>
    <row r="27" spans="1:18" ht="48" hidden="1" thickTop="1" thickBot="1" x14ac:dyDescent="0.25">
      <c r="A27" s="103" t="s">
        <v>1435</v>
      </c>
      <c r="B27" s="103" t="s">
        <v>212</v>
      </c>
      <c r="C27" s="103" t="s">
        <v>213</v>
      </c>
      <c r="D27" s="103" t="s">
        <v>41</v>
      </c>
      <c r="E27" s="328">
        <f t="shared" si="3"/>
        <v>0</v>
      </c>
      <c r="F27" s="477"/>
      <c r="G27" s="477"/>
      <c r="H27" s="477"/>
      <c r="I27" s="477"/>
      <c r="J27" s="328">
        <f t="shared" si="4"/>
        <v>0</v>
      </c>
      <c r="K27" s="477"/>
      <c r="L27" s="477"/>
      <c r="M27" s="477"/>
      <c r="N27" s="477"/>
      <c r="O27" s="474">
        <f t="shared" si="5"/>
        <v>0</v>
      </c>
      <c r="P27" s="328">
        <f>+J27+E27</f>
        <v>0</v>
      </c>
      <c r="Q27" s="139"/>
      <c r="R27" s="34"/>
    </row>
    <row r="28" spans="1:18" ht="48" thickTop="1" thickBot="1" x14ac:dyDescent="0.25">
      <c r="A28" s="103" t="s">
        <v>299</v>
      </c>
      <c r="B28" s="103" t="s">
        <v>300</v>
      </c>
      <c r="C28" s="103" t="s">
        <v>170</v>
      </c>
      <c r="D28" s="103" t="s">
        <v>442</v>
      </c>
      <c r="E28" s="328">
        <f t="shared" si="3"/>
        <v>329335</v>
      </c>
      <c r="F28" s="477">
        <v>329335</v>
      </c>
      <c r="G28" s="477"/>
      <c r="H28" s="477"/>
      <c r="I28" s="477"/>
      <c r="J28" s="328">
        <f t="shared" si="4"/>
        <v>0</v>
      </c>
      <c r="K28" s="477"/>
      <c r="L28" s="477"/>
      <c r="M28" s="477"/>
      <c r="N28" s="477"/>
      <c r="O28" s="474">
        <f t="shared" si="5"/>
        <v>0</v>
      </c>
      <c r="P28" s="328">
        <f>+J28+E28</f>
        <v>329335</v>
      </c>
      <c r="Q28" s="133"/>
      <c r="R28" s="30"/>
    </row>
    <row r="29" spans="1:18" ht="48" thickTop="1" thickBot="1" x14ac:dyDescent="0.25">
      <c r="A29" s="329" t="s">
        <v>694</v>
      </c>
      <c r="B29" s="329" t="s">
        <v>695</v>
      </c>
      <c r="C29" s="329"/>
      <c r="D29" s="607" t="s">
        <v>693</v>
      </c>
      <c r="E29" s="325">
        <f>SUM(E30:E32)</f>
        <v>2362000</v>
      </c>
      <c r="F29" s="325">
        <f t="shared" ref="F29:O29" si="13">SUM(F30:F32)</f>
        <v>2362000</v>
      </c>
      <c r="G29" s="325">
        <f t="shared" si="13"/>
        <v>0</v>
      </c>
      <c r="H29" s="325">
        <f t="shared" si="13"/>
        <v>0</v>
      </c>
      <c r="I29" s="325">
        <f t="shared" si="13"/>
        <v>0</v>
      </c>
      <c r="J29" s="325">
        <f t="shared" si="13"/>
        <v>5215800</v>
      </c>
      <c r="K29" s="325">
        <f t="shared" si="13"/>
        <v>0</v>
      </c>
      <c r="L29" s="325">
        <f t="shared" si="13"/>
        <v>4350400</v>
      </c>
      <c r="M29" s="325">
        <f t="shared" si="13"/>
        <v>0</v>
      </c>
      <c r="N29" s="325">
        <f t="shared" si="13"/>
        <v>0</v>
      </c>
      <c r="O29" s="325">
        <f t="shared" si="13"/>
        <v>865400</v>
      </c>
      <c r="P29" s="325">
        <f>E29+J29</f>
        <v>7577800</v>
      </c>
      <c r="Q29" s="139"/>
      <c r="R29" s="35"/>
    </row>
    <row r="30" spans="1:18" s="33" customFormat="1" ht="247.5" customHeight="1" thickTop="1" thickBot="1" x14ac:dyDescent="0.7">
      <c r="A30" s="730" t="s">
        <v>339</v>
      </c>
      <c r="B30" s="730" t="s">
        <v>338</v>
      </c>
      <c r="C30" s="730" t="s">
        <v>170</v>
      </c>
      <c r="D30" s="608" t="s">
        <v>440</v>
      </c>
      <c r="E30" s="732">
        <f t="shared" si="3"/>
        <v>0</v>
      </c>
      <c r="F30" s="722"/>
      <c r="G30" s="722"/>
      <c r="H30" s="722"/>
      <c r="I30" s="722"/>
      <c r="J30" s="733">
        <f>L30+O30</f>
        <v>5215800</v>
      </c>
      <c r="K30" s="722"/>
      <c r="L30" s="722">
        <f>2604400+176000+570000+1000000</f>
        <v>4350400</v>
      </c>
      <c r="M30" s="722"/>
      <c r="N30" s="722"/>
      <c r="O30" s="724">
        <v>865400</v>
      </c>
      <c r="P30" s="726">
        <f>E30+J30</f>
        <v>5215800</v>
      </c>
      <c r="Q30" s="142"/>
      <c r="R30" s="36"/>
    </row>
    <row r="31" spans="1:18" s="33" customFormat="1" ht="130.5" customHeight="1" thickTop="1" thickBot="1" x14ac:dyDescent="0.25">
      <c r="A31" s="731"/>
      <c r="B31" s="761"/>
      <c r="C31" s="731"/>
      <c r="D31" s="609" t="s">
        <v>441</v>
      </c>
      <c r="E31" s="731"/>
      <c r="F31" s="723"/>
      <c r="G31" s="723"/>
      <c r="H31" s="723"/>
      <c r="I31" s="723"/>
      <c r="J31" s="734"/>
      <c r="K31" s="723"/>
      <c r="L31" s="723"/>
      <c r="M31" s="723"/>
      <c r="N31" s="723"/>
      <c r="O31" s="725"/>
      <c r="P31" s="727"/>
      <c r="Q31" s="36"/>
      <c r="R31" s="36"/>
    </row>
    <row r="32" spans="1:18" s="33" customFormat="1" ht="48" thickTop="1" thickBot="1" x14ac:dyDescent="0.25">
      <c r="A32" s="103" t="s">
        <v>916</v>
      </c>
      <c r="B32" s="103" t="s">
        <v>257</v>
      </c>
      <c r="C32" s="103" t="s">
        <v>170</v>
      </c>
      <c r="D32" s="103" t="s">
        <v>255</v>
      </c>
      <c r="E32" s="328">
        <f>F32</f>
        <v>2362000</v>
      </c>
      <c r="F32" s="477">
        <v>2362000</v>
      </c>
      <c r="G32" s="477"/>
      <c r="H32" s="477"/>
      <c r="I32" s="477"/>
      <c r="J32" s="328">
        <f>L32+O32</f>
        <v>0</v>
      </c>
      <c r="K32" s="477"/>
      <c r="L32" s="477"/>
      <c r="M32" s="477"/>
      <c r="N32" s="477"/>
      <c r="O32" s="474"/>
      <c r="P32" s="328">
        <f>E32+J32</f>
        <v>2362000</v>
      </c>
      <c r="Q32" s="36"/>
      <c r="R32" s="36"/>
    </row>
    <row r="33" spans="1:18" s="33" customFormat="1" ht="46.5" customHeight="1" thickTop="1" thickBot="1" x14ac:dyDescent="0.25">
      <c r="A33" s="311" t="s">
        <v>696</v>
      </c>
      <c r="B33" s="311" t="s">
        <v>697</v>
      </c>
      <c r="C33" s="311"/>
      <c r="D33" s="311" t="s">
        <v>698</v>
      </c>
      <c r="E33" s="328">
        <f t="shared" ref="E33:P33" si="14">E37+E34</f>
        <v>45062000</v>
      </c>
      <c r="F33" s="328">
        <f t="shared" si="14"/>
        <v>45062000</v>
      </c>
      <c r="G33" s="328">
        <f t="shared" si="14"/>
        <v>0</v>
      </c>
      <c r="H33" s="328">
        <f t="shared" si="14"/>
        <v>0</v>
      </c>
      <c r="I33" s="328">
        <f t="shared" si="14"/>
        <v>0</v>
      </c>
      <c r="J33" s="328">
        <f t="shared" si="14"/>
        <v>40000000</v>
      </c>
      <c r="K33" s="328">
        <f t="shared" si="14"/>
        <v>40000000</v>
      </c>
      <c r="L33" s="328">
        <f t="shared" si="14"/>
        <v>0</v>
      </c>
      <c r="M33" s="328">
        <f t="shared" si="14"/>
        <v>0</v>
      </c>
      <c r="N33" s="328">
        <f t="shared" si="14"/>
        <v>0</v>
      </c>
      <c r="O33" s="328">
        <f t="shared" si="14"/>
        <v>40000000</v>
      </c>
      <c r="P33" s="328">
        <f t="shared" si="14"/>
        <v>85062000</v>
      </c>
      <c r="Q33" s="36"/>
      <c r="R33" s="36"/>
    </row>
    <row r="34" spans="1:18" s="33" customFormat="1" ht="103.5" customHeight="1" thickTop="1" thickBot="1" x14ac:dyDescent="0.25">
      <c r="A34" s="313" t="s">
        <v>1194</v>
      </c>
      <c r="B34" s="313" t="s">
        <v>1195</v>
      </c>
      <c r="C34" s="313"/>
      <c r="D34" s="313" t="s">
        <v>1193</v>
      </c>
      <c r="E34" s="315">
        <f t="shared" ref="E34:P34" si="15">SUM(E35:E36)</f>
        <v>34862000</v>
      </c>
      <c r="F34" s="315">
        <f t="shared" si="15"/>
        <v>34862000</v>
      </c>
      <c r="G34" s="315">
        <f t="shared" si="15"/>
        <v>0</v>
      </c>
      <c r="H34" s="315">
        <f t="shared" si="15"/>
        <v>0</v>
      </c>
      <c r="I34" s="315">
        <f t="shared" si="15"/>
        <v>0</v>
      </c>
      <c r="J34" s="315">
        <f t="shared" si="15"/>
        <v>40000000</v>
      </c>
      <c r="K34" s="315">
        <f t="shared" si="15"/>
        <v>40000000</v>
      </c>
      <c r="L34" s="315">
        <f t="shared" si="15"/>
        <v>0</v>
      </c>
      <c r="M34" s="315">
        <f t="shared" si="15"/>
        <v>0</v>
      </c>
      <c r="N34" s="315">
        <f t="shared" si="15"/>
        <v>0</v>
      </c>
      <c r="O34" s="315">
        <f t="shared" si="15"/>
        <v>40000000</v>
      </c>
      <c r="P34" s="315">
        <f t="shared" si="15"/>
        <v>74862000</v>
      </c>
      <c r="Q34" s="36"/>
      <c r="R34" s="36"/>
    </row>
    <row r="35" spans="1:18" s="33" customFormat="1" ht="103.5" customHeight="1" thickTop="1" thickBot="1" x14ac:dyDescent="0.25">
      <c r="A35" s="103" t="s">
        <v>1222</v>
      </c>
      <c r="B35" s="103" t="s">
        <v>1223</v>
      </c>
      <c r="C35" s="103" t="s">
        <v>1197</v>
      </c>
      <c r="D35" s="103" t="s">
        <v>1224</v>
      </c>
      <c r="E35" s="328">
        <f>F35</f>
        <v>26000000</v>
      </c>
      <c r="F35" s="477">
        <f>5000000+3000000+8000000+10000000</f>
        <v>26000000</v>
      </c>
      <c r="G35" s="477"/>
      <c r="H35" s="477"/>
      <c r="I35" s="477"/>
      <c r="J35" s="328">
        <f>L35+O35</f>
        <v>40000000</v>
      </c>
      <c r="K35" s="477">
        <f>25000000+15000000</f>
        <v>40000000</v>
      </c>
      <c r="L35" s="477"/>
      <c r="M35" s="477"/>
      <c r="N35" s="477"/>
      <c r="O35" s="474">
        <f>K35</f>
        <v>40000000</v>
      </c>
      <c r="P35" s="328">
        <f>E35+J35</f>
        <v>66000000</v>
      </c>
      <c r="Q35" s="36"/>
      <c r="R35" s="36"/>
    </row>
    <row r="36" spans="1:18" s="33" customFormat="1" ht="48" thickTop="1" thickBot="1" x14ac:dyDescent="0.25">
      <c r="A36" s="103" t="s">
        <v>1198</v>
      </c>
      <c r="B36" s="103" t="s">
        <v>1199</v>
      </c>
      <c r="C36" s="103" t="s">
        <v>1197</v>
      </c>
      <c r="D36" s="103" t="s">
        <v>1196</v>
      </c>
      <c r="E36" s="328">
        <f>F36</f>
        <v>8862000</v>
      </c>
      <c r="F36" s="477">
        <v>8862000</v>
      </c>
      <c r="G36" s="477"/>
      <c r="H36" s="477"/>
      <c r="I36" s="477"/>
      <c r="J36" s="328">
        <f>L36+O36</f>
        <v>0</v>
      </c>
      <c r="K36" s="477">
        <v>0</v>
      </c>
      <c r="L36" s="477"/>
      <c r="M36" s="477"/>
      <c r="N36" s="477"/>
      <c r="O36" s="474">
        <f>K36</f>
        <v>0</v>
      </c>
      <c r="P36" s="328">
        <f>E36+J36</f>
        <v>8862000</v>
      </c>
      <c r="Q36" s="36"/>
      <c r="R36" s="36"/>
    </row>
    <row r="37" spans="1:18" s="33" customFormat="1" ht="47.25" thickTop="1" thickBot="1" x14ac:dyDescent="0.25">
      <c r="A37" s="313" t="s">
        <v>699</v>
      </c>
      <c r="B37" s="313" t="s">
        <v>700</v>
      </c>
      <c r="C37" s="313"/>
      <c r="D37" s="313" t="s">
        <v>701</v>
      </c>
      <c r="E37" s="315">
        <f>SUM(E38)</f>
        <v>10200000</v>
      </c>
      <c r="F37" s="315">
        <f t="shared" ref="F37:P37" si="16">SUM(F38)</f>
        <v>10200000</v>
      </c>
      <c r="G37" s="315">
        <f t="shared" si="16"/>
        <v>0</v>
      </c>
      <c r="H37" s="315">
        <f t="shared" si="16"/>
        <v>0</v>
      </c>
      <c r="I37" s="315">
        <f t="shared" si="16"/>
        <v>0</v>
      </c>
      <c r="J37" s="315">
        <f t="shared" si="16"/>
        <v>0</v>
      </c>
      <c r="K37" s="315">
        <f t="shared" si="16"/>
        <v>0</v>
      </c>
      <c r="L37" s="315">
        <f t="shared" si="16"/>
        <v>0</v>
      </c>
      <c r="M37" s="315">
        <f t="shared" si="16"/>
        <v>0</v>
      </c>
      <c r="N37" s="315">
        <f t="shared" si="16"/>
        <v>0</v>
      </c>
      <c r="O37" s="315">
        <f t="shared" si="16"/>
        <v>0</v>
      </c>
      <c r="P37" s="315">
        <f t="shared" si="16"/>
        <v>10200000</v>
      </c>
      <c r="Q37" s="36"/>
    </row>
    <row r="38" spans="1:18" ht="48" thickTop="1" thickBot="1" x14ac:dyDescent="0.25">
      <c r="A38" s="103" t="s">
        <v>241</v>
      </c>
      <c r="B38" s="103" t="s">
        <v>242</v>
      </c>
      <c r="C38" s="103" t="s">
        <v>243</v>
      </c>
      <c r="D38" s="103" t="s">
        <v>244</v>
      </c>
      <c r="E38" s="328">
        <f>F38</f>
        <v>10200000</v>
      </c>
      <c r="F38" s="477">
        <v>10200000</v>
      </c>
      <c r="G38" s="477"/>
      <c r="H38" s="477"/>
      <c r="I38" s="477"/>
      <c r="J38" s="328">
        <f>L38+O38</f>
        <v>0</v>
      </c>
      <c r="K38" s="477">
        <v>0</v>
      </c>
      <c r="L38" s="477"/>
      <c r="M38" s="477"/>
      <c r="N38" s="477"/>
      <c r="O38" s="474">
        <f>K38</f>
        <v>0</v>
      </c>
      <c r="P38" s="328">
        <f>E38+J38</f>
        <v>10200000</v>
      </c>
      <c r="Q38" s="20"/>
    </row>
    <row r="39" spans="1:18" ht="47.25" thickTop="1" thickBot="1" x14ac:dyDescent="0.25">
      <c r="A39" s="311" t="s">
        <v>702</v>
      </c>
      <c r="B39" s="311" t="s">
        <v>703</v>
      </c>
      <c r="C39" s="311"/>
      <c r="D39" s="311" t="s">
        <v>704</v>
      </c>
      <c r="E39" s="328">
        <f>E40+E43</f>
        <v>43906918.140000001</v>
      </c>
      <c r="F39" s="328">
        <f t="shared" ref="F39:P39" si="17">F40+F43</f>
        <v>43906918.140000001</v>
      </c>
      <c r="G39" s="328">
        <f t="shared" si="17"/>
        <v>0</v>
      </c>
      <c r="H39" s="328">
        <f t="shared" si="17"/>
        <v>0</v>
      </c>
      <c r="I39" s="328">
        <f t="shared" si="17"/>
        <v>0</v>
      </c>
      <c r="J39" s="328">
        <f t="shared" si="17"/>
        <v>26116681.859999999</v>
      </c>
      <c r="K39" s="328">
        <f t="shared" si="17"/>
        <v>26116681.859999999</v>
      </c>
      <c r="L39" s="328">
        <f t="shared" si="17"/>
        <v>0</v>
      </c>
      <c r="M39" s="328">
        <f t="shared" si="17"/>
        <v>0</v>
      </c>
      <c r="N39" s="328">
        <f t="shared" si="17"/>
        <v>0</v>
      </c>
      <c r="O39" s="328">
        <f t="shared" si="17"/>
        <v>26116681.859999999</v>
      </c>
      <c r="P39" s="328">
        <f t="shared" si="17"/>
        <v>70023600</v>
      </c>
      <c r="Q39" s="20"/>
    </row>
    <row r="40" spans="1:18" s="33" customFormat="1" ht="91.5" thickTop="1" thickBot="1" x14ac:dyDescent="0.25">
      <c r="A40" s="313" t="s">
        <v>705</v>
      </c>
      <c r="B40" s="313" t="s">
        <v>706</v>
      </c>
      <c r="C40" s="313"/>
      <c r="D40" s="313" t="s">
        <v>707</v>
      </c>
      <c r="E40" s="315">
        <f>SUM(E41:E42)</f>
        <v>1333600</v>
      </c>
      <c r="F40" s="315">
        <f t="shared" ref="F40:P40" si="18">SUM(F41:F42)</f>
        <v>1333600</v>
      </c>
      <c r="G40" s="315">
        <f t="shared" si="18"/>
        <v>0</v>
      </c>
      <c r="H40" s="315">
        <f t="shared" si="18"/>
        <v>0</v>
      </c>
      <c r="I40" s="315">
        <f t="shared" si="18"/>
        <v>0</v>
      </c>
      <c r="J40" s="315">
        <f t="shared" si="18"/>
        <v>0</v>
      </c>
      <c r="K40" s="315">
        <f t="shared" si="18"/>
        <v>0</v>
      </c>
      <c r="L40" s="315">
        <f t="shared" si="18"/>
        <v>0</v>
      </c>
      <c r="M40" s="315">
        <f t="shared" si="18"/>
        <v>0</v>
      </c>
      <c r="N40" s="315">
        <f t="shared" si="18"/>
        <v>0</v>
      </c>
      <c r="O40" s="315">
        <f t="shared" si="18"/>
        <v>0</v>
      </c>
      <c r="P40" s="315">
        <f t="shared" si="18"/>
        <v>1333600</v>
      </c>
      <c r="Q40" s="36"/>
      <c r="R40" s="36"/>
    </row>
    <row r="41" spans="1:18" ht="138.75" thickTop="1" thickBot="1" x14ac:dyDescent="0.25">
      <c r="A41" s="103" t="s">
        <v>245</v>
      </c>
      <c r="B41" s="103" t="s">
        <v>246</v>
      </c>
      <c r="C41" s="103" t="s">
        <v>43</v>
      </c>
      <c r="D41" s="103" t="s">
        <v>443</v>
      </c>
      <c r="E41" s="328">
        <f t="shared" si="3"/>
        <v>1178000</v>
      </c>
      <c r="F41" s="477">
        <v>1178000</v>
      </c>
      <c r="G41" s="477"/>
      <c r="H41" s="477"/>
      <c r="I41" s="477"/>
      <c r="J41" s="328">
        <f>L41+O41</f>
        <v>0</v>
      </c>
      <c r="K41" s="477"/>
      <c r="L41" s="477"/>
      <c r="M41" s="477"/>
      <c r="N41" s="477"/>
      <c r="O41" s="474">
        <f>K41</f>
        <v>0</v>
      </c>
      <c r="P41" s="328">
        <f>E41+J41</f>
        <v>1178000</v>
      </c>
      <c r="Q41" s="20"/>
    </row>
    <row r="42" spans="1:18" ht="48" thickTop="1" thickBot="1" x14ac:dyDescent="0.25">
      <c r="A42" s="103" t="s">
        <v>576</v>
      </c>
      <c r="B42" s="103" t="s">
        <v>363</v>
      </c>
      <c r="C42" s="103" t="s">
        <v>43</v>
      </c>
      <c r="D42" s="103" t="s">
        <v>364</v>
      </c>
      <c r="E42" s="328">
        <f t="shared" ref="E42:E43" si="19">F42</f>
        <v>155600</v>
      </c>
      <c r="F42" s="477">
        <v>155600</v>
      </c>
      <c r="G42" s="477"/>
      <c r="H42" s="477"/>
      <c r="I42" s="477"/>
      <c r="J42" s="328">
        <f>L42+O42</f>
        <v>0</v>
      </c>
      <c r="K42" s="477">
        <f>(1000000)-1000000</f>
        <v>0</v>
      </c>
      <c r="L42" s="477"/>
      <c r="M42" s="477"/>
      <c r="N42" s="477"/>
      <c r="O42" s="474">
        <f>K42</f>
        <v>0</v>
      </c>
      <c r="P42" s="328">
        <f>E42+J42</f>
        <v>155600</v>
      </c>
      <c r="Q42" s="20"/>
    </row>
    <row r="43" spans="1:18" ht="91.5" thickTop="1" thickBot="1" x14ac:dyDescent="0.25">
      <c r="A43" s="313" t="s">
        <v>513</v>
      </c>
      <c r="B43" s="313" t="s">
        <v>514</v>
      </c>
      <c r="C43" s="313" t="s">
        <v>43</v>
      </c>
      <c r="D43" s="313" t="s">
        <v>515</v>
      </c>
      <c r="E43" s="315">
        <f t="shared" si="19"/>
        <v>42573318.140000001</v>
      </c>
      <c r="F43" s="315">
        <f>40873318.14-300000+2000000</f>
        <v>42573318.140000001</v>
      </c>
      <c r="G43" s="137"/>
      <c r="H43" s="137"/>
      <c r="I43" s="137"/>
      <c r="J43" s="315">
        <f>L43+O43</f>
        <v>26116681.859999999</v>
      </c>
      <c r="K43" s="477">
        <f>26816681.86-700000</f>
        <v>26116681.859999999</v>
      </c>
      <c r="L43" s="315"/>
      <c r="M43" s="315"/>
      <c r="N43" s="315"/>
      <c r="O43" s="315">
        <f>K43</f>
        <v>26116681.859999999</v>
      </c>
      <c r="P43" s="315">
        <f>E43+J43</f>
        <v>68690000</v>
      </c>
      <c r="Q43" s="20"/>
      <c r="R43" s="26"/>
    </row>
    <row r="44" spans="1:18" ht="177.75" customHeight="1" thickTop="1" thickBot="1" x14ac:dyDescent="0.25">
      <c r="A44" s="508" t="s">
        <v>152</v>
      </c>
      <c r="B44" s="508"/>
      <c r="C44" s="508"/>
      <c r="D44" s="509" t="s">
        <v>0</v>
      </c>
      <c r="E44" s="535">
        <f>E45</f>
        <v>2104616704</v>
      </c>
      <c r="F44" s="510">
        <f t="shared" ref="F44" si="20">F45</f>
        <v>2104616704</v>
      </c>
      <c r="G44" s="510">
        <f>G45</f>
        <v>1446614253</v>
      </c>
      <c r="H44" s="510">
        <f>H45</f>
        <v>170645348</v>
      </c>
      <c r="I44" s="510">
        <f t="shared" ref="I44" si="21">I45</f>
        <v>0</v>
      </c>
      <c r="J44" s="535">
        <f>J45</f>
        <v>260410511.92000002</v>
      </c>
      <c r="K44" s="510">
        <f>K45</f>
        <v>50575911.920000002</v>
      </c>
      <c r="L44" s="510">
        <f>L45</f>
        <v>206347210</v>
      </c>
      <c r="M44" s="510">
        <f t="shared" ref="M44" si="22">M45</f>
        <v>53944610</v>
      </c>
      <c r="N44" s="510">
        <f>N45</f>
        <v>17336870</v>
      </c>
      <c r="O44" s="535">
        <f>O45</f>
        <v>54063301.920000002</v>
      </c>
      <c r="P44" s="510">
        <f t="shared" ref="P44" si="23">P45</f>
        <v>2365027215.9200001</v>
      </c>
      <c r="Q44" s="20"/>
    </row>
    <row r="45" spans="1:18" ht="159" customHeight="1" thickTop="1" thickBot="1" x14ac:dyDescent="0.25">
      <c r="A45" s="511" t="s">
        <v>153</v>
      </c>
      <c r="B45" s="511"/>
      <c r="C45" s="511"/>
      <c r="D45" s="512" t="s">
        <v>1</v>
      </c>
      <c r="E45" s="513">
        <f>E46+E87+E99+E90+E96</f>
        <v>2104616704</v>
      </c>
      <c r="F45" s="513">
        <f>F46+F87+F99+F90+F96</f>
        <v>2104616704</v>
      </c>
      <c r="G45" s="513">
        <f>G46+G87+G99+G90+G96</f>
        <v>1446614253</v>
      </c>
      <c r="H45" s="513">
        <f>H46+H87+H99+H90+H96</f>
        <v>170645348</v>
      </c>
      <c r="I45" s="513">
        <f>I46+I87+I99+I90+I96</f>
        <v>0</v>
      </c>
      <c r="J45" s="513">
        <f>L45+O45</f>
        <v>260410511.92000002</v>
      </c>
      <c r="K45" s="513">
        <f>K46+K87+K99+K90+K96</f>
        <v>50575911.920000002</v>
      </c>
      <c r="L45" s="513">
        <f>L46+L87+L99+L90+L96</f>
        <v>206347210</v>
      </c>
      <c r="M45" s="513">
        <f>M46+M87+M99+M90+M96</f>
        <v>53944610</v>
      </c>
      <c r="N45" s="513">
        <f>N46+N87+N99+N90+N96</f>
        <v>17336870</v>
      </c>
      <c r="O45" s="513">
        <f>O46+O87+O99+O90+O96</f>
        <v>54063301.920000002</v>
      </c>
      <c r="P45" s="513">
        <f>E45+J45</f>
        <v>2365027215.9200001</v>
      </c>
      <c r="Q45" s="606" t="b">
        <f>P45=P47+P49+P50+P51+P53+P54+P58+P60+P61+P63+P64+P66+P67+P68+P82+P88+P89+P93+P95</f>
        <v>1</v>
      </c>
      <c r="R45" s="26"/>
    </row>
    <row r="46" spans="1:18" ht="47.25" thickTop="1" thickBot="1" x14ac:dyDescent="0.25">
      <c r="A46" s="311" t="s">
        <v>708</v>
      </c>
      <c r="B46" s="311" t="s">
        <v>709</v>
      </c>
      <c r="C46" s="311"/>
      <c r="D46" s="311" t="s">
        <v>710</v>
      </c>
      <c r="E46" s="328">
        <f>E47+E48+E52+E58+E59+E62+E65+E68+E69+E76+E55+E77+E72+E78+E81+E84</f>
        <v>2102142104</v>
      </c>
      <c r="F46" s="328">
        <f t="shared" ref="F46:P46" si="24">F47+F48+F52+F58+F59+F62+F65+F68+F69+F76+F55+F77+F72+F78+F81+F84</f>
        <v>2102142104</v>
      </c>
      <c r="G46" s="328">
        <f t="shared" si="24"/>
        <v>1446614253</v>
      </c>
      <c r="H46" s="328">
        <f t="shared" si="24"/>
        <v>170054748</v>
      </c>
      <c r="I46" s="328">
        <f t="shared" si="24"/>
        <v>0</v>
      </c>
      <c r="J46" s="328">
        <f t="shared" si="24"/>
        <v>234410511.92000002</v>
      </c>
      <c r="K46" s="328">
        <f t="shared" si="24"/>
        <v>24575911.920000002</v>
      </c>
      <c r="L46" s="328">
        <f t="shared" si="24"/>
        <v>206347210</v>
      </c>
      <c r="M46" s="328">
        <f t="shared" si="24"/>
        <v>53944610</v>
      </c>
      <c r="N46" s="328">
        <f t="shared" si="24"/>
        <v>17336870</v>
      </c>
      <c r="O46" s="328">
        <f t="shared" si="24"/>
        <v>28063301.920000002</v>
      </c>
      <c r="P46" s="328">
        <f t="shared" si="24"/>
        <v>2336552615.9200001</v>
      </c>
      <c r="Q46" s="30"/>
      <c r="R46" s="26"/>
    </row>
    <row r="47" spans="1:18" ht="99" customHeight="1" thickTop="1" thickBot="1" x14ac:dyDescent="0.6">
      <c r="A47" s="103" t="s">
        <v>198</v>
      </c>
      <c r="B47" s="103" t="s">
        <v>199</v>
      </c>
      <c r="C47" s="103" t="s">
        <v>201</v>
      </c>
      <c r="D47" s="103" t="s">
        <v>202</v>
      </c>
      <c r="E47" s="328">
        <f>F47</f>
        <v>551364032</v>
      </c>
      <c r="F47" s="477">
        <f>518100000+6834000+121810+46482400+5516000+34247960+1883491+20029153+1410722+1453964+1539752+121850+3930+500000+95000+100000+300000-5000000-45500000-36876000</f>
        <v>551364032</v>
      </c>
      <c r="G47" s="477">
        <f>424700000-45500000</f>
        <v>379200000</v>
      </c>
      <c r="H47" s="477">
        <f>34247960+1883491+20029153+1410722+1453964+1539752</f>
        <v>60565042</v>
      </c>
      <c r="I47" s="477"/>
      <c r="J47" s="328">
        <f t="shared" ref="J47:J71" si="25">L47+O47</f>
        <v>96186670</v>
      </c>
      <c r="K47" s="477">
        <f>500000</f>
        <v>500000</v>
      </c>
      <c r="L47" s="477">
        <f>94139890</f>
        <v>94139890</v>
      </c>
      <c r="M47" s="477">
        <v>17927390</v>
      </c>
      <c r="N47" s="477">
        <v>4628330</v>
      </c>
      <c r="O47" s="474">
        <f>K47+1546780</f>
        <v>2046780</v>
      </c>
      <c r="P47" s="328">
        <f t="shared" ref="P47:P60" si="26">E47+J47</f>
        <v>647550702</v>
      </c>
      <c r="Q47" s="143"/>
      <c r="R47" s="26"/>
    </row>
    <row r="48" spans="1:18" ht="48" thickTop="1" thickBot="1" x14ac:dyDescent="0.6">
      <c r="A48" s="329" t="s">
        <v>203</v>
      </c>
      <c r="B48" s="329" t="s">
        <v>200</v>
      </c>
      <c r="C48" s="329"/>
      <c r="D48" s="329" t="s">
        <v>644</v>
      </c>
      <c r="E48" s="325">
        <f>E49+E50+E51</f>
        <v>553335754</v>
      </c>
      <c r="F48" s="325">
        <f>F49+F50+F51</f>
        <v>553335754</v>
      </c>
      <c r="G48" s="325">
        <f t="shared" ref="G48:I48" si="27">G49+G50+G51</f>
        <v>314916751</v>
      </c>
      <c r="H48" s="325">
        <f t="shared" si="27"/>
        <v>81514646</v>
      </c>
      <c r="I48" s="325">
        <f t="shared" si="27"/>
        <v>0</v>
      </c>
      <c r="J48" s="325">
        <f t="shared" ref="J48" si="28">J49+J50+J51</f>
        <v>96270281.920000002</v>
      </c>
      <c r="K48" s="325">
        <f t="shared" ref="K48" si="29">K49+K50+K51</f>
        <v>18475911.920000002</v>
      </c>
      <c r="L48" s="325">
        <f t="shared" ref="L48" si="30">L49+L50+L51</f>
        <v>76441760</v>
      </c>
      <c r="M48" s="325">
        <f t="shared" ref="M48" si="31">M49+M50+M51</f>
        <v>24386640</v>
      </c>
      <c r="N48" s="325">
        <f t="shared" ref="N48" si="32">N49+N50+N51</f>
        <v>1851620</v>
      </c>
      <c r="O48" s="325">
        <f t="shared" ref="O48" si="33">O49+O50+O51</f>
        <v>19828521.920000002</v>
      </c>
      <c r="P48" s="325">
        <f>E48+J48</f>
        <v>649606035.91999996</v>
      </c>
      <c r="Q48" s="143"/>
      <c r="R48" s="37"/>
    </row>
    <row r="49" spans="1:20" ht="93" thickTop="1" thickBot="1" x14ac:dyDescent="0.6">
      <c r="A49" s="103" t="s">
        <v>642</v>
      </c>
      <c r="B49" s="103" t="s">
        <v>643</v>
      </c>
      <c r="C49" s="103" t="s">
        <v>204</v>
      </c>
      <c r="D49" s="103" t="s">
        <v>1288</v>
      </c>
      <c r="E49" s="328">
        <f t="shared" ref="E49:E60" si="34">F49</f>
        <v>501407617</v>
      </c>
      <c r="F49" s="477">
        <f>291024550+15000600+229878+80712500+7004000+45443420+1405040+21980904+4836961+2727144+242950+6050+666880+10740+500000+90000+200000+500000-5000000+100000000-36500000-29674000</f>
        <v>501407617</v>
      </c>
      <c r="G49" s="477">
        <f>238511902+82000000-36500000</f>
        <v>284011902</v>
      </c>
      <c r="H49" s="477">
        <f>45443420+1405040+21980904+4836961+2727144</f>
        <v>76393469</v>
      </c>
      <c r="I49" s="477"/>
      <c r="J49" s="328">
        <f t="shared" si="25"/>
        <v>95348131.920000002</v>
      </c>
      <c r="K49" s="477">
        <f>500000+500000+500000+483297.98+449851.94+260000+1158336+669262+663111+879754+412299+5700000+1750000+3800000</f>
        <v>17725911.920000002</v>
      </c>
      <c r="L49" s="477">
        <v>76269610</v>
      </c>
      <c r="M49" s="477">
        <v>24386640</v>
      </c>
      <c r="N49" s="477">
        <v>1771070</v>
      </c>
      <c r="O49" s="474">
        <f>(K49+1352610)</f>
        <v>19078521.920000002</v>
      </c>
      <c r="P49" s="328">
        <f t="shared" si="26"/>
        <v>596755748.91999996</v>
      </c>
      <c r="Q49" s="143"/>
      <c r="R49" s="26"/>
      <c r="T49" s="38"/>
    </row>
    <row r="50" spans="1:20" ht="138.75" thickTop="1" thickBot="1" x14ac:dyDescent="0.25">
      <c r="A50" s="103" t="s">
        <v>651</v>
      </c>
      <c r="B50" s="103" t="s">
        <v>652</v>
      </c>
      <c r="C50" s="103" t="s">
        <v>207</v>
      </c>
      <c r="D50" s="103" t="s">
        <v>1289</v>
      </c>
      <c r="E50" s="328">
        <f t="shared" si="34"/>
        <v>32131332</v>
      </c>
      <c r="F50" s="477">
        <f>28544020+292110+8100+1142200+237500+2100+1338370+19817+268500+10435+41600+5920+200000+10000+10660</f>
        <v>32131332</v>
      </c>
      <c r="G50" s="477">
        <v>23779110</v>
      </c>
      <c r="H50" s="477">
        <f>1338370+19817+268500+10435</f>
        <v>1637122</v>
      </c>
      <c r="I50" s="477"/>
      <c r="J50" s="328">
        <f t="shared" si="25"/>
        <v>172150</v>
      </c>
      <c r="K50" s="477"/>
      <c r="L50" s="477">
        <v>172150</v>
      </c>
      <c r="M50" s="477"/>
      <c r="N50" s="477">
        <v>80550</v>
      </c>
      <c r="O50" s="474">
        <f>K50</f>
        <v>0</v>
      </c>
      <c r="P50" s="328">
        <f t="shared" si="26"/>
        <v>32303482</v>
      </c>
      <c r="Q50" s="20"/>
      <c r="R50" s="27"/>
    </row>
    <row r="51" spans="1:20" ht="93" thickTop="1" thickBot="1" x14ac:dyDescent="0.25">
      <c r="A51" s="103" t="s">
        <v>1002</v>
      </c>
      <c r="B51" s="103" t="s">
        <v>1003</v>
      </c>
      <c r="C51" s="103" t="s">
        <v>207</v>
      </c>
      <c r="D51" s="103" t="s">
        <v>1290</v>
      </c>
      <c r="E51" s="328">
        <f t="shared" ref="E51" si="35">F51</f>
        <v>19796805</v>
      </c>
      <c r="F51" s="477">
        <f>8569752+424160+12728+6393800+359900+300000+2400640+93745+970870+18800+9450+2960+200000+5000+35000</f>
        <v>19796805</v>
      </c>
      <c r="G51" s="477">
        <v>7125739</v>
      </c>
      <c r="H51" s="477">
        <f>2400640+93745+970870+18800</f>
        <v>3484055</v>
      </c>
      <c r="I51" s="477"/>
      <c r="J51" s="328">
        <f t="shared" ref="J51" si="36">L51+O51</f>
        <v>750000</v>
      </c>
      <c r="K51" s="477">
        <f>300000+250000+200000</f>
        <v>750000</v>
      </c>
      <c r="L51" s="477"/>
      <c r="M51" s="477"/>
      <c r="N51" s="477"/>
      <c r="O51" s="474">
        <f>K51</f>
        <v>750000</v>
      </c>
      <c r="P51" s="328">
        <f t="shared" ref="P51" si="37">E51+J51</f>
        <v>20546805</v>
      </c>
      <c r="Q51" s="20"/>
      <c r="R51" s="27"/>
    </row>
    <row r="52" spans="1:20" ht="48" thickTop="1" thickBot="1" x14ac:dyDescent="0.25">
      <c r="A52" s="329" t="s">
        <v>498</v>
      </c>
      <c r="B52" s="329" t="s">
        <v>205</v>
      </c>
      <c r="C52" s="329"/>
      <c r="D52" s="329" t="s">
        <v>659</v>
      </c>
      <c r="E52" s="325">
        <f>SUM(E53:E54)</f>
        <v>733067003</v>
      </c>
      <c r="F52" s="325">
        <f>SUM(F53:F54)</f>
        <v>733067003</v>
      </c>
      <c r="G52" s="325">
        <f>SUM(G53:G54)</f>
        <v>595792730</v>
      </c>
      <c r="H52" s="325">
        <f>SUM(H53:H54)</f>
        <v>0</v>
      </c>
      <c r="I52" s="325">
        <f>SUM(I53:I54)</f>
        <v>0</v>
      </c>
      <c r="J52" s="325">
        <f t="shared" ref="J52:P52" si="38">SUM(J53:J54)</f>
        <v>0</v>
      </c>
      <c r="K52" s="325">
        <f t="shared" si="38"/>
        <v>0</v>
      </c>
      <c r="L52" s="325">
        <f t="shared" si="38"/>
        <v>0</v>
      </c>
      <c r="M52" s="325">
        <f t="shared" si="38"/>
        <v>0</v>
      </c>
      <c r="N52" s="325">
        <f t="shared" si="38"/>
        <v>0</v>
      </c>
      <c r="O52" s="325">
        <f t="shared" si="38"/>
        <v>0</v>
      </c>
      <c r="P52" s="325">
        <f t="shared" si="38"/>
        <v>733067003</v>
      </c>
      <c r="Q52" s="20"/>
      <c r="R52" s="35"/>
    </row>
    <row r="53" spans="1:20" ht="93" thickTop="1" thickBot="1" x14ac:dyDescent="0.25">
      <c r="A53" s="103" t="s">
        <v>660</v>
      </c>
      <c r="B53" s="103" t="s">
        <v>661</v>
      </c>
      <c r="C53" s="103" t="s">
        <v>204</v>
      </c>
      <c r="D53" s="103" t="s">
        <v>1291</v>
      </c>
      <c r="E53" s="328">
        <f t="shared" ref="E53:E54" si="39">F53</f>
        <v>722076353</v>
      </c>
      <c r="F53" s="477">
        <f>715876450+6199903</f>
        <v>722076353</v>
      </c>
      <c r="G53" s="477">
        <v>586784000</v>
      </c>
      <c r="H53" s="477"/>
      <c r="I53" s="477"/>
      <c r="J53" s="328">
        <f t="shared" ref="J53:J54" si="40">L53+O53</f>
        <v>0</v>
      </c>
      <c r="K53" s="477"/>
      <c r="L53" s="477"/>
      <c r="M53" s="477"/>
      <c r="N53" s="477"/>
      <c r="O53" s="474">
        <f>K53</f>
        <v>0</v>
      </c>
      <c r="P53" s="328">
        <f t="shared" ref="P53:P57" si="41">E53+J53</f>
        <v>722076353</v>
      </c>
      <c r="Q53" s="20"/>
      <c r="R53" s="30"/>
    </row>
    <row r="54" spans="1:20" ht="93" thickTop="1" thickBot="1" x14ac:dyDescent="0.25">
      <c r="A54" s="103" t="s">
        <v>1138</v>
      </c>
      <c r="B54" s="343" t="s">
        <v>1139</v>
      </c>
      <c r="C54" s="103" t="s">
        <v>207</v>
      </c>
      <c r="D54" s="103" t="s">
        <v>1292</v>
      </c>
      <c r="E54" s="328">
        <f t="shared" si="39"/>
        <v>10990650</v>
      </c>
      <c r="F54" s="592">
        <f>10990650</f>
        <v>10990650</v>
      </c>
      <c r="G54" s="592">
        <v>9008730</v>
      </c>
      <c r="H54" s="592"/>
      <c r="I54" s="592"/>
      <c r="J54" s="328">
        <f t="shared" si="40"/>
        <v>0</v>
      </c>
      <c r="K54" s="592"/>
      <c r="L54" s="592"/>
      <c r="M54" s="592"/>
      <c r="N54" s="592"/>
      <c r="O54" s="593"/>
      <c r="P54" s="328">
        <f t="shared" si="41"/>
        <v>10990650</v>
      </c>
      <c r="Q54" s="20"/>
      <c r="R54" s="30"/>
    </row>
    <row r="55" spans="1:20" ht="183.75" hidden="1" thickTop="1" x14ac:dyDescent="0.65">
      <c r="A55" s="735" t="s">
        <v>932</v>
      </c>
      <c r="B55" s="735" t="s">
        <v>50</v>
      </c>
      <c r="C55" s="735"/>
      <c r="D55" s="412" t="s">
        <v>935</v>
      </c>
      <c r="E55" s="737">
        <f t="shared" ref="E55:O55" si="42">E57</f>
        <v>0</v>
      </c>
      <c r="F55" s="737">
        <f t="shared" si="42"/>
        <v>0</v>
      </c>
      <c r="G55" s="737">
        <f t="shared" si="42"/>
        <v>0</v>
      </c>
      <c r="H55" s="737">
        <f t="shared" si="42"/>
        <v>0</v>
      </c>
      <c r="I55" s="737">
        <f t="shared" si="42"/>
        <v>0</v>
      </c>
      <c r="J55" s="737">
        <f t="shared" si="42"/>
        <v>0</v>
      </c>
      <c r="K55" s="737">
        <f t="shared" si="42"/>
        <v>0</v>
      </c>
      <c r="L55" s="737">
        <f t="shared" si="42"/>
        <v>0</v>
      </c>
      <c r="M55" s="737">
        <f t="shared" si="42"/>
        <v>0</v>
      </c>
      <c r="N55" s="737">
        <f t="shared" si="42"/>
        <v>0</v>
      </c>
      <c r="O55" s="737">
        <f t="shared" si="42"/>
        <v>0</v>
      </c>
      <c r="P55" s="737">
        <f>E55+J55</f>
        <v>0</v>
      </c>
      <c r="Q55" s="20"/>
      <c r="R55" s="30"/>
    </row>
    <row r="56" spans="1:20" ht="92.25" hidden="1" thickBot="1" x14ac:dyDescent="0.25">
      <c r="A56" s="736"/>
      <c r="B56" s="736"/>
      <c r="C56" s="736"/>
      <c r="D56" s="413" t="s">
        <v>936</v>
      </c>
      <c r="E56" s="736"/>
      <c r="F56" s="736"/>
      <c r="G56" s="736"/>
      <c r="H56" s="736"/>
      <c r="I56" s="736"/>
      <c r="J56" s="736"/>
      <c r="K56" s="736"/>
      <c r="L56" s="736"/>
      <c r="M56" s="736"/>
      <c r="N56" s="736"/>
      <c r="O56" s="736"/>
      <c r="P56" s="736"/>
      <c r="Q56" s="20"/>
      <c r="R56" s="30"/>
    </row>
    <row r="57" spans="1:20" ht="48" hidden="1" thickTop="1" thickBot="1" x14ac:dyDescent="0.25">
      <c r="A57" s="41" t="s">
        <v>933</v>
      </c>
      <c r="B57" s="41" t="s">
        <v>934</v>
      </c>
      <c r="C57" s="41" t="s">
        <v>204</v>
      </c>
      <c r="D57" s="41" t="s">
        <v>937</v>
      </c>
      <c r="E57" s="42">
        <f t="shared" ref="E57" si="43">F57</f>
        <v>0</v>
      </c>
      <c r="F57" s="43"/>
      <c r="G57" s="43"/>
      <c r="H57" s="43"/>
      <c r="I57" s="43"/>
      <c r="J57" s="42">
        <f t="shared" ref="J57" si="44">L57+O57</f>
        <v>0</v>
      </c>
      <c r="K57" s="43"/>
      <c r="L57" s="43"/>
      <c r="M57" s="43"/>
      <c r="N57" s="43"/>
      <c r="O57" s="44">
        <f>K57</f>
        <v>0</v>
      </c>
      <c r="P57" s="42">
        <f t="shared" si="41"/>
        <v>0</v>
      </c>
      <c r="Q57" s="20"/>
      <c r="R57" s="26"/>
    </row>
    <row r="58" spans="1:20" ht="93" thickTop="1" thickBot="1" x14ac:dyDescent="0.25">
      <c r="A58" s="103" t="s">
        <v>662</v>
      </c>
      <c r="B58" s="103" t="s">
        <v>206</v>
      </c>
      <c r="C58" s="103" t="s">
        <v>181</v>
      </c>
      <c r="D58" s="103" t="s">
        <v>499</v>
      </c>
      <c r="E58" s="328">
        <f t="shared" si="34"/>
        <v>38379360</v>
      </c>
      <c r="F58" s="477">
        <f>33713454+543690+17600+529000+174450+2166040+44713+824782+82818+13383+5450+213660+320+50000</f>
        <v>38379360</v>
      </c>
      <c r="G58" s="477">
        <v>27858536</v>
      </c>
      <c r="H58" s="477">
        <f>2166040+44713+824782+82818+13383</f>
        <v>3131736</v>
      </c>
      <c r="I58" s="477"/>
      <c r="J58" s="328">
        <f t="shared" si="25"/>
        <v>1103660</v>
      </c>
      <c r="K58" s="477"/>
      <c r="L58" s="477">
        <v>745660</v>
      </c>
      <c r="M58" s="477">
        <v>38710</v>
      </c>
      <c r="N58" s="477">
        <v>117220</v>
      </c>
      <c r="O58" s="474">
        <f>(K58+358000)</f>
        <v>358000</v>
      </c>
      <c r="P58" s="328">
        <f t="shared" si="26"/>
        <v>39483020</v>
      </c>
      <c r="Q58" s="20"/>
      <c r="R58" s="26"/>
    </row>
    <row r="59" spans="1:20" ht="93" thickTop="1" thickBot="1" x14ac:dyDescent="0.25">
      <c r="A59" s="329" t="s">
        <v>208</v>
      </c>
      <c r="B59" s="329" t="s">
        <v>191</v>
      </c>
      <c r="C59" s="329"/>
      <c r="D59" s="329" t="s">
        <v>500</v>
      </c>
      <c r="E59" s="325">
        <f>E60+E61</f>
        <v>191550236</v>
      </c>
      <c r="F59" s="325">
        <f t="shared" ref="F59:O59" si="45">F60+F61</f>
        <v>191550236</v>
      </c>
      <c r="G59" s="325">
        <f t="shared" si="45"/>
        <v>104778899</v>
      </c>
      <c r="H59" s="325">
        <f t="shared" si="45"/>
        <v>22827390</v>
      </c>
      <c r="I59" s="325">
        <f t="shared" si="45"/>
        <v>0</v>
      </c>
      <c r="J59" s="325">
        <f t="shared" si="45"/>
        <v>35338060</v>
      </c>
      <c r="K59" s="325">
        <f t="shared" si="45"/>
        <v>300000</v>
      </c>
      <c r="L59" s="325">
        <f t="shared" si="45"/>
        <v>34808060</v>
      </c>
      <c r="M59" s="325">
        <f t="shared" si="45"/>
        <v>11591870</v>
      </c>
      <c r="N59" s="325">
        <f t="shared" si="45"/>
        <v>10739700</v>
      </c>
      <c r="O59" s="325">
        <f t="shared" si="45"/>
        <v>530000</v>
      </c>
      <c r="P59" s="325">
        <f t="shared" si="26"/>
        <v>226888296</v>
      </c>
      <c r="Q59" s="20"/>
      <c r="R59" s="35"/>
    </row>
    <row r="60" spans="1:20" ht="93" thickTop="1" thickBot="1" x14ac:dyDescent="0.25">
      <c r="A60" s="103" t="s">
        <v>663</v>
      </c>
      <c r="B60" s="103" t="s">
        <v>664</v>
      </c>
      <c r="C60" s="103" t="s">
        <v>209</v>
      </c>
      <c r="D60" s="103" t="s">
        <v>665</v>
      </c>
      <c r="E60" s="328">
        <f t="shared" si="34"/>
        <v>165819836</v>
      </c>
      <c r="F60" s="477">
        <f>101133046+711000+25000+4069410+483100+16326800+992240+5308000+23350+177000+16850+35311000+1193040+50000</f>
        <v>165819836</v>
      </c>
      <c r="G60" s="477">
        <v>83514099</v>
      </c>
      <c r="H60" s="477">
        <f>16326800+992240+5308000+23350+177000</f>
        <v>22827390</v>
      </c>
      <c r="I60" s="477"/>
      <c r="J60" s="328">
        <f>L60+O60</f>
        <v>35338060</v>
      </c>
      <c r="K60" s="477">
        <f>300000</f>
        <v>300000</v>
      </c>
      <c r="L60" s="477">
        <v>34808060</v>
      </c>
      <c r="M60" s="477">
        <v>11591870</v>
      </c>
      <c r="N60" s="477">
        <v>10739700</v>
      </c>
      <c r="O60" s="474">
        <f>(K60+230000)</f>
        <v>530000</v>
      </c>
      <c r="P60" s="328">
        <f t="shared" si="26"/>
        <v>201157896</v>
      </c>
      <c r="Q60" s="20"/>
      <c r="R60" s="26"/>
    </row>
    <row r="61" spans="1:20" ht="93" thickTop="1" thickBot="1" x14ac:dyDescent="0.25">
      <c r="A61" s="103" t="s">
        <v>667</v>
      </c>
      <c r="B61" s="103" t="s">
        <v>666</v>
      </c>
      <c r="C61" s="103" t="s">
        <v>209</v>
      </c>
      <c r="D61" s="103" t="s">
        <v>668</v>
      </c>
      <c r="E61" s="328">
        <f t="shared" ref="E61" si="46">F61</f>
        <v>25730400</v>
      </c>
      <c r="F61" s="477">
        <f>25730400</f>
        <v>25730400</v>
      </c>
      <c r="G61" s="477">
        <v>21264800</v>
      </c>
      <c r="H61" s="477"/>
      <c r="I61" s="477"/>
      <c r="J61" s="328">
        <f>L61+O61</f>
        <v>0</v>
      </c>
      <c r="K61" s="477"/>
      <c r="L61" s="477"/>
      <c r="M61" s="477"/>
      <c r="N61" s="477"/>
      <c r="O61" s="474"/>
      <c r="P61" s="328">
        <f t="shared" ref="P61" si="47">E61+J61</f>
        <v>25730400</v>
      </c>
      <c r="Q61" s="20"/>
      <c r="R61" s="30"/>
    </row>
    <row r="62" spans="1:20" ht="48" thickTop="1" thickBot="1" x14ac:dyDescent="0.25">
      <c r="A62" s="329" t="s">
        <v>670</v>
      </c>
      <c r="B62" s="329" t="s">
        <v>669</v>
      </c>
      <c r="C62" s="329"/>
      <c r="D62" s="329" t="s">
        <v>671</v>
      </c>
      <c r="E62" s="325">
        <f>E63+E64</f>
        <v>24383083</v>
      </c>
      <c r="F62" s="325">
        <f t="shared" ref="F62:O62" si="48">F63+F64</f>
        <v>24383083</v>
      </c>
      <c r="G62" s="325">
        <f t="shared" si="48"/>
        <v>16464976</v>
      </c>
      <c r="H62" s="325">
        <f t="shared" si="48"/>
        <v>1790626</v>
      </c>
      <c r="I62" s="325">
        <f t="shared" si="48"/>
        <v>0</v>
      </c>
      <c r="J62" s="325">
        <f t="shared" si="48"/>
        <v>511840</v>
      </c>
      <c r="K62" s="325">
        <f t="shared" si="48"/>
        <v>300000</v>
      </c>
      <c r="L62" s="325">
        <f t="shared" si="48"/>
        <v>211840</v>
      </c>
      <c r="M62" s="325">
        <f t="shared" si="48"/>
        <v>0</v>
      </c>
      <c r="N62" s="325">
        <f t="shared" si="48"/>
        <v>0</v>
      </c>
      <c r="O62" s="325">
        <f t="shared" si="48"/>
        <v>300000</v>
      </c>
      <c r="P62" s="325">
        <f>E62+J62</f>
        <v>24894923</v>
      </c>
      <c r="Q62" s="20"/>
      <c r="R62" s="35"/>
    </row>
    <row r="63" spans="1:20" ht="48" thickTop="1" thickBot="1" x14ac:dyDescent="0.25">
      <c r="A63" s="103" t="s">
        <v>672</v>
      </c>
      <c r="B63" s="103" t="s">
        <v>673</v>
      </c>
      <c r="C63" s="103" t="s">
        <v>210</v>
      </c>
      <c r="D63" s="103" t="s">
        <v>501</v>
      </c>
      <c r="E63" s="328">
        <f>F63</f>
        <v>23848783</v>
      </c>
      <c r="F63" s="477">
        <f>19846132+754290+2035+1354150+1028432+15761+726715+19718+1550+100000</f>
        <v>23848783</v>
      </c>
      <c r="G63" s="477">
        <v>16464976</v>
      </c>
      <c r="H63" s="477">
        <f>1028432+15761+726715+19718</f>
        <v>1790626</v>
      </c>
      <c r="I63" s="477"/>
      <c r="J63" s="328">
        <f>L63+O63</f>
        <v>511840</v>
      </c>
      <c r="K63" s="477">
        <f>300000</f>
        <v>300000</v>
      </c>
      <c r="L63" s="477">
        <v>211840</v>
      </c>
      <c r="M63" s="477"/>
      <c r="N63" s="477"/>
      <c r="O63" s="474">
        <f>K63</f>
        <v>300000</v>
      </c>
      <c r="P63" s="328">
        <f>E63+J63</f>
        <v>24360623</v>
      </c>
      <c r="Q63" s="20"/>
      <c r="R63" s="30"/>
    </row>
    <row r="64" spans="1:20" ht="48" thickTop="1" thickBot="1" x14ac:dyDescent="0.25">
      <c r="A64" s="103" t="s">
        <v>674</v>
      </c>
      <c r="B64" s="103" t="s">
        <v>675</v>
      </c>
      <c r="C64" s="103" t="s">
        <v>210</v>
      </c>
      <c r="D64" s="103" t="s">
        <v>337</v>
      </c>
      <c r="E64" s="328">
        <f>F64</f>
        <v>534300</v>
      </c>
      <c r="F64" s="477">
        <v>534300</v>
      </c>
      <c r="G64" s="477"/>
      <c r="H64" s="477"/>
      <c r="I64" s="477"/>
      <c r="J64" s="328">
        <f>L64+O64</f>
        <v>0</v>
      </c>
      <c r="K64" s="477"/>
      <c r="L64" s="477"/>
      <c r="M64" s="477"/>
      <c r="N64" s="477"/>
      <c r="O64" s="474">
        <f>K64</f>
        <v>0</v>
      </c>
      <c r="P64" s="328">
        <f>E64+J64</f>
        <v>534300</v>
      </c>
      <c r="Q64" s="20"/>
      <c r="R64" s="30"/>
    </row>
    <row r="65" spans="1:18" ht="48" thickTop="1" thickBot="1" x14ac:dyDescent="0.25">
      <c r="A65" s="329" t="s">
        <v>676</v>
      </c>
      <c r="B65" s="329" t="s">
        <v>677</v>
      </c>
      <c r="C65" s="329"/>
      <c r="D65" s="329" t="s">
        <v>429</v>
      </c>
      <c r="E65" s="325">
        <f>E66+E67</f>
        <v>6041423</v>
      </c>
      <c r="F65" s="325">
        <f>F66+F67</f>
        <v>6041423</v>
      </c>
      <c r="G65" s="325">
        <f t="shared" ref="G65:O65" si="49">G66+G67</f>
        <v>4611970</v>
      </c>
      <c r="H65" s="325">
        <f t="shared" si="49"/>
        <v>156942</v>
      </c>
      <c r="I65" s="325">
        <f t="shared" si="49"/>
        <v>0</v>
      </c>
      <c r="J65" s="325">
        <f t="shared" si="49"/>
        <v>0</v>
      </c>
      <c r="K65" s="325">
        <f t="shared" si="49"/>
        <v>0</v>
      </c>
      <c r="L65" s="325">
        <f t="shared" si="49"/>
        <v>0</v>
      </c>
      <c r="M65" s="325">
        <f t="shared" si="49"/>
        <v>0</v>
      </c>
      <c r="N65" s="325">
        <f t="shared" si="49"/>
        <v>0</v>
      </c>
      <c r="O65" s="325">
        <f t="shared" si="49"/>
        <v>0</v>
      </c>
      <c r="P65" s="325">
        <f>E65+J65</f>
        <v>6041423</v>
      </c>
      <c r="Q65" s="20"/>
      <c r="R65" s="35"/>
    </row>
    <row r="66" spans="1:18" ht="93" thickTop="1" thickBot="1" x14ac:dyDescent="0.25">
      <c r="A66" s="103" t="s">
        <v>678</v>
      </c>
      <c r="B66" s="103" t="s">
        <v>679</v>
      </c>
      <c r="C66" s="103" t="s">
        <v>210</v>
      </c>
      <c r="D66" s="103" t="s">
        <v>680</v>
      </c>
      <c r="E66" s="328">
        <f>F66</f>
        <v>1114123</v>
      </c>
      <c r="F66" s="477">
        <f>694997+184000+3254+67900+5480+126800+3835+24307+2000+1550</f>
        <v>1114123</v>
      </c>
      <c r="G66" s="477">
        <v>573200</v>
      </c>
      <c r="H66" s="477">
        <f>126800+3835+24307+2000</f>
        <v>156942</v>
      </c>
      <c r="I66" s="477"/>
      <c r="J66" s="328">
        <f>L66+O66</f>
        <v>0</v>
      </c>
      <c r="K66" s="477"/>
      <c r="L66" s="477"/>
      <c r="M66" s="477"/>
      <c r="N66" s="477"/>
      <c r="O66" s="474">
        <f>K66</f>
        <v>0</v>
      </c>
      <c r="P66" s="328">
        <f>E66+J66</f>
        <v>1114123</v>
      </c>
      <c r="Q66" s="20"/>
      <c r="R66" s="26"/>
    </row>
    <row r="67" spans="1:18" ht="93" thickTop="1" thickBot="1" x14ac:dyDescent="0.25">
      <c r="A67" s="103" t="s">
        <v>681</v>
      </c>
      <c r="B67" s="103" t="s">
        <v>682</v>
      </c>
      <c r="C67" s="103" t="s">
        <v>210</v>
      </c>
      <c r="D67" s="103" t="s">
        <v>683</v>
      </c>
      <c r="E67" s="328">
        <f>F67</f>
        <v>4927300</v>
      </c>
      <c r="F67" s="477">
        <f>4927300</f>
        <v>4927300</v>
      </c>
      <c r="G67" s="477">
        <v>4038770</v>
      </c>
      <c r="H67" s="477"/>
      <c r="I67" s="477"/>
      <c r="J67" s="328">
        <f t="shared" ref="J67" si="50">L67+O67</f>
        <v>0</v>
      </c>
      <c r="K67" s="477"/>
      <c r="L67" s="477"/>
      <c r="M67" s="477"/>
      <c r="N67" s="477"/>
      <c r="O67" s="474">
        <f t="shared" ref="O67" si="51">K67</f>
        <v>0</v>
      </c>
      <c r="P67" s="328">
        <f t="shared" ref="P67" si="52">E67+J67</f>
        <v>4927300</v>
      </c>
      <c r="Q67" s="20"/>
      <c r="R67" s="30"/>
    </row>
    <row r="68" spans="1:18" ht="93" thickTop="1" thickBot="1" x14ac:dyDescent="0.25">
      <c r="A68" s="103" t="s">
        <v>648</v>
      </c>
      <c r="B68" s="103" t="s">
        <v>649</v>
      </c>
      <c r="C68" s="103" t="s">
        <v>210</v>
      </c>
      <c r="D68" s="103" t="s">
        <v>650</v>
      </c>
      <c r="E68" s="328">
        <f t="shared" ref="E68" si="53">F68</f>
        <v>4021213</v>
      </c>
      <c r="F68" s="477">
        <f>3648277+246000+47200+10970+37890+5200+24476+800+400</f>
        <v>4021213</v>
      </c>
      <c r="G68" s="477">
        <v>2990391</v>
      </c>
      <c r="H68" s="477">
        <f>37890+5200+24476+800</f>
        <v>68366</v>
      </c>
      <c r="I68" s="477"/>
      <c r="J68" s="328">
        <f t="shared" ref="J68" si="54">L68+O68</f>
        <v>0</v>
      </c>
      <c r="K68" s="477"/>
      <c r="L68" s="477"/>
      <c r="M68" s="477"/>
      <c r="N68" s="477"/>
      <c r="O68" s="474">
        <f t="shared" ref="O68" si="55">K68</f>
        <v>0</v>
      </c>
      <c r="P68" s="328">
        <f t="shared" ref="P68" si="56">E68+J68</f>
        <v>4021213</v>
      </c>
      <c r="Q68" s="20"/>
      <c r="R68" s="26"/>
    </row>
    <row r="69" spans="1:18" s="33" customFormat="1" ht="93" hidden="1" thickTop="1" thickBot="1" x14ac:dyDescent="0.25">
      <c r="A69" s="144" t="s">
        <v>653</v>
      </c>
      <c r="B69" s="144" t="s">
        <v>654</v>
      </c>
      <c r="C69" s="144"/>
      <c r="D69" s="144" t="s">
        <v>655</v>
      </c>
      <c r="E69" s="145">
        <f t="shared" ref="E69:E89" si="57">F69</f>
        <v>0</v>
      </c>
      <c r="F69" s="145">
        <f>SUM(F70:F71)</f>
        <v>0</v>
      </c>
      <c r="G69" s="145">
        <f t="shared" ref="G69:I69" si="58">SUM(G70:G71)</f>
        <v>0</v>
      </c>
      <c r="H69" s="145">
        <f t="shared" si="58"/>
        <v>0</v>
      </c>
      <c r="I69" s="145">
        <f t="shared" si="58"/>
        <v>0</v>
      </c>
      <c r="J69" s="145">
        <f t="shared" si="25"/>
        <v>0</v>
      </c>
      <c r="K69" s="141">
        <f>SUM(K70:K71)</f>
        <v>0</v>
      </c>
      <c r="L69" s="145">
        <f t="shared" ref="L69:N69" si="59">SUM(L70:L71)</f>
        <v>0</v>
      </c>
      <c r="M69" s="145">
        <f t="shared" si="59"/>
        <v>0</v>
      </c>
      <c r="N69" s="145">
        <f t="shared" si="59"/>
        <v>0</v>
      </c>
      <c r="O69" s="145">
        <f>SUM(O70:O71)</f>
        <v>0</v>
      </c>
      <c r="P69" s="145">
        <f t="shared" ref="P69:P74" si="60">E69+J69</f>
        <v>0</v>
      </c>
      <c r="Q69" s="36"/>
      <c r="R69" s="37"/>
    </row>
    <row r="70" spans="1:18" s="33" customFormat="1" ht="138.75" hidden="1" thickTop="1" thickBot="1" x14ac:dyDescent="0.25">
      <c r="A70" s="41" t="s">
        <v>656</v>
      </c>
      <c r="B70" s="41" t="s">
        <v>657</v>
      </c>
      <c r="C70" s="41" t="s">
        <v>210</v>
      </c>
      <c r="D70" s="41" t="s">
        <v>658</v>
      </c>
      <c r="E70" s="42">
        <f t="shared" si="57"/>
        <v>0</v>
      </c>
      <c r="F70" s="43"/>
      <c r="G70" s="43"/>
      <c r="H70" s="43"/>
      <c r="I70" s="43"/>
      <c r="J70" s="42">
        <f t="shared" si="25"/>
        <v>0</v>
      </c>
      <c r="K70" s="134"/>
      <c r="L70" s="43"/>
      <c r="M70" s="43"/>
      <c r="N70" s="43"/>
      <c r="O70" s="44">
        <f t="shared" ref="O70:O71" si="61">K70</f>
        <v>0</v>
      </c>
      <c r="P70" s="42">
        <f t="shared" si="60"/>
        <v>0</v>
      </c>
      <c r="Q70" s="36"/>
      <c r="R70" s="26"/>
    </row>
    <row r="71" spans="1:18" s="33" customFormat="1" ht="138.75" hidden="1" thickTop="1" thickBot="1" x14ac:dyDescent="0.25">
      <c r="A71" s="41" t="s">
        <v>985</v>
      </c>
      <c r="B71" s="41" t="s">
        <v>986</v>
      </c>
      <c r="C71" s="41" t="s">
        <v>210</v>
      </c>
      <c r="D71" s="41" t="s">
        <v>987</v>
      </c>
      <c r="E71" s="42">
        <f t="shared" si="57"/>
        <v>0</v>
      </c>
      <c r="F71" s="43"/>
      <c r="G71" s="43"/>
      <c r="H71" s="43"/>
      <c r="I71" s="43"/>
      <c r="J71" s="42">
        <f t="shared" si="25"/>
        <v>0</v>
      </c>
      <c r="K71" s="134"/>
      <c r="L71" s="43"/>
      <c r="M71" s="43"/>
      <c r="N71" s="43"/>
      <c r="O71" s="44">
        <f t="shared" si="61"/>
        <v>0</v>
      </c>
      <c r="P71" s="42">
        <f t="shared" si="60"/>
        <v>0</v>
      </c>
      <c r="Q71" s="36"/>
      <c r="R71" s="26"/>
    </row>
    <row r="72" spans="1:18" s="33" customFormat="1" ht="184.5" hidden="1" thickTop="1" thickBot="1" x14ac:dyDescent="0.25">
      <c r="A72" s="144" t="s">
        <v>1004</v>
      </c>
      <c r="B72" s="144" t="s">
        <v>1006</v>
      </c>
      <c r="C72" s="144"/>
      <c r="D72" s="144" t="s">
        <v>1008</v>
      </c>
      <c r="E72" s="145">
        <f>E73+E74</f>
        <v>0</v>
      </c>
      <c r="F72" s="145">
        <f>F73+F74</f>
        <v>0</v>
      </c>
      <c r="G72" s="145">
        <f t="shared" ref="G72:I72" si="62">G73+G74</f>
        <v>0</v>
      </c>
      <c r="H72" s="145">
        <f t="shared" si="62"/>
        <v>0</v>
      </c>
      <c r="I72" s="145">
        <f t="shared" si="62"/>
        <v>0</v>
      </c>
      <c r="J72" s="145">
        <f>L72+O72</f>
        <v>0</v>
      </c>
      <c r="K72" s="141">
        <f t="shared" ref="K72:O72" si="63">K73+K74</f>
        <v>0</v>
      </c>
      <c r="L72" s="145">
        <f t="shared" si="63"/>
        <v>0</v>
      </c>
      <c r="M72" s="145">
        <f t="shared" si="63"/>
        <v>0</v>
      </c>
      <c r="N72" s="145">
        <f t="shared" si="63"/>
        <v>0</v>
      </c>
      <c r="O72" s="145">
        <f t="shared" si="63"/>
        <v>0</v>
      </c>
      <c r="P72" s="145">
        <f t="shared" si="60"/>
        <v>0</v>
      </c>
      <c r="Q72" s="36"/>
      <c r="R72" s="26"/>
    </row>
    <row r="73" spans="1:18" s="33" customFormat="1" ht="230.25" hidden="1" thickTop="1" thickBot="1" x14ac:dyDescent="0.25">
      <c r="A73" s="41" t="s">
        <v>1005</v>
      </c>
      <c r="B73" s="41" t="s">
        <v>1007</v>
      </c>
      <c r="C73" s="41" t="s">
        <v>210</v>
      </c>
      <c r="D73" s="41" t="s">
        <v>1009</v>
      </c>
      <c r="E73" s="42">
        <f t="shared" ref="E73" si="64">F73</f>
        <v>0</v>
      </c>
      <c r="F73" s="43"/>
      <c r="G73" s="43"/>
      <c r="H73" s="43"/>
      <c r="I73" s="43"/>
      <c r="J73" s="42">
        <f t="shared" ref="J73" si="65">L73+O73</f>
        <v>0</v>
      </c>
      <c r="K73" s="134">
        <f>4547046.18-4547046.18</f>
        <v>0</v>
      </c>
      <c r="L73" s="43"/>
      <c r="M73" s="43"/>
      <c r="N73" s="43"/>
      <c r="O73" s="44">
        <f t="shared" ref="O73" si="66">K73</f>
        <v>0</v>
      </c>
      <c r="P73" s="42">
        <f t="shared" si="60"/>
        <v>0</v>
      </c>
      <c r="Q73" s="36"/>
      <c r="R73" s="26"/>
    </row>
    <row r="74" spans="1:18" s="33" customFormat="1" ht="45.75" hidden="1" thickTop="1" x14ac:dyDescent="0.2">
      <c r="A74" s="755" t="s">
        <v>1024</v>
      </c>
      <c r="B74" s="755" t="s">
        <v>1025</v>
      </c>
      <c r="C74" s="755" t="s">
        <v>210</v>
      </c>
      <c r="D74" s="755" t="s">
        <v>1026</v>
      </c>
      <c r="E74" s="756">
        <f t="shared" ref="E74" si="67">F74</f>
        <v>0</v>
      </c>
      <c r="F74" s="756"/>
      <c r="G74" s="756"/>
      <c r="H74" s="756"/>
      <c r="I74" s="756"/>
      <c r="J74" s="756">
        <f t="shared" ref="J74" si="68">L74+O74</f>
        <v>0</v>
      </c>
      <c r="K74" s="770">
        <f>10623233.82-10623233.82</f>
        <v>0</v>
      </c>
      <c r="L74" s="756"/>
      <c r="M74" s="756"/>
      <c r="N74" s="756"/>
      <c r="O74" s="773">
        <f t="shared" ref="O74" si="69">K74</f>
        <v>0</v>
      </c>
      <c r="P74" s="756">
        <f t="shared" si="60"/>
        <v>0</v>
      </c>
      <c r="Q74" s="36"/>
      <c r="R74" s="26"/>
    </row>
    <row r="75" spans="1:18" s="33" customFormat="1" ht="45.75" hidden="1" thickBot="1" x14ac:dyDescent="0.25">
      <c r="A75" s="736"/>
      <c r="B75" s="736"/>
      <c r="C75" s="736"/>
      <c r="D75" s="736"/>
      <c r="E75" s="736"/>
      <c r="F75" s="736"/>
      <c r="G75" s="736"/>
      <c r="H75" s="736"/>
      <c r="I75" s="736"/>
      <c r="J75" s="736"/>
      <c r="K75" s="759"/>
      <c r="L75" s="736"/>
      <c r="M75" s="736"/>
      <c r="N75" s="736"/>
      <c r="O75" s="736"/>
      <c r="P75" s="736"/>
      <c r="Q75" s="36"/>
      <c r="R75" s="26"/>
    </row>
    <row r="76" spans="1:18" s="33" customFormat="1" ht="138.75" hidden="1" thickTop="1" thickBot="1" x14ac:dyDescent="0.25">
      <c r="A76" s="128" t="s">
        <v>645</v>
      </c>
      <c r="B76" s="128" t="s">
        <v>646</v>
      </c>
      <c r="C76" s="128" t="s">
        <v>210</v>
      </c>
      <c r="D76" s="128" t="s">
        <v>647</v>
      </c>
      <c r="E76" s="127">
        <f t="shared" si="57"/>
        <v>0</v>
      </c>
      <c r="F76" s="134">
        <v>0</v>
      </c>
      <c r="G76" s="134">
        <v>0</v>
      </c>
      <c r="H76" s="134"/>
      <c r="I76" s="134"/>
      <c r="J76" s="127">
        <f t="shared" ref="J76" si="70">L76+O76</f>
        <v>0</v>
      </c>
      <c r="K76" s="134"/>
      <c r="L76" s="134"/>
      <c r="M76" s="134"/>
      <c r="N76" s="134"/>
      <c r="O76" s="132">
        <f t="shared" ref="O76" si="71">K76</f>
        <v>0</v>
      </c>
      <c r="P76" s="127">
        <f t="shared" ref="P76" si="72">E76+J76</f>
        <v>0</v>
      </c>
      <c r="Q76" s="36"/>
      <c r="R76" s="26"/>
    </row>
    <row r="77" spans="1:18" s="33" customFormat="1" ht="138.75" hidden="1" thickTop="1" thickBot="1" x14ac:dyDescent="0.25">
      <c r="A77" s="128" t="s">
        <v>946</v>
      </c>
      <c r="B77" s="128" t="s">
        <v>947</v>
      </c>
      <c r="C77" s="128" t="s">
        <v>210</v>
      </c>
      <c r="D77" s="128" t="s">
        <v>1483</v>
      </c>
      <c r="E77" s="127">
        <f t="shared" ref="E77" si="73">F77</f>
        <v>0</v>
      </c>
      <c r="F77" s="134"/>
      <c r="G77" s="134"/>
      <c r="H77" s="134"/>
      <c r="I77" s="134"/>
      <c r="J77" s="127">
        <f t="shared" ref="J77" si="74">L77+O77</f>
        <v>0</v>
      </c>
      <c r="K77" s="134">
        <v>0</v>
      </c>
      <c r="L77" s="134"/>
      <c r="M77" s="134"/>
      <c r="N77" s="134"/>
      <c r="O77" s="132">
        <f t="shared" ref="O77" si="75">K77</f>
        <v>0</v>
      </c>
      <c r="P77" s="127">
        <f t="shared" ref="P77" si="76">E77+J77</f>
        <v>0</v>
      </c>
      <c r="Q77" s="36"/>
      <c r="R77" s="26"/>
    </row>
    <row r="78" spans="1:18" s="33" customFormat="1" ht="93" hidden="1" thickTop="1" thickBot="1" x14ac:dyDescent="0.25">
      <c r="A78" s="140" t="s">
        <v>1010</v>
      </c>
      <c r="B78" s="140" t="s">
        <v>1012</v>
      </c>
      <c r="C78" s="140"/>
      <c r="D78" s="140" t="s">
        <v>1475</v>
      </c>
      <c r="E78" s="141">
        <f>F78</f>
        <v>0</v>
      </c>
      <c r="F78" s="141">
        <f>SUM(F79:F80)</f>
        <v>0</v>
      </c>
      <c r="G78" s="141">
        <f>SUM(G79:G80)</f>
        <v>0</v>
      </c>
      <c r="H78" s="141">
        <f>SUM(H79:H80)</f>
        <v>0</v>
      </c>
      <c r="I78" s="141">
        <f>SUM(I79:I80)</f>
        <v>0</v>
      </c>
      <c r="J78" s="141">
        <f>L78+O78</f>
        <v>0</v>
      </c>
      <c r="K78" s="141">
        <f>SUM(K79:K80)</f>
        <v>0</v>
      </c>
      <c r="L78" s="141">
        <f>SUM(L79:L80)</f>
        <v>0</v>
      </c>
      <c r="M78" s="141">
        <f>SUM(M79:M80)</f>
        <v>0</v>
      </c>
      <c r="N78" s="141">
        <f>SUM(N79:N80)</f>
        <v>0</v>
      </c>
      <c r="O78" s="141">
        <f>SUM(O79:O80)</f>
        <v>0</v>
      </c>
      <c r="P78" s="141">
        <f>E78+J78</f>
        <v>0</v>
      </c>
      <c r="Q78" s="36"/>
      <c r="R78" s="26"/>
    </row>
    <row r="79" spans="1:18" s="33" customFormat="1" ht="138.75" hidden="1" thickTop="1" thickBot="1" x14ac:dyDescent="0.25">
      <c r="A79" s="128" t="s">
        <v>1011</v>
      </c>
      <c r="B79" s="128" t="s">
        <v>1013</v>
      </c>
      <c r="C79" s="128" t="s">
        <v>210</v>
      </c>
      <c r="D79" s="128" t="s">
        <v>1261</v>
      </c>
      <c r="E79" s="127">
        <f>F79</f>
        <v>0</v>
      </c>
      <c r="F79" s="134"/>
      <c r="G79" s="134"/>
      <c r="H79" s="134"/>
      <c r="I79" s="134"/>
      <c r="J79" s="127">
        <f t="shared" ref="J79:J80" si="77">L79+O79</f>
        <v>0</v>
      </c>
      <c r="K79" s="134"/>
      <c r="L79" s="134"/>
      <c r="M79" s="134"/>
      <c r="N79" s="134"/>
      <c r="O79" s="132">
        <f t="shared" ref="O79:O80" si="78">K79</f>
        <v>0</v>
      </c>
      <c r="P79" s="127">
        <f>E79+J79</f>
        <v>0</v>
      </c>
      <c r="Q79" s="36"/>
      <c r="R79" s="26"/>
    </row>
    <row r="80" spans="1:18" s="33" customFormat="1" ht="138.75" hidden="1" thickTop="1" thickBot="1" x14ac:dyDescent="0.25">
      <c r="A80" s="41" t="s">
        <v>1057</v>
      </c>
      <c r="B80" s="41" t="s">
        <v>1058</v>
      </c>
      <c r="C80" s="41" t="s">
        <v>210</v>
      </c>
      <c r="D80" s="41" t="s">
        <v>1056</v>
      </c>
      <c r="E80" s="127">
        <f>F80</f>
        <v>0</v>
      </c>
      <c r="F80" s="134">
        <f>(553900)-553900</f>
        <v>0</v>
      </c>
      <c r="G80" s="134"/>
      <c r="H80" s="134"/>
      <c r="I80" s="134"/>
      <c r="J80" s="127">
        <f t="shared" si="77"/>
        <v>0</v>
      </c>
      <c r="K80" s="134"/>
      <c r="L80" s="43"/>
      <c r="M80" s="43"/>
      <c r="N80" s="43"/>
      <c r="O80" s="44">
        <f t="shared" si="78"/>
        <v>0</v>
      </c>
      <c r="P80" s="42">
        <f>E80+J80</f>
        <v>0</v>
      </c>
      <c r="Q80" s="36"/>
      <c r="R80" s="26"/>
    </row>
    <row r="81" spans="1:18" s="33" customFormat="1" ht="93" thickTop="1" thickBot="1" x14ac:dyDescent="0.25">
      <c r="A81" s="329" t="s">
        <v>1421</v>
      </c>
      <c r="B81" s="329" t="s">
        <v>1422</v>
      </c>
      <c r="C81" s="329"/>
      <c r="D81" s="329" t="s">
        <v>1420</v>
      </c>
      <c r="E81" s="325">
        <f>SUM(E82:E83)</f>
        <v>0</v>
      </c>
      <c r="F81" s="325">
        <f t="shared" ref="F81:P81" si="79">SUM(F82:F83)</f>
        <v>0</v>
      </c>
      <c r="G81" s="325">
        <f t="shared" si="79"/>
        <v>0</v>
      </c>
      <c r="H81" s="325">
        <f t="shared" si="79"/>
        <v>0</v>
      </c>
      <c r="I81" s="325">
        <f t="shared" si="79"/>
        <v>0</v>
      </c>
      <c r="J81" s="325">
        <f t="shared" si="79"/>
        <v>5000000</v>
      </c>
      <c r="K81" s="325">
        <f t="shared" si="79"/>
        <v>5000000</v>
      </c>
      <c r="L81" s="325">
        <f t="shared" si="79"/>
        <v>0</v>
      </c>
      <c r="M81" s="325">
        <f t="shared" si="79"/>
        <v>0</v>
      </c>
      <c r="N81" s="325">
        <f t="shared" si="79"/>
        <v>0</v>
      </c>
      <c r="O81" s="325">
        <f t="shared" si="79"/>
        <v>5000000</v>
      </c>
      <c r="P81" s="325">
        <f t="shared" si="79"/>
        <v>5000000</v>
      </c>
      <c r="Q81" s="36"/>
      <c r="R81" s="26"/>
    </row>
    <row r="82" spans="1:18" s="33" customFormat="1" ht="138.75" thickTop="1" thickBot="1" x14ac:dyDescent="0.25">
      <c r="A82" s="103" t="s">
        <v>1423</v>
      </c>
      <c r="B82" s="103" t="s">
        <v>1424</v>
      </c>
      <c r="C82" s="103" t="s">
        <v>210</v>
      </c>
      <c r="D82" s="103" t="s">
        <v>1425</v>
      </c>
      <c r="E82" s="328">
        <f>F82</f>
        <v>0</v>
      </c>
      <c r="F82" s="477"/>
      <c r="G82" s="477"/>
      <c r="H82" s="477"/>
      <c r="I82" s="477"/>
      <c r="J82" s="328">
        <f t="shared" ref="J82:J83" si="80">L82+O82</f>
        <v>5000000</v>
      </c>
      <c r="K82" s="477">
        <v>5000000</v>
      </c>
      <c r="L82" s="477"/>
      <c r="M82" s="477"/>
      <c r="N82" s="477"/>
      <c r="O82" s="474">
        <f t="shared" ref="O82:O83" si="81">K82</f>
        <v>5000000</v>
      </c>
      <c r="P82" s="328">
        <f>E82+J82</f>
        <v>5000000</v>
      </c>
      <c r="Q82" s="36"/>
      <c r="R82" s="26"/>
    </row>
    <row r="83" spans="1:18" s="33" customFormat="1" ht="138.75" hidden="1" thickTop="1" thickBot="1" x14ac:dyDescent="0.25">
      <c r="A83" s="128" t="s">
        <v>1426</v>
      </c>
      <c r="B83" s="128" t="s">
        <v>1427</v>
      </c>
      <c r="C83" s="128" t="s">
        <v>210</v>
      </c>
      <c r="D83" s="128" t="s">
        <v>1428</v>
      </c>
      <c r="E83" s="127">
        <f>F83</f>
        <v>0</v>
      </c>
      <c r="F83" s="134"/>
      <c r="G83" s="134"/>
      <c r="H83" s="134"/>
      <c r="I83" s="134"/>
      <c r="J83" s="127">
        <f t="shared" si="80"/>
        <v>0</v>
      </c>
      <c r="K83" s="134"/>
      <c r="L83" s="134"/>
      <c r="M83" s="134"/>
      <c r="N83" s="134"/>
      <c r="O83" s="132">
        <f t="shared" si="81"/>
        <v>0</v>
      </c>
      <c r="P83" s="127">
        <f>E83+J83</f>
        <v>0</v>
      </c>
      <c r="Q83" s="36"/>
      <c r="R83" s="26"/>
    </row>
    <row r="84" spans="1:18" s="33" customFormat="1" ht="138.75" hidden="1" thickTop="1" thickBot="1" x14ac:dyDescent="0.25">
      <c r="A84" s="140" t="s">
        <v>1497</v>
      </c>
      <c r="B84" s="140" t="s">
        <v>1496</v>
      </c>
      <c r="C84" s="140"/>
      <c r="D84" s="140" t="s">
        <v>1498</v>
      </c>
      <c r="E84" s="141">
        <f>SUM(E85:E86)</f>
        <v>0</v>
      </c>
      <c r="F84" s="141">
        <f t="shared" ref="F84:O84" si="82">SUM(F85:F86)</f>
        <v>0</v>
      </c>
      <c r="G84" s="141">
        <f t="shared" si="82"/>
        <v>0</v>
      </c>
      <c r="H84" s="141">
        <f t="shared" si="82"/>
        <v>0</v>
      </c>
      <c r="I84" s="141">
        <f t="shared" si="82"/>
        <v>0</v>
      </c>
      <c r="J84" s="141">
        <f t="shared" si="82"/>
        <v>0</v>
      </c>
      <c r="K84" s="141">
        <f t="shared" si="82"/>
        <v>0</v>
      </c>
      <c r="L84" s="141">
        <f t="shared" si="82"/>
        <v>0</v>
      </c>
      <c r="M84" s="141">
        <f t="shared" si="82"/>
        <v>0</v>
      </c>
      <c r="N84" s="141">
        <f t="shared" si="82"/>
        <v>0</v>
      </c>
      <c r="O84" s="141">
        <f t="shared" si="82"/>
        <v>0</v>
      </c>
      <c r="P84" s="141">
        <f>SUM(P85:P86)</f>
        <v>0</v>
      </c>
      <c r="Q84" s="36"/>
      <c r="R84" s="26"/>
    </row>
    <row r="85" spans="1:18" s="33" customFormat="1" ht="93" hidden="1" thickTop="1" thickBot="1" x14ac:dyDescent="0.25">
      <c r="A85" s="128" t="s">
        <v>1499</v>
      </c>
      <c r="B85" s="128" t="s">
        <v>1500</v>
      </c>
      <c r="C85" s="128" t="s">
        <v>210</v>
      </c>
      <c r="D85" s="128" t="s">
        <v>1504</v>
      </c>
      <c r="E85" s="127">
        <f t="shared" ref="E85:E86" si="83">F85</f>
        <v>0</v>
      </c>
      <c r="F85" s="134">
        <v>0</v>
      </c>
      <c r="G85" s="134"/>
      <c r="H85" s="134"/>
      <c r="I85" s="134"/>
      <c r="J85" s="127">
        <f t="shared" ref="J85:J86" si="84">L85+O85</f>
        <v>0</v>
      </c>
      <c r="K85" s="134"/>
      <c r="L85" s="134"/>
      <c r="M85" s="134"/>
      <c r="N85" s="134"/>
      <c r="O85" s="132">
        <f t="shared" ref="O85" si="85">K85</f>
        <v>0</v>
      </c>
      <c r="P85" s="127">
        <f t="shared" ref="P85:P86" si="86">E85+J85</f>
        <v>0</v>
      </c>
      <c r="Q85" s="36"/>
      <c r="R85" s="26"/>
    </row>
    <row r="86" spans="1:18" s="33" customFormat="1" ht="138.75" hidden="1" thickTop="1" thickBot="1" x14ac:dyDescent="0.25">
      <c r="A86" s="128" t="s">
        <v>1501</v>
      </c>
      <c r="B86" s="128" t="s">
        <v>1502</v>
      </c>
      <c r="C86" s="128" t="s">
        <v>210</v>
      </c>
      <c r="D86" s="128" t="s">
        <v>1503</v>
      </c>
      <c r="E86" s="127">
        <f t="shared" si="83"/>
        <v>0</v>
      </c>
      <c r="F86" s="134"/>
      <c r="G86" s="134"/>
      <c r="H86" s="134"/>
      <c r="I86" s="134"/>
      <c r="J86" s="127">
        <f t="shared" si="84"/>
        <v>0</v>
      </c>
      <c r="K86" s="134"/>
      <c r="L86" s="134"/>
      <c r="M86" s="134"/>
      <c r="N86" s="134"/>
      <c r="O86" s="132">
        <f>K86</f>
        <v>0</v>
      </c>
      <c r="P86" s="127">
        <f t="shared" si="86"/>
        <v>0</v>
      </c>
      <c r="Q86" s="36"/>
      <c r="R86" s="26"/>
    </row>
    <row r="87" spans="1:18" s="33" customFormat="1" ht="47.25" thickTop="1" thickBot="1" x14ac:dyDescent="0.25">
      <c r="A87" s="311" t="s">
        <v>711</v>
      </c>
      <c r="B87" s="311" t="s">
        <v>712</v>
      </c>
      <c r="C87" s="311"/>
      <c r="D87" s="311" t="s">
        <v>713</v>
      </c>
      <c r="E87" s="328">
        <f>SUM(E88:E89)</f>
        <v>2474600</v>
      </c>
      <c r="F87" s="328">
        <f t="shared" ref="F87:P87" si="87">SUM(F88:F89)</f>
        <v>2474600</v>
      </c>
      <c r="G87" s="328">
        <f t="shared" si="87"/>
        <v>0</v>
      </c>
      <c r="H87" s="328">
        <f t="shared" si="87"/>
        <v>590600</v>
      </c>
      <c r="I87" s="328">
        <f t="shared" si="87"/>
        <v>0</v>
      </c>
      <c r="J87" s="328">
        <f t="shared" si="87"/>
        <v>0</v>
      </c>
      <c r="K87" s="328">
        <f t="shared" si="87"/>
        <v>0</v>
      </c>
      <c r="L87" s="328">
        <f t="shared" si="87"/>
        <v>0</v>
      </c>
      <c r="M87" s="328">
        <f t="shared" si="87"/>
        <v>0</v>
      </c>
      <c r="N87" s="328">
        <f t="shared" si="87"/>
        <v>0</v>
      </c>
      <c r="O87" s="328">
        <f t="shared" si="87"/>
        <v>0</v>
      </c>
      <c r="P87" s="328">
        <f t="shared" si="87"/>
        <v>2474600</v>
      </c>
      <c r="Q87" s="36"/>
      <c r="R87" s="26"/>
    </row>
    <row r="88" spans="1:18" s="33" customFormat="1" ht="138.75" thickTop="1" thickBot="1" x14ac:dyDescent="0.25">
      <c r="A88" s="103" t="s">
        <v>431</v>
      </c>
      <c r="B88" s="103" t="s">
        <v>432</v>
      </c>
      <c r="C88" s="103" t="s">
        <v>185</v>
      </c>
      <c r="D88" s="103" t="s">
        <v>430</v>
      </c>
      <c r="E88" s="328">
        <f t="shared" si="57"/>
        <v>715000</v>
      </c>
      <c r="F88" s="477">
        <v>715000</v>
      </c>
      <c r="G88" s="477"/>
      <c r="H88" s="477"/>
      <c r="I88" s="477"/>
      <c r="J88" s="328">
        <f>L88+O88</f>
        <v>0</v>
      </c>
      <c r="K88" s="477"/>
      <c r="L88" s="477"/>
      <c r="M88" s="477"/>
      <c r="N88" s="477"/>
      <c r="O88" s="474">
        <f>K88</f>
        <v>0</v>
      </c>
      <c r="P88" s="328">
        <f>E88+J88</f>
        <v>715000</v>
      </c>
      <c r="Q88" s="36"/>
      <c r="R88" s="39"/>
    </row>
    <row r="89" spans="1:18" s="33" customFormat="1" ht="93" thickTop="1" thickBot="1" x14ac:dyDescent="0.25">
      <c r="A89" s="103" t="s">
        <v>1243</v>
      </c>
      <c r="B89" s="103" t="s">
        <v>1210</v>
      </c>
      <c r="C89" s="103" t="s">
        <v>206</v>
      </c>
      <c r="D89" s="485" t="s">
        <v>1211</v>
      </c>
      <c r="E89" s="328">
        <f t="shared" si="57"/>
        <v>1759600</v>
      </c>
      <c r="F89" s="477">
        <v>1759600</v>
      </c>
      <c r="G89" s="477"/>
      <c r="H89" s="477">
        <v>590600</v>
      </c>
      <c r="I89" s="477"/>
      <c r="J89" s="328">
        <f>L89+O89</f>
        <v>0</v>
      </c>
      <c r="K89" s="477"/>
      <c r="L89" s="477"/>
      <c r="M89" s="477"/>
      <c r="N89" s="477"/>
      <c r="O89" s="474">
        <f>K89</f>
        <v>0</v>
      </c>
      <c r="P89" s="328">
        <f>E89+J89</f>
        <v>1759600</v>
      </c>
      <c r="Q89" s="36"/>
      <c r="R89" s="39"/>
    </row>
    <row r="90" spans="1:18" s="33" customFormat="1" ht="47.25" thickTop="1" thickBot="1" x14ac:dyDescent="0.25">
      <c r="A90" s="311" t="s">
        <v>1097</v>
      </c>
      <c r="B90" s="311" t="s">
        <v>749</v>
      </c>
      <c r="C90" s="311"/>
      <c r="D90" s="311" t="s">
        <v>1096</v>
      </c>
      <c r="E90" s="328">
        <f>E91+E94</f>
        <v>0</v>
      </c>
      <c r="F90" s="328">
        <f t="shared" ref="F90:P90" si="88">F91+F94</f>
        <v>0</v>
      </c>
      <c r="G90" s="328">
        <f t="shared" si="88"/>
        <v>0</v>
      </c>
      <c r="H90" s="328">
        <f t="shared" si="88"/>
        <v>0</v>
      </c>
      <c r="I90" s="328">
        <f t="shared" si="88"/>
        <v>0</v>
      </c>
      <c r="J90" s="328">
        <f t="shared" si="88"/>
        <v>26000000</v>
      </c>
      <c r="K90" s="328">
        <f t="shared" si="88"/>
        <v>26000000</v>
      </c>
      <c r="L90" s="328">
        <f t="shared" si="88"/>
        <v>0</v>
      </c>
      <c r="M90" s="328">
        <f t="shared" si="88"/>
        <v>0</v>
      </c>
      <c r="N90" s="328">
        <f t="shared" si="88"/>
        <v>0</v>
      </c>
      <c r="O90" s="328">
        <f t="shared" si="88"/>
        <v>26000000</v>
      </c>
      <c r="P90" s="328">
        <f t="shared" si="88"/>
        <v>26000000</v>
      </c>
      <c r="Q90" s="36"/>
      <c r="R90" s="26"/>
    </row>
    <row r="91" spans="1:18" s="33" customFormat="1" ht="47.25" thickTop="1" thickBot="1" x14ac:dyDescent="0.25">
      <c r="A91" s="313" t="s">
        <v>1095</v>
      </c>
      <c r="B91" s="313" t="s">
        <v>805</v>
      </c>
      <c r="C91" s="313"/>
      <c r="D91" s="313" t="s">
        <v>806</v>
      </c>
      <c r="E91" s="315">
        <f>E92</f>
        <v>0</v>
      </c>
      <c r="F91" s="315">
        <f t="shared" ref="F91:P92" si="89">F92</f>
        <v>0</v>
      </c>
      <c r="G91" s="315">
        <f t="shared" si="89"/>
        <v>0</v>
      </c>
      <c r="H91" s="315">
        <f t="shared" si="89"/>
        <v>0</v>
      </c>
      <c r="I91" s="315">
        <f t="shared" si="89"/>
        <v>0</v>
      </c>
      <c r="J91" s="315">
        <f t="shared" si="89"/>
        <v>11000000</v>
      </c>
      <c r="K91" s="315">
        <f t="shared" si="89"/>
        <v>11000000</v>
      </c>
      <c r="L91" s="315">
        <f t="shared" si="89"/>
        <v>0</v>
      </c>
      <c r="M91" s="315">
        <f t="shared" si="89"/>
        <v>0</v>
      </c>
      <c r="N91" s="315">
        <f t="shared" si="89"/>
        <v>0</v>
      </c>
      <c r="O91" s="315">
        <f t="shared" si="89"/>
        <v>11000000</v>
      </c>
      <c r="P91" s="315">
        <f t="shared" si="89"/>
        <v>11000000</v>
      </c>
      <c r="Q91" s="36"/>
      <c r="R91" s="26"/>
    </row>
    <row r="92" spans="1:18" s="33" customFormat="1" ht="54" thickTop="1" thickBot="1" x14ac:dyDescent="0.25">
      <c r="A92" s="329" t="s">
        <v>1098</v>
      </c>
      <c r="B92" s="329" t="s">
        <v>823</v>
      </c>
      <c r="C92" s="329"/>
      <c r="D92" s="329" t="s">
        <v>1568</v>
      </c>
      <c r="E92" s="325">
        <f>E93</f>
        <v>0</v>
      </c>
      <c r="F92" s="325">
        <f t="shared" si="89"/>
        <v>0</v>
      </c>
      <c r="G92" s="325">
        <f t="shared" si="89"/>
        <v>0</v>
      </c>
      <c r="H92" s="325">
        <f t="shared" si="89"/>
        <v>0</v>
      </c>
      <c r="I92" s="325">
        <f t="shared" si="89"/>
        <v>0</v>
      </c>
      <c r="J92" s="325">
        <f t="shared" si="89"/>
        <v>11000000</v>
      </c>
      <c r="K92" s="325">
        <f t="shared" si="89"/>
        <v>11000000</v>
      </c>
      <c r="L92" s="325">
        <f t="shared" si="89"/>
        <v>0</v>
      </c>
      <c r="M92" s="325">
        <f t="shared" si="89"/>
        <v>0</v>
      </c>
      <c r="N92" s="325">
        <f t="shared" si="89"/>
        <v>0</v>
      </c>
      <c r="O92" s="325">
        <f t="shared" si="89"/>
        <v>11000000</v>
      </c>
      <c r="P92" s="325">
        <f t="shared" si="89"/>
        <v>11000000</v>
      </c>
      <c r="Q92" s="36"/>
      <c r="R92" s="26"/>
    </row>
    <row r="93" spans="1:18" s="33" customFormat="1" ht="54" thickTop="1" thickBot="1" x14ac:dyDescent="0.25">
      <c r="A93" s="103" t="s">
        <v>1110</v>
      </c>
      <c r="B93" s="103" t="s">
        <v>311</v>
      </c>
      <c r="C93" s="103" t="s">
        <v>304</v>
      </c>
      <c r="D93" s="103" t="s">
        <v>1543</v>
      </c>
      <c r="E93" s="328">
        <f t="shared" ref="E93" si="90">F93</f>
        <v>0</v>
      </c>
      <c r="F93" s="477"/>
      <c r="G93" s="477"/>
      <c r="H93" s="477"/>
      <c r="I93" s="477"/>
      <c r="J93" s="328">
        <f t="shared" ref="J93" si="91">L93+O93</f>
        <v>11000000</v>
      </c>
      <c r="K93" s="477">
        <f>2000000+5000000+2000000+2000000</f>
        <v>11000000</v>
      </c>
      <c r="L93" s="477"/>
      <c r="M93" s="477"/>
      <c r="N93" s="477"/>
      <c r="O93" s="474">
        <f t="shared" ref="O93" si="92">K93</f>
        <v>11000000</v>
      </c>
      <c r="P93" s="328">
        <f>E93+J93</f>
        <v>11000000</v>
      </c>
      <c r="Q93" s="30"/>
      <c r="R93" s="26"/>
    </row>
    <row r="94" spans="1:18" s="33" customFormat="1" ht="47.25" thickTop="1" thickBot="1" x14ac:dyDescent="0.25">
      <c r="A94" s="313" t="s">
        <v>1099</v>
      </c>
      <c r="B94" s="313" t="s">
        <v>692</v>
      </c>
      <c r="C94" s="313"/>
      <c r="D94" s="313" t="s">
        <v>690</v>
      </c>
      <c r="E94" s="315">
        <f>E95</f>
        <v>0</v>
      </c>
      <c r="F94" s="315">
        <f t="shared" ref="F94:P94" si="93">F95</f>
        <v>0</v>
      </c>
      <c r="G94" s="315">
        <f t="shared" si="93"/>
        <v>0</v>
      </c>
      <c r="H94" s="315">
        <f t="shared" si="93"/>
        <v>0</v>
      </c>
      <c r="I94" s="315">
        <f t="shared" si="93"/>
        <v>0</v>
      </c>
      <c r="J94" s="315">
        <f t="shared" si="93"/>
        <v>15000000</v>
      </c>
      <c r="K94" s="315">
        <f t="shared" si="93"/>
        <v>15000000</v>
      </c>
      <c r="L94" s="315">
        <f t="shared" si="93"/>
        <v>0</v>
      </c>
      <c r="M94" s="315">
        <f t="shared" si="93"/>
        <v>0</v>
      </c>
      <c r="N94" s="315">
        <f t="shared" si="93"/>
        <v>0</v>
      </c>
      <c r="O94" s="315">
        <f t="shared" si="93"/>
        <v>15000000</v>
      </c>
      <c r="P94" s="315">
        <f t="shared" si="93"/>
        <v>15000000</v>
      </c>
      <c r="Q94" s="30"/>
      <c r="R94" s="26"/>
    </row>
    <row r="95" spans="1:18" s="33" customFormat="1" ht="48" thickTop="1" thickBot="1" x14ac:dyDescent="0.25">
      <c r="A95" s="103" t="s">
        <v>1100</v>
      </c>
      <c r="B95" s="103" t="s">
        <v>212</v>
      </c>
      <c r="C95" s="103" t="s">
        <v>213</v>
      </c>
      <c r="D95" s="103" t="s">
        <v>41</v>
      </c>
      <c r="E95" s="328">
        <f t="shared" ref="E95" si="94">F95</f>
        <v>0</v>
      </c>
      <c r="F95" s="477"/>
      <c r="G95" s="477"/>
      <c r="H95" s="477"/>
      <c r="I95" s="477"/>
      <c r="J95" s="328">
        <f t="shared" ref="J95" si="95">L95+O95</f>
        <v>15000000</v>
      </c>
      <c r="K95" s="477">
        <f>7500000+7500000</f>
        <v>15000000</v>
      </c>
      <c r="L95" s="477"/>
      <c r="M95" s="477"/>
      <c r="N95" s="477"/>
      <c r="O95" s="474">
        <f t="shared" ref="O95" si="96">K95</f>
        <v>15000000</v>
      </c>
      <c r="P95" s="328">
        <f>E95+J95</f>
        <v>15000000</v>
      </c>
      <c r="Q95" s="30"/>
      <c r="R95" s="26"/>
    </row>
    <row r="96" spans="1:18" s="33" customFormat="1" ht="47.25" hidden="1" thickTop="1" thickBot="1" x14ac:dyDescent="0.25">
      <c r="A96" s="125" t="s">
        <v>1234</v>
      </c>
      <c r="B96" s="125" t="s">
        <v>697</v>
      </c>
      <c r="C96" s="125"/>
      <c r="D96" s="125" t="s">
        <v>698</v>
      </c>
      <c r="E96" s="127">
        <f t="shared" ref="E96:P97" si="97">E97</f>
        <v>0</v>
      </c>
      <c r="F96" s="127">
        <f t="shared" si="97"/>
        <v>0</v>
      </c>
      <c r="G96" s="127">
        <f t="shared" si="97"/>
        <v>0</v>
      </c>
      <c r="H96" s="127">
        <f t="shared" si="97"/>
        <v>0</v>
      </c>
      <c r="I96" s="127">
        <f t="shared" si="97"/>
        <v>0</v>
      </c>
      <c r="J96" s="127">
        <f t="shared" si="97"/>
        <v>0</v>
      </c>
      <c r="K96" s="127">
        <f t="shared" si="97"/>
        <v>0</v>
      </c>
      <c r="L96" s="127">
        <f t="shared" si="97"/>
        <v>0</v>
      </c>
      <c r="M96" s="127">
        <f t="shared" si="97"/>
        <v>0</v>
      </c>
      <c r="N96" s="127">
        <f t="shared" si="97"/>
        <v>0</v>
      </c>
      <c r="O96" s="127">
        <f t="shared" si="97"/>
        <v>0</v>
      </c>
      <c r="P96" s="127">
        <f t="shared" si="97"/>
        <v>0</v>
      </c>
      <c r="Q96" s="30"/>
      <c r="R96" s="26"/>
    </row>
    <row r="97" spans="1:18" s="33" customFormat="1" ht="47.25" hidden="1" thickTop="1" thickBot="1" x14ac:dyDescent="0.25">
      <c r="A97" s="136" t="s">
        <v>1235</v>
      </c>
      <c r="B97" s="136" t="s">
        <v>1195</v>
      </c>
      <c r="C97" s="136"/>
      <c r="D97" s="136" t="s">
        <v>1193</v>
      </c>
      <c r="E97" s="137">
        <f t="shared" si="97"/>
        <v>0</v>
      </c>
      <c r="F97" s="137">
        <f t="shared" si="97"/>
        <v>0</v>
      </c>
      <c r="G97" s="137">
        <f t="shared" si="97"/>
        <v>0</v>
      </c>
      <c r="H97" s="137">
        <f t="shared" si="97"/>
        <v>0</v>
      </c>
      <c r="I97" s="137">
        <f t="shared" si="97"/>
        <v>0</v>
      </c>
      <c r="J97" s="137">
        <f t="shared" si="97"/>
        <v>0</v>
      </c>
      <c r="K97" s="137">
        <f t="shared" si="97"/>
        <v>0</v>
      </c>
      <c r="L97" s="137">
        <f t="shared" si="97"/>
        <v>0</v>
      </c>
      <c r="M97" s="137">
        <f t="shared" si="97"/>
        <v>0</v>
      </c>
      <c r="N97" s="137">
        <f t="shared" si="97"/>
        <v>0</v>
      </c>
      <c r="O97" s="137">
        <f t="shared" si="97"/>
        <v>0</v>
      </c>
      <c r="P97" s="137">
        <f t="shared" si="97"/>
        <v>0</v>
      </c>
      <c r="Q97" s="30"/>
      <c r="R97" s="26"/>
    </row>
    <row r="98" spans="1:18" s="33" customFormat="1" ht="48" hidden="1" thickTop="1" thickBot="1" x14ac:dyDescent="0.25">
      <c r="A98" s="128" t="s">
        <v>1236</v>
      </c>
      <c r="B98" s="128" t="s">
        <v>1199</v>
      </c>
      <c r="C98" s="128" t="s">
        <v>1197</v>
      </c>
      <c r="D98" s="128" t="s">
        <v>1196</v>
      </c>
      <c r="E98" s="127">
        <f>F98</f>
        <v>0</v>
      </c>
      <c r="F98" s="134"/>
      <c r="G98" s="134"/>
      <c r="H98" s="134"/>
      <c r="I98" s="134"/>
      <c r="J98" s="127">
        <f>L98+O98</f>
        <v>0</v>
      </c>
      <c r="K98" s="134">
        <v>0</v>
      </c>
      <c r="L98" s="134"/>
      <c r="M98" s="134"/>
      <c r="N98" s="134"/>
      <c r="O98" s="132">
        <f>K98</f>
        <v>0</v>
      </c>
      <c r="P98" s="127">
        <f>E98+J98</f>
        <v>0</v>
      </c>
      <c r="Q98" s="30"/>
      <c r="R98" s="26"/>
    </row>
    <row r="99" spans="1:18" s="33" customFormat="1" ht="47.25" hidden="1" customHeight="1" thickTop="1" thickBot="1" x14ac:dyDescent="0.25">
      <c r="A99" s="146" t="s">
        <v>1035</v>
      </c>
      <c r="B99" s="146" t="s">
        <v>703</v>
      </c>
      <c r="C99" s="146"/>
      <c r="D99" s="146" t="s">
        <v>704</v>
      </c>
      <c r="E99" s="42">
        <f>E100</f>
        <v>0</v>
      </c>
      <c r="F99" s="42">
        <f t="shared" ref="F99:P100" si="98">F100</f>
        <v>0</v>
      </c>
      <c r="G99" s="42">
        <f t="shared" si="98"/>
        <v>0</v>
      </c>
      <c r="H99" s="42">
        <f t="shared" si="98"/>
        <v>0</v>
      </c>
      <c r="I99" s="42">
        <f t="shared" si="98"/>
        <v>0</v>
      </c>
      <c r="J99" s="42">
        <f t="shared" si="98"/>
        <v>0</v>
      </c>
      <c r="K99" s="42">
        <f t="shared" si="98"/>
        <v>0</v>
      </c>
      <c r="L99" s="42">
        <f t="shared" si="98"/>
        <v>0</v>
      </c>
      <c r="M99" s="42">
        <f t="shared" si="98"/>
        <v>0</v>
      </c>
      <c r="N99" s="42">
        <f t="shared" si="98"/>
        <v>0</v>
      </c>
      <c r="O99" s="42">
        <f t="shared" si="98"/>
        <v>0</v>
      </c>
      <c r="P99" s="42">
        <f t="shared" si="98"/>
        <v>0</v>
      </c>
      <c r="Q99" s="36"/>
      <c r="R99" s="26"/>
    </row>
    <row r="100" spans="1:18" s="33" customFormat="1" ht="91.5" hidden="1" thickTop="1" thickBot="1" x14ac:dyDescent="0.25">
      <c r="A100" s="147" t="s">
        <v>1036</v>
      </c>
      <c r="B100" s="147" t="s">
        <v>706</v>
      </c>
      <c r="C100" s="147"/>
      <c r="D100" s="147" t="s">
        <v>707</v>
      </c>
      <c r="E100" s="148">
        <f>E101</f>
        <v>0</v>
      </c>
      <c r="F100" s="148">
        <f t="shared" si="98"/>
        <v>0</v>
      </c>
      <c r="G100" s="148">
        <f t="shared" si="98"/>
        <v>0</v>
      </c>
      <c r="H100" s="148">
        <f t="shared" si="98"/>
        <v>0</v>
      </c>
      <c r="I100" s="148">
        <f t="shared" si="98"/>
        <v>0</v>
      </c>
      <c r="J100" s="148">
        <f t="shared" si="98"/>
        <v>0</v>
      </c>
      <c r="K100" s="148">
        <f t="shared" si="98"/>
        <v>0</v>
      </c>
      <c r="L100" s="148">
        <f t="shared" si="98"/>
        <v>0</v>
      </c>
      <c r="M100" s="148">
        <f t="shared" si="98"/>
        <v>0</v>
      </c>
      <c r="N100" s="148">
        <f t="shared" si="98"/>
        <v>0</v>
      </c>
      <c r="O100" s="148">
        <f t="shared" si="98"/>
        <v>0</v>
      </c>
      <c r="P100" s="148">
        <f t="shared" si="98"/>
        <v>0</v>
      </c>
      <c r="Q100" s="36"/>
      <c r="R100" s="26"/>
    </row>
    <row r="101" spans="1:18" s="33" customFormat="1" ht="48" hidden="1" thickTop="1" thickBot="1" x14ac:dyDescent="0.25">
      <c r="A101" s="41" t="s">
        <v>1037</v>
      </c>
      <c r="B101" s="41" t="s">
        <v>363</v>
      </c>
      <c r="C101" s="41" t="s">
        <v>43</v>
      </c>
      <c r="D101" s="41" t="s">
        <v>364</v>
      </c>
      <c r="E101" s="42">
        <f t="shared" ref="E101" si="99">F101</f>
        <v>0</v>
      </c>
      <c r="F101" s="43"/>
      <c r="G101" s="43"/>
      <c r="H101" s="43"/>
      <c r="I101" s="43"/>
      <c r="J101" s="42">
        <f>L101+O101</f>
        <v>0</v>
      </c>
      <c r="K101" s="43"/>
      <c r="L101" s="43"/>
      <c r="M101" s="43"/>
      <c r="N101" s="43"/>
      <c r="O101" s="44">
        <f>K101</f>
        <v>0</v>
      </c>
      <c r="P101" s="42">
        <f>E101+J101</f>
        <v>0</v>
      </c>
      <c r="Q101" s="36"/>
      <c r="R101" s="26"/>
    </row>
    <row r="102" spans="1:18" ht="91.5" thickTop="1" thickBot="1" x14ac:dyDescent="0.25">
      <c r="A102" s="508" t="s">
        <v>154</v>
      </c>
      <c r="B102" s="508"/>
      <c r="C102" s="508"/>
      <c r="D102" s="509" t="s">
        <v>18</v>
      </c>
      <c r="E102" s="535">
        <f>E103</f>
        <v>94061866</v>
      </c>
      <c r="F102" s="510">
        <f t="shared" ref="F102:G102" si="100">F103</f>
        <v>94061866</v>
      </c>
      <c r="G102" s="510">
        <f t="shared" si="100"/>
        <v>5749881</v>
      </c>
      <c r="H102" s="510">
        <f>H103</f>
        <v>399960</v>
      </c>
      <c r="I102" s="510">
        <f t="shared" ref="I102" si="101">I103</f>
        <v>0</v>
      </c>
      <c r="J102" s="535">
        <f>J103</f>
        <v>10200000</v>
      </c>
      <c r="K102" s="510">
        <f>K103</f>
        <v>10200000</v>
      </c>
      <c r="L102" s="510">
        <f>L103</f>
        <v>0</v>
      </c>
      <c r="M102" s="510">
        <f t="shared" ref="M102" si="102">M103</f>
        <v>0</v>
      </c>
      <c r="N102" s="510">
        <f>N103</f>
        <v>0</v>
      </c>
      <c r="O102" s="535">
        <f>O103</f>
        <v>10200000</v>
      </c>
      <c r="P102" s="510">
        <f>P103</f>
        <v>104261866</v>
      </c>
      <c r="Q102" s="20"/>
    </row>
    <row r="103" spans="1:18" ht="91.5" thickTop="1" thickBot="1" x14ac:dyDescent="0.25">
      <c r="A103" s="511" t="s">
        <v>155</v>
      </c>
      <c r="B103" s="511"/>
      <c r="C103" s="511"/>
      <c r="D103" s="512" t="s">
        <v>36</v>
      </c>
      <c r="E103" s="513">
        <f>E104+E107+E122+E120</f>
        <v>94061866</v>
      </c>
      <c r="F103" s="513">
        <f t="shared" ref="F103:P103" si="103">F104+F107+F122+F120</f>
        <v>94061866</v>
      </c>
      <c r="G103" s="513">
        <f t="shared" si="103"/>
        <v>5749881</v>
      </c>
      <c r="H103" s="513">
        <f t="shared" si="103"/>
        <v>399960</v>
      </c>
      <c r="I103" s="513">
        <f t="shared" si="103"/>
        <v>0</v>
      </c>
      <c r="J103" s="513">
        <f t="shared" si="103"/>
        <v>10200000</v>
      </c>
      <c r="K103" s="513">
        <f t="shared" si="103"/>
        <v>10200000</v>
      </c>
      <c r="L103" s="513">
        <f t="shared" si="103"/>
        <v>0</v>
      </c>
      <c r="M103" s="513">
        <f t="shared" si="103"/>
        <v>0</v>
      </c>
      <c r="N103" s="513">
        <f t="shared" si="103"/>
        <v>0</v>
      </c>
      <c r="O103" s="513">
        <f t="shared" si="103"/>
        <v>10200000</v>
      </c>
      <c r="P103" s="513">
        <f t="shared" si="103"/>
        <v>104261866</v>
      </c>
      <c r="Q103" s="606" t="b">
        <f>P103=P105+P108+P109+P110+P111+P114+P118+P119+P121+P125</f>
        <v>1</v>
      </c>
      <c r="R103" s="26"/>
    </row>
    <row r="104" spans="1:18" ht="47.25" thickTop="1" thickBot="1" x14ac:dyDescent="0.25">
      <c r="A104" s="311" t="s">
        <v>714</v>
      </c>
      <c r="B104" s="311" t="s">
        <v>685</v>
      </c>
      <c r="C104" s="311"/>
      <c r="D104" s="311" t="s">
        <v>686</v>
      </c>
      <c r="E104" s="328">
        <f>SUM(E105:E106)</f>
        <v>3390311</v>
      </c>
      <c r="F104" s="328">
        <f t="shared" ref="F104:P104" si="104">SUM(F105:F106)</f>
        <v>3390311</v>
      </c>
      <c r="G104" s="328">
        <f t="shared" si="104"/>
        <v>2480000</v>
      </c>
      <c r="H104" s="328">
        <f t="shared" si="104"/>
        <v>191160</v>
      </c>
      <c r="I104" s="328">
        <f t="shared" si="104"/>
        <v>0</v>
      </c>
      <c r="J104" s="328">
        <f t="shared" si="104"/>
        <v>0</v>
      </c>
      <c r="K104" s="328">
        <f t="shared" si="104"/>
        <v>0</v>
      </c>
      <c r="L104" s="328">
        <f t="shared" si="104"/>
        <v>0</v>
      </c>
      <c r="M104" s="328">
        <f t="shared" si="104"/>
        <v>0</v>
      </c>
      <c r="N104" s="328">
        <f t="shared" si="104"/>
        <v>0</v>
      </c>
      <c r="O104" s="328">
        <f t="shared" si="104"/>
        <v>0</v>
      </c>
      <c r="P104" s="328">
        <f t="shared" si="104"/>
        <v>3390311</v>
      </c>
      <c r="Q104" s="30"/>
      <c r="R104" s="26"/>
    </row>
    <row r="105" spans="1:18" ht="93" thickTop="1" thickBot="1" x14ac:dyDescent="0.25">
      <c r="A105" s="103" t="s">
        <v>416</v>
      </c>
      <c r="B105" s="103" t="s">
        <v>236</v>
      </c>
      <c r="C105" s="103" t="s">
        <v>234</v>
      </c>
      <c r="D105" s="103" t="s">
        <v>235</v>
      </c>
      <c r="E105" s="328">
        <f>F105</f>
        <v>3390311</v>
      </c>
      <c r="F105" s="477">
        <v>3390311</v>
      </c>
      <c r="G105" s="477">
        <v>2480000</v>
      </c>
      <c r="H105" s="477">
        <v>191160</v>
      </c>
      <c r="I105" s="477"/>
      <c r="J105" s="328">
        <f t="shared" ref="J105:J131" si="105">L105+O105</f>
        <v>0</v>
      </c>
      <c r="K105" s="477">
        <v>0</v>
      </c>
      <c r="L105" s="477"/>
      <c r="M105" s="477"/>
      <c r="N105" s="477"/>
      <c r="O105" s="474">
        <f>K105</f>
        <v>0</v>
      </c>
      <c r="P105" s="328">
        <f t="shared" ref="P105:P131" si="106">E105+J105</f>
        <v>3390311</v>
      </c>
      <c r="Q105" s="39"/>
      <c r="R105" s="26"/>
    </row>
    <row r="106" spans="1:18" ht="93" hidden="1" thickTop="1" thickBot="1" x14ac:dyDescent="0.25">
      <c r="A106" s="128" t="s">
        <v>1269</v>
      </c>
      <c r="B106" s="128" t="s">
        <v>362</v>
      </c>
      <c r="C106" s="128" t="s">
        <v>626</v>
      </c>
      <c r="D106" s="128" t="s">
        <v>627</v>
      </c>
      <c r="E106" s="127">
        <f>F106</f>
        <v>0</v>
      </c>
      <c r="F106" s="134">
        <v>0</v>
      </c>
      <c r="G106" s="134"/>
      <c r="H106" s="134"/>
      <c r="I106" s="134"/>
      <c r="J106" s="127">
        <f t="shared" si="105"/>
        <v>0</v>
      </c>
      <c r="K106" s="134"/>
      <c r="L106" s="134"/>
      <c r="M106" s="134"/>
      <c r="N106" s="134"/>
      <c r="O106" s="132">
        <f>K106</f>
        <v>0</v>
      </c>
      <c r="P106" s="127">
        <f t="shared" si="106"/>
        <v>0</v>
      </c>
      <c r="Q106" s="39"/>
      <c r="R106" s="26"/>
    </row>
    <row r="107" spans="1:18" ht="47.25" thickTop="1" thickBot="1" x14ac:dyDescent="0.25">
      <c r="A107" s="311" t="s">
        <v>715</v>
      </c>
      <c r="B107" s="311" t="s">
        <v>716</v>
      </c>
      <c r="C107" s="311"/>
      <c r="D107" s="311" t="s">
        <v>717</v>
      </c>
      <c r="E107" s="328">
        <f>SUM(E108:E119)-E113-E115-E117</f>
        <v>90571555</v>
      </c>
      <c r="F107" s="328">
        <f t="shared" ref="F107:P107" si="107">SUM(F108:F119)-F113-F115-F117</f>
        <v>90571555</v>
      </c>
      <c r="G107" s="328">
        <f t="shared" si="107"/>
        <v>3269881</v>
      </c>
      <c r="H107" s="328">
        <f t="shared" si="107"/>
        <v>208800</v>
      </c>
      <c r="I107" s="328">
        <f t="shared" si="107"/>
        <v>0</v>
      </c>
      <c r="J107" s="328">
        <f t="shared" si="107"/>
        <v>9200000</v>
      </c>
      <c r="K107" s="328">
        <f t="shared" si="107"/>
        <v>9200000</v>
      </c>
      <c r="L107" s="328">
        <f t="shared" si="107"/>
        <v>0</v>
      </c>
      <c r="M107" s="328">
        <f t="shared" si="107"/>
        <v>0</v>
      </c>
      <c r="N107" s="328">
        <f t="shared" si="107"/>
        <v>0</v>
      </c>
      <c r="O107" s="328">
        <f t="shared" si="107"/>
        <v>9200000</v>
      </c>
      <c r="P107" s="328">
        <f t="shared" si="107"/>
        <v>99771555</v>
      </c>
      <c r="Q107" s="39"/>
      <c r="R107" s="39"/>
    </row>
    <row r="108" spans="1:18" ht="48" thickTop="1" thickBot="1" x14ac:dyDescent="0.25">
      <c r="A108" s="103" t="s">
        <v>214</v>
      </c>
      <c r="B108" s="103" t="s">
        <v>211</v>
      </c>
      <c r="C108" s="103" t="s">
        <v>215</v>
      </c>
      <c r="D108" s="103" t="s">
        <v>19</v>
      </c>
      <c r="E108" s="328">
        <f>F108</f>
        <v>18839100</v>
      </c>
      <c r="F108" s="477">
        <f>24239100-5400000</f>
        <v>18839100</v>
      </c>
      <c r="G108" s="477"/>
      <c r="H108" s="477"/>
      <c r="I108" s="477"/>
      <c r="J108" s="328">
        <f t="shared" si="105"/>
        <v>6800000</v>
      </c>
      <c r="K108" s="477">
        <v>6800000</v>
      </c>
      <c r="L108" s="477"/>
      <c r="M108" s="477"/>
      <c r="N108" s="477"/>
      <c r="O108" s="474">
        <f>K108</f>
        <v>6800000</v>
      </c>
      <c r="P108" s="328">
        <f t="shared" si="106"/>
        <v>25639100</v>
      </c>
      <c r="Q108" s="20"/>
      <c r="R108" s="30"/>
    </row>
    <row r="109" spans="1:18" ht="48" thickTop="1" thickBot="1" x14ac:dyDescent="0.25">
      <c r="A109" s="103" t="s">
        <v>505</v>
      </c>
      <c r="B109" s="103" t="s">
        <v>508</v>
      </c>
      <c r="C109" s="103" t="s">
        <v>507</v>
      </c>
      <c r="D109" s="103" t="s">
        <v>506</v>
      </c>
      <c r="E109" s="328">
        <f>F109</f>
        <v>9660600</v>
      </c>
      <c r="F109" s="477">
        <f>10860600-1200000</f>
        <v>9660600</v>
      </c>
      <c r="G109" s="477"/>
      <c r="H109" s="477"/>
      <c r="I109" s="477"/>
      <c r="J109" s="328">
        <f t="shared" si="105"/>
        <v>0</v>
      </c>
      <c r="K109" s="477"/>
      <c r="L109" s="477"/>
      <c r="M109" s="477"/>
      <c r="N109" s="477"/>
      <c r="O109" s="474">
        <f>K109</f>
        <v>0</v>
      </c>
      <c r="P109" s="328">
        <f t="shared" si="106"/>
        <v>9660600</v>
      </c>
      <c r="Q109" s="20"/>
      <c r="R109" s="39"/>
    </row>
    <row r="110" spans="1:18" ht="48" thickTop="1" thickBot="1" x14ac:dyDescent="0.25">
      <c r="A110" s="103" t="s">
        <v>216</v>
      </c>
      <c r="B110" s="103" t="s">
        <v>217</v>
      </c>
      <c r="C110" s="103" t="s">
        <v>218</v>
      </c>
      <c r="D110" s="103" t="s">
        <v>219</v>
      </c>
      <c r="E110" s="328">
        <f t="shared" ref="E110:E131" si="108">F110</f>
        <v>8081900</v>
      </c>
      <c r="F110" s="477">
        <f>9381900-1300000</f>
        <v>8081900</v>
      </c>
      <c r="G110" s="477"/>
      <c r="H110" s="477"/>
      <c r="I110" s="477"/>
      <c r="J110" s="328">
        <f t="shared" si="105"/>
        <v>2400000</v>
      </c>
      <c r="K110" s="477">
        <v>2400000</v>
      </c>
      <c r="L110" s="477"/>
      <c r="M110" s="477"/>
      <c r="N110" s="477"/>
      <c r="O110" s="474">
        <f>K110</f>
        <v>2400000</v>
      </c>
      <c r="P110" s="328">
        <f t="shared" si="106"/>
        <v>10481900</v>
      </c>
      <c r="Q110" s="20"/>
      <c r="R110" s="39"/>
    </row>
    <row r="111" spans="1:18" ht="93" thickTop="1" thickBot="1" x14ac:dyDescent="0.25">
      <c r="A111" s="103" t="s">
        <v>220</v>
      </c>
      <c r="B111" s="103" t="s">
        <v>221</v>
      </c>
      <c r="C111" s="103" t="s">
        <v>222</v>
      </c>
      <c r="D111" s="103" t="s">
        <v>345</v>
      </c>
      <c r="E111" s="328">
        <f t="shared" si="108"/>
        <v>25012900</v>
      </c>
      <c r="F111" s="477">
        <f>26512900-1500000</f>
        <v>25012900</v>
      </c>
      <c r="G111" s="134"/>
      <c r="H111" s="134"/>
      <c r="I111" s="134"/>
      <c r="J111" s="328">
        <f t="shared" si="105"/>
        <v>0</v>
      </c>
      <c r="K111" s="477"/>
      <c r="L111" s="477"/>
      <c r="M111" s="477"/>
      <c r="N111" s="477"/>
      <c r="O111" s="474">
        <f>K111</f>
        <v>0</v>
      </c>
      <c r="P111" s="328">
        <f t="shared" si="106"/>
        <v>25012900</v>
      </c>
      <c r="Q111" s="20"/>
      <c r="R111" s="39"/>
    </row>
    <row r="112" spans="1:18" ht="48" hidden="1" thickTop="1" thickBot="1" x14ac:dyDescent="0.25">
      <c r="A112" s="128" t="s">
        <v>223</v>
      </c>
      <c r="B112" s="128" t="s">
        <v>224</v>
      </c>
      <c r="C112" s="128" t="s">
        <v>225</v>
      </c>
      <c r="D112" s="128" t="s">
        <v>226</v>
      </c>
      <c r="E112" s="127">
        <f t="shared" si="108"/>
        <v>0</v>
      </c>
      <c r="F112" s="134">
        <f>(7556300)-7556300</f>
        <v>0</v>
      </c>
      <c r="G112" s="134"/>
      <c r="H112" s="134"/>
      <c r="I112" s="134"/>
      <c r="J112" s="328">
        <f t="shared" si="105"/>
        <v>0</v>
      </c>
      <c r="K112" s="477">
        <f>(200000)-200000</f>
        <v>0</v>
      </c>
      <c r="L112" s="477"/>
      <c r="M112" s="477"/>
      <c r="N112" s="477"/>
      <c r="O112" s="474">
        <f>K112</f>
        <v>0</v>
      </c>
      <c r="P112" s="328">
        <f t="shared" si="106"/>
        <v>0</v>
      </c>
      <c r="Q112" s="20"/>
      <c r="R112" s="39"/>
    </row>
    <row r="113" spans="1:18" ht="48" thickTop="1" thickBot="1" x14ac:dyDescent="0.25">
      <c r="A113" s="329" t="s">
        <v>718</v>
      </c>
      <c r="B113" s="329" t="s">
        <v>719</v>
      </c>
      <c r="C113" s="329"/>
      <c r="D113" s="329" t="s">
        <v>720</v>
      </c>
      <c r="E113" s="325">
        <f>E114</f>
        <v>19127800</v>
      </c>
      <c r="F113" s="325">
        <f t="shared" ref="F113:P113" si="109">F114</f>
        <v>19127800</v>
      </c>
      <c r="G113" s="325">
        <f t="shared" si="109"/>
        <v>0</v>
      </c>
      <c r="H113" s="325">
        <f t="shared" si="109"/>
        <v>0</v>
      </c>
      <c r="I113" s="325">
        <f t="shared" si="109"/>
        <v>0</v>
      </c>
      <c r="J113" s="325">
        <f t="shared" si="109"/>
        <v>0</v>
      </c>
      <c r="K113" s="325">
        <f t="shared" si="109"/>
        <v>0</v>
      </c>
      <c r="L113" s="325">
        <f t="shared" si="109"/>
        <v>0</v>
      </c>
      <c r="M113" s="325">
        <f t="shared" si="109"/>
        <v>0</v>
      </c>
      <c r="N113" s="325">
        <f t="shared" si="109"/>
        <v>0</v>
      </c>
      <c r="O113" s="325">
        <f t="shared" si="109"/>
        <v>0</v>
      </c>
      <c r="P113" s="325">
        <f t="shared" si="109"/>
        <v>19127800</v>
      </c>
      <c r="Q113" s="20"/>
      <c r="R113" s="39"/>
    </row>
    <row r="114" spans="1:18" ht="93" thickTop="1" thickBot="1" x14ac:dyDescent="0.25">
      <c r="A114" s="103" t="s">
        <v>227</v>
      </c>
      <c r="B114" s="103" t="s">
        <v>228</v>
      </c>
      <c r="C114" s="103" t="s">
        <v>346</v>
      </c>
      <c r="D114" s="103" t="s">
        <v>229</v>
      </c>
      <c r="E114" s="328">
        <f t="shared" si="108"/>
        <v>19127800</v>
      </c>
      <c r="F114" s="477">
        <f>19727800-600000</f>
        <v>19127800</v>
      </c>
      <c r="G114" s="477"/>
      <c r="H114" s="477"/>
      <c r="I114" s="477"/>
      <c r="J114" s="328">
        <f t="shared" si="105"/>
        <v>0</v>
      </c>
      <c r="K114" s="477"/>
      <c r="L114" s="477"/>
      <c r="M114" s="477"/>
      <c r="N114" s="477"/>
      <c r="O114" s="474">
        <f t="shared" ref="O114:O131" si="110">K114</f>
        <v>0</v>
      </c>
      <c r="P114" s="328">
        <f t="shared" si="106"/>
        <v>19127800</v>
      </c>
      <c r="Q114" s="20"/>
      <c r="R114" s="39"/>
    </row>
    <row r="115" spans="1:18" ht="48" hidden="1" thickTop="1" thickBot="1" x14ac:dyDescent="0.25">
      <c r="A115" s="140" t="s">
        <v>721</v>
      </c>
      <c r="B115" s="140" t="s">
        <v>722</v>
      </c>
      <c r="C115" s="140"/>
      <c r="D115" s="140" t="s">
        <v>723</v>
      </c>
      <c r="E115" s="141">
        <f>E116</f>
        <v>0</v>
      </c>
      <c r="F115" s="141">
        <f t="shared" ref="F115:P115" si="111">F116</f>
        <v>0</v>
      </c>
      <c r="G115" s="141">
        <f t="shared" si="111"/>
        <v>0</v>
      </c>
      <c r="H115" s="141">
        <f t="shared" si="111"/>
        <v>0</v>
      </c>
      <c r="I115" s="141">
        <f t="shared" si="111"/>
        <v>0</v>
      </c>
      <c r="J115" s="636">
        <f t="shared" si="111"/>
        <v>0</v>
      </c>
      <c r="K115" s="636">
        <f t="shared" si="111"/>
        <v>0</v>
      </c>
      <c r="L115" s="636">
        <f t="shared" si="111"/>
        <v>0</v>
      </c>
      <c r="M115" s="636">
        <f t="shared" si="111"/>
        <v>0</v>
      </c>
      <c r="N115" s="636">
        <f t="shared" si="111"/>
        <v>0</v>
      </c>
      <c r="O115" s="636">
        <f t="shared" si="111"/>
        <v>0</v>
      </c>
      <c r="P115" s="636">
        <f t="shared" si="111"/>
        <v>0</v>
      </c>
      <c r="Q115" s="20"/>
      <c r="R115" s="39"/>
    </row>
    <row r="116" spans="1:18" ht="48" hidden="1" thickTop="1" thickBot="1" x14ac:dyDescent="0.25">
      <c r="A116" s="128" t="s">
        <v>475</v>
      </c>
      <c r="B116" s="128" t="s">
        <v>476</v>
      </c>
      <c r="C116" s="128" t="s">
        <v>230</v>
      </c>
      <c r="D116" s="128" t="s">
        <v>477</v>
      </c>
      <c r="E116" s="127">
        <f t="shared" si="108"/>
        <v>0</v>
      </c>
      <c r="F116" s="134">
        <v>0</v>
      </c>
      <c r="G116" s="134"/>
      <c r="H116" s="134"/>
      <c r="I116" s="134"/>
      <c r="J116" s="637">
        <f t="shared" si="105"/>
        <v>0</v>
      </c>
      <c r="K116" s="638"/>
      <c r="L116" s="638"/>
      <c r="M116" s="638"/>
      <c r="N116" s="638"/>
      <c r="O116" s="639">
        <f t="shared" si="110"/>
        <v>0</v>
      </c>
      <c r="P116" s="637">
        <f t="shared" si="106"/>
        <v>0</v>
      </c>
      <c r="Q116" s="20"/>
      <c r="R116" s="39"/>
    </row>
    <row r="117" spans="1:18" ht="48" thickTop="1" thickBot="1" x14ac:dyDescent="0.25">
      <c r="A117" s="329" t="s">
        <v>724</v>
      </c>
      <c r="B117" s="329" t="s">
        <v>725</v>
      </c>
      <c r="C117" s="329"/>
      <c r="D117" s="329" t="s">
        <v>726</v>
      </c>
      <c r="E117" s="325">
        <f>SUM(E118:E119)</f>
        <v>9849255</v>
      </c>
      <c r="F117" s="325">
        <f t="shared" ref="F117:P117" si="112">SUM(F118:F119)</f>
        <v>9849255</v>
      </c>
      <c r="G117" s="325">
        <f t="shared" si="112"/>
        <v>3269881</v>
      </c>
      <c r="H117" s="325">
        <f t="shared" si="112"/>
        <v>208800</v>
      </c>
      <c r="I117" s="325">
        <f t="shared" si="112"/>
        <v>0</v>
      </c>
      <c r="J117" s="325">
        <f t="shared" si="112"/>
        <v>0</v>
      </c>
      <c r="K117" s="325">
        <f t="shared" si="112"/>
        <v>0</v>
      </c>
      <c r="L117" s="325">
        <f t="shared" si="112"/>
        <v>0</v>
      </c>
      <c r="M117" s="325">
        <f t="shared" si="112"/>
        <v>0</v>
      </c>
      <c r="N117" s="325">
        <f t="shared" si="112"/>
        <v>0</v>
      </c>
      <c r="O117" s="325">
        <f t="shared" si="112"/>
        <v>0</v>
      </c>
      <c r="P117" s="325">
        <f t="shared" si="112"/>
        <v>9849255</v>
      </c>
      <c r="Q117" s="20"/>
      <c r="R117" s="39"/>
    </row>
    <row r="118" spans="1:18" s="33" customFormat="1" ht="48" thickTop="1" thickBot="1" x14ac:dyDescent="0.25">
      <c r="A118" s="103" t="s">
        <v>321</v>
      </c>
      <c r="B118" s="103" t="s">
        <v>323</v>
      </c>
      <c r="C118" s="103" t="s">
        <v>230</v>
      </c>
      <c r="D118" s="485" t="s">
        <v>319</v>
      </c>
      <c r="E118" s="328">
        <f t="shared" si="108"/>
        <v>4423055</v>
      </c>
      <c r="F118" s="477">
        <v>4423055</v>
      </c>
      <c r="G118" s="477">
        <v>3269881</v>
      </c>
      <c r="H118" s="477">
        <v>208800</v>
      </c>
      <c r="I118" s="477"/>
      <c r="J118" s="328">
        <f t="shared" si="105"/>
        <v>0</v>
      </c>
      <c r="K118" s="477"/>
      <c r="L118" s="477"/>
      <c r="M118" s="477"/>
      <c r="N118" s="477"/>
      <c r="O118" s="474">
        <f t="shared" si="110"/>
        <v>0</v>
      </c>
      <c r="P118" s="328">
        <f t="shared" si="106"/>
        <v>4423055</v>
      </c>
      <c r="Q118" s="36"/>
      <c r="R118" s="26"/>
    </row>
    <row r="119" spans="1:18" s="33" customFormat="1" ht="48" thickTop="1" thickBot="1" x14ac:dyDescent="0.25">
      <c r="A119" s="103" t="s">
        <v>322</v>
      </c>
      <c r="B119" s="103" t="s">
        <v>324</v>
      </c>
      <c r="C119" s="103" t="s">
        <v>230</v>
      </c>
      <c r="D119" s="485" t="s">
        <v>320</v>
      </c>
      <c r="E119" s="328">
        <f t="shared" si="108"/>
        <v>5426200</v>
      </c>
      <c r="F119" s="477">
        <v>5426200</v>
      </c>
      <c r="G119" s="477"/>
      <c r="H119" s="477"/>
      <c r="I119" s="477"/>
      <c r="J119" s="328">
        <f t="shared" si="105"/>
        <v>0</v>
      </c>
      <c r="K119" s="477"/>
      <c r="L119" s="477"/>
      <c r="M119" s="477"/>
      <c r="N119" s="477"/>
      <c r="O119" s="474">
        <f t="shared" si="110"/>
        <v>0</v>
      </c>
      <c r="P119" s="328">
        <f t="shared" si="106"/>
        <v>5426200</v>
      </c>
      <c r="Q119" s="36"/>
      <c r="R119" s="39"/>
    </row>
    <row r="120" spans="1:18" s="33" customFormat="1" ht="47.25" thickTop="1" thickBot="1" x14ac:dyDescent="0.25">
      <c r="A120" s="311" t="s">
        <v>1208</v>
      </c>
      <c r="B120" s="311" t="s">
        <v>712</v>
      </c>
      <c r="C120" s="311"/>
      <c r="D120" s="311" t="s">
        <v>713</v>
      </c>
      <c r="E120" s="328">
        <f>E121</f>
        <v>100000</v>
      </c>
      <c r="F120" s="328">
        <f t="shared" ref="F120:P120" si="113">F121</f>
        <v>100000</v>
      </c>
      <c r="G120" s="328">
        <f t="shared" si="113"/>
        <v>0</v>
      </c>
      <c r="H120" s="328">
        <f t="shared" si="113"/>
        <v>0</v>
      </c>
      <c r="I120" s="328">
        <f t="shared" si="113"/>
        <v>0</v>
      </c>
      <c r="J120" s="328">
        <f t="shared" si="113"/>
        <v>0</v>
      </c>
      <c r="K120" s="328">
        <f t="shared" si="113"/>
        <v>0</v>
      </c>
      <c r="L120" s="328">
        <f t="shared" si="113"/>
        <v>0</v>
      </c>
      <c r="M120" s="328">
        <f t="shared" si="113"/>
        <v>0</v>
      </c>
      <c r="N120" s="328">
        <f t="shared" si="113"/>
        <v>0</v>
      </c>
      <c r="O120" s="328">
        <f t="shared" si="113"/>
        <v>0</v>
      </c>
      <c r="P120" s="328">
        <f t="shared" si="113"/>
        <v>100000</v>
      </c>
      <c r="Q120" s="36"/>
      <c r="R120" s="39"/>
    </row>
    <row r="121" spans="1:18" s="33" customFormat="1" ht="93" thickTop="1" thickBot="1" x14ac:dyDescent="0.25">
      <c r="A121" s="103" t="s">
        <v>1209</v>
      </c>
      <c r="B121" s="103" t="s">
        <v>1210</v>
      </c>
      <c r="C121" s="103" t="s">
        <v>206</v>
      </c>
      <c r="D121" s="485" t="s">
        <v>1211</v>
      </c>
      <c r="E121" s="328">
        <f t="shared" ref="E121" si="114">F121</f>
        <v>100000</v>
      </c>
      <c r="F121" s="477">
        <v>100000</v>
      </c>
      <c r="G121" s="477"/>
      <c r="H121" s="477"/>
      <c r="I121" s="477"/>
      <c r="J121" s="328">
        <f t="shared" ref="J121" si="115">L121+O121</f>
        <v>0</v>
      </c>
      <c r="K121" s="477"/>
      <c r="L121" s="477"/>
      <c r="M121" s="477"/>
      <c r="N121" s="477"/>
      <c r="O121" s="474">
        <f t="shared" ref="O121" si="116">K121</f>
        <v>0</v>
      </c>
      <c r="P121" s="328">
        <f t="shared" ref="P121" si="117">E121+J121</f>
        <v>100000</v>
      </c>
      <c r="Q121" s="36"/>
      <c r="R121" s="39"/>
    </row>
    <row r="122" spans="1:18" s="33" customFormat="1" ht="47.25" thickTop="1" thickBot="1" x14ac:dyDescent="0.25">
      <c r="A122" s="311" t="s">
        <v>751</v>
      </c>
      <c r="B122" s="311" t="s">
        <v>749</v>
      </c>
      <c r="C122" s="311"/>
      <c r="D122" s="311" t="s">
        <v>750</v>
      </c>
      <c r="E122" s="328">
        <f>SUM(E128)+E123</f>
        <v>0</v>
      </c>
      <c r="F122" s="328">
        <f t="shared" ref="F122:P122" si="118">SUM(F128)+F123</f>
        <v>0</v>
      </c>
      <c r="G122" s="328">
        <f t="shared" si="118"/>
        <v>0</v>
      </c>
      <c r="H122" s="328">
        <f t="shared" si="118"/>
        <v>0</v>
      </c>
      <c r="I122" s="328">
        <f t="shared" si="118"/>
        <v>0</v>
      </c>
      <c r="J122" s="328">
        <f t="shared" si="118"/>
        <v>1000000</v>
      </c>
      <c r="K122" s="328">
        <f t="shared" si="118"/>
        <v>1000000</v>
      </c>
      <c r="L122" s="328">
        <f t="shared" si="118"/>
        <v>0</v>
      </c>
      <c r="M122" s="328">
        <f t="shared" si="118"/>
        <v>0</v>
      </c>
      <c r="N122" s="328">
        <f t="shared" si="118"/>
        <v>0</v>
      </c>
      <c r="O122" s="328">
        <f t="shared" si="118"/>
        <v>1000000</v>
      </c>
      <c r="P122" s="328">
        <f t="shared" si="118"/>
        <v>1000000</v>
      </c>
      <c r="Q122" s="36"/>
      <c r="R122" s="39"/>
    </row>
    <row r="123" spans="1:18" s="33" customFormat="1" ht="47.25" thickTop="1" thickBot="1" x14ac:dyDescent="0.25">
      <c r="A123" s="313" t="s">
        <v>1061</v>
      </c>
      <c r="B123" s="313" t="s">
        <v>805</v>
      </c>
      <c r="C123" s="313"/>
      <c r="D123" s="313" t="s">
        <v>806</v>
      </c>
      <c r="E123" s="315">
        <f>E126+E124</f>
        <v>0</v>
      </c>
      <c r="F123" s="315">
        <f t="shared" ref="F123:P123" si="119">F126+F124</f>
        <v>0</v>
      </c>
      <c r="G123" s="315">
        <f t="shared" si="119"/>
        <v>0</v>
      </c>
      <c r="H123" s="315">
        <f t="shared" si="119"/>
        <v>0</v>
      </c>
      <c r="I123" s="315">
        <f t="shared" si="119"/>
        <v>0</v>
      </c>
      <c r="J123" s="315">
        <f t="shared" si="119"/>
        <v>1000000</v>
      </c>
      <c r="K123" s="315">
        <f t="shared" si="119"/>
        <v>1000000</v>
      </c>
      <c r="L123" s="315">
        <f t="shared" si="119"/>
        <v>0</v>
      </c>
      <c r="M123" s="315">
        <f t="shared" si="119"/>
        <v>0</v>
      </c>
      <c r="N123" s="315">
        <f t="shared" si="119"/>
        <v>0</v>
      </c>
      <c r="O123" s="315">
        <f t="shared" si="119"/>
        <v>1000000</v>
      </c>
      <c r="P123" s="315">
        <f t="shared" si="119"/>
        <v>1000000</v>
      </c>
      <c r="Q123" s="36"/>
      <c r="R123" s="39"/>
    </row>
    <row r="124" spans="1:18" s="33" customFormat="1" ht="54.75" thickTop="1" thickBot="1" x14ac:dyDescent="0.25">
      <c r="A124" s="329" t="s">
        <v>1189</v>
      </c>
      <c r="B124" s="329" t="s">
        <v>823</v>
      </c>
      <c r="C124" s="329"/>
      <c r="D124" s="329" t="s">
        <v>1551</v>
      </c>
      <c r="E124" s="325">
        <f>E125</f>
        <v>0</v>
      </c>
      <c r="F124" s="325">
        <f t="shared" ref="F124:P124" si="120">F125</f>
        <v>0</v>
      </c>
      <c r="G124" s="325">
        <f t="shared" si="120"/>
        <v>0</v>
      </c>
      <c r="H124" s="325">
        <f t="shared" si="120"/>
        <v>0</v>
      </c>
      <c r="I124" s="325">
        <f t="shared" si="120"/>
        <v>0</v>
      </c>
      <c r="J124" s="325">
        <f t="shared" si="120"/>
        <v>1000000</v>
      </c>
      <c r="K124" s="325">
        <f t="shared" si="120"/>
        <v>1000000</v>
      </c>
      <c r="L124" s="325">
        <f t="shared" si="120"/>
        <v>0</v>
      </c>
      <c r="M124" s="325">
        <f t="shared" si="120"/>
        <v>0</v>
      </c>
      <c r="N124" s="325">
        <f t="shared" si="120"/>
        <v>0</v>
      </c>
      <c r="O124" s="325">
        <f t="shared" si="120"/>
        <v>1000000</v>
      </c>
      <c r="P124" s="325">
        <f t="shared" si="120"/>
        <v>1000000</v>
      </c>
      <c r="Q124" s="36"/>
      <c r="R124" s="39"/>
    </row>
    <row r="125" spans="1:18" s="33" customFormat="1" ht="54" thickTop="1" thickBot="1" x14ac:dyDescent="0.25">
      <c r="A125" s="103" t="s">
        <v>1188</v>
      </c>
      <c r="B125" s="103" t="s">
        <v>1190</v>
      </c>
      <c r="C125" s="103" t="s">
        <v>304</v>
      </c>
      <c r="D125" s="103" t="s">
        <v>1578</v>
      </c>
      <c r="E125" s="328">
        <f t="shared" ref="E125" si="121">F125</f>
        <v>0</v>
      </c>
      <c r="F125" s="477"/>
      <c r="G125" s="477"/>
      <c r="H125" s="477"/>
      <c r="I125" s="477"/>
      <c r="J125" s="328">
        <f t="shared" ref="J125" si="122">L125+O125</f>
        <v>1000000</v>
      </c>
      <c r="K125" s="477">
        <v>1000000</v>
      </c>
      <c r="L125" s="477"/>
      <c r="M125" s="477"/>
      <c r="N125" s="477"/>
      <c r="O125" s="474">
        <f>K125</f>
        <v>1000000</v>
      </c>
      <c r="P125" s="328">
        <f t="shared" ref="P125" si="123">E125+J125</f>
        <v>1000000</v>
      </c>
      <c r="Q125" s="36"/>
      <c r="R125" s="39"/>
    </row>
    <row r="126" spans="1:18" s="33" customFormat="1" ht="48" hidden="1" thickTop="1" thickBot="1" x14ac:dyDescent="0.25">
      <c r="A126" s="144" t="s">
        <v>1062</v>
      </c>
      <c r="B126" s="144" t="s">
        <v>1060</v>
      </c>
      <c r="C126" s="144"/>
      <c r="D126" s="144" t="s">
        <v>1059</v>
      </c>
      <c r="E126" s="145">
        <f>E127</f>
        <v>0</v>
      </c>
      <c r="F126" s="145">
        <f t="shared" ref="F126:P126" si="124">F127</f>
        <v>0</v>
      </c>
      <c r="G126" s="145">
        <f t="shared" si="124"/>
        <v>0</v>
      </c>
      <c r="H126" s="145">
        <f t="shared" si="124"/>
        <v>0</v>
      </c>
      <c r="I126" s="145">
        <f t="shared" si="124"/>
        <v>0</v>
      </c>
      <c r="J126" s="145">
        <f t="shared" si="124"/>
        <v>0</v>
      </c>
      <c r="K126" s="145">
        <f t="shared" si="124"/>
        <v>0</v>
      </c>
      <c r="L126" s="145">
        <f t="shared" si="124"/>
        <v>0</v>
      </c>
      <c r="M126" s="145">
        <f t="shared" si="124"/>
        <v>0</v>
      </c>
      <c r="N126" s="145">
        <f t="shared" si="124"/>
        <v>0</v>
      </c>
      <c r="O126" s="145">
        <f t="shared" si="124"/>
        <v>0</v>
      </c>
      <c r="P126" s="145">
        <f t="shared" si="124"/>
        <v>0</v>
      </c>
      <c r="Q126" s="36"/>
      <c r="R126" s="39"/>
    </row>
    <row r="127" spans="1:18" s="33" customFormat="1" ht="93" hidden="1" thickTop="1" thickBot="1" x14ac:dyDescent="0.25">
      <c r="A127" s="41" t="s">
        <v>1063</v>
      </c>
      <c r="B127" s="41" t="s">
        <v>1064</v>
      </c>
      <c r="C127" s="41" t="s">
        <v>170</v>
      </c>
      <c r="D127" s="41" t="s">
        <v>1065</v>
      </c>
      <c r="E127" s="42">
        <f t="shared" si="108"/>
        <v>0</v>
      </c>
      <c r="F127" s="43"/>
      <c r="G127" s="43"/>
      <c r="H127" s="43"/>
      <c r="I127" s="43"/>
      <c r="J127" s="42">
        <f t="shared" si="105"/>
        <v>0</v>
      </c>
      <c r="K127" s="43"/>
      <c r="L127" s="43"/>
      <c r="M127" s="43"/>
      <c r="N127" s="43"/>
      <c r="O127" s="44">
        <f>K127</f>
        <v>0</v>
      </c>
      <c r="P127" s="42">
        <f t="shared" si="106"/>
        <v>0</v>
      </c>
      <c r="Q127" s="36"/>
      <c r="R127" s="26"/>
    </row>
    <row r="128" spans="1:18" s="28" customFormat="1" ht="47.25" hidden="1" thickTop="1" thickBot="1" x14ac:dyDescent="0.25">
      <c r="A128" s="136" t="s">
        <v>727</v>
      </c>
      <c r="B128" s="136" t="s">
        <v>692</v>
      </c>
      <c r="C128" s="136"/>
      <c r="D128" s="136" t="s">
        <v>690</v>
      </c>
      <c r="E128" s="137">
        <f>E129</f>
        <v>0</v>
      </c>
      <c r="F128" s="137">
        <f t="shared" ref="F128:P128" si="125">F129</f>
        <v>0</v>
      </c>
      <c r="G128" s="137">
        <f t="shared" si="125"/>
        <v>0</v>
      </c>
      <c r="H128" s="137">
        <f t="shared" si="125"/>
        <v>0</v>
      </c>
      <c r="I128" s="137">
        <f t="shared" si="125"/>
        <v>0</v>
      </c>
      <c r="J128" s="137">
        <f t="shared" si="125"/>
        <v>0</v>
      </c>
      <c r="K128" s="137">
        <f t="shared" si="125"/>
        <v>0</v>
      </c>
      <c r="L128" s="137">
        <f t="shared" si="125"/>
        <v>0</v>
      </c>
      <c r="M128" s="137">
        <f t="shared" si="125"/>
        <v>0</v>
      </c>
      <c r="N128" s="137">
        <f t="shared" si="125"/>
        <v>0</v>
      </c>
      <c r="O128" s="137">
        <f t="shared" si="125"/>
        <v>0</v>
      </c>
      <c r="P128" s="137">
        <f t="shared" si="125"/>
        <v>0</v>
      </c>
      <c r="Q128" s="149"/>
      <c r="R128" s="40"/>
    </row>
    <row r="129" spans="1:20" s="28" customFormat="1" ht="48" hidden="1" thickTop="1" thickBot="1" x14ac:dyDescent="0.25">
      <c r="A129" s="128" t="s">
        <v>1267</v>
      </c>
      <c r="B129" s="128" t="s">
        <v>212</v>
      </c>
      <c r="C129" s="128" t="s">
        <v>213</v>
      </c>
      <c r="D129" s="128" t="s">
        <v>41</v>
      </c>
      <c r="E129" s="127">
        <f t="shared" si="108"/>
        <v>0</v>
      </c>
      <c r="F129" s="134"/>
      <c r="G129" s="134"/>
      <c r="H129" s="134"/>
      <c r="I129" s="134"/>
      <c r="J129" s="127">
        <f t="shared" ref="J129" si="126">L129+O129</f>
        <v>0</v>
      </c>
      <c r="K129" s="134"/>
      <c r="L129" s="134"/>
      <c r="M129" s="134"/>
      <c r="N129" s="134"/>
      <c r="O129" s="132">
        <f t="shared" ref="O129" si="127">K129</f>
        <v>0</v>
      </c>
      <c r="P129" s="127">
        <f t="shared" si="106"/>
        <v>0</v>
      </c>
      <c r="Q129" s="149"/>
      <c r="R129" s="40"/>
    </row>
    <row r="130" spans="1:20" s="33" customFormat="1" ht="48" hidden="1" thickTop="1" thickBot="1" x14ac:dyDescent="0.25">
      <c r="A130" s="41" t="s">
        <v>435</v>
      </c>
      <c r="B130" s="41" t="s">
        <v>197</v>
      </c>
      <c r="C130" s="41" t="s">
        <v>170</v>
      </c>
      <c r="D130" s="41" t="s">
        <v>34</v>
      </c>
      <c r="E130" s="42">
        <f t="shared" si="108"/>
        <v>0</v>
      </c>
      <c r="F130" s="43"/>
      <c r="G130" s="43"/>
      <c r="H130" s="43"/>
      <c r="I130" s="43"/>
      <c r="J130" s="42">
        <f t="shared" si="105"/>
        <v>0</v>
      </c>
      <c r="K130" s="43"/>
      <c r="L130" s="43"/>
      <c r="M130" s="43"/>
      <c r="N130" s="43"/>
      <c r="O130" s="44">
        <f t="shared" si="110"/>
        <v>0</v>
      </c>
      <c r="P130" s="42">
        <f t="shared" si="106"/>
        <v>0</v>
      </c>
      <c r="Q130" s="36"/>
      <c r="R130" s="26"/>
    </row>
    <row r="131" spans="1:20" s="33" customFormat="1" ht="48" hidden="1" thickTop="1" thickBot="1" x14ac:dyDescent="0.25">
      <c r="A131" s="41" t="s">
        <v>509</v>
      </c>
      <c r="B131" s="41" t="s">
        <v>363</v>
      </c>
      <c r="C131" s="41" t="s">
        <v>43</v>
      </c>
      <c r="D131" s="41" t="s">
        <v>364</v>
      </c>
      <c r="E131" s="42">
        <f t="shared" si="108"/>
        <v>0</v>
      </c>
      <c r="F131" s="43"/>
      <c r="G131" s="43"/>
      <c r="H131" s="43"/>
      <c r="I131" s="43"/>
      <c r="J131" s="42">
        <f t="shared" si="105"/>
        <v>0</v>
      </c>
      <c r="K131" s="43"/>
      <c r="L131" s="43"/>
      <c r="M131" s="43"/>
      <c r="N131" s="43"/>
      <c r="O131" s="44">
        <f t="shared" si="110"/>
        <v>0</v>
      </c>
      <c r="P131" s="42">
        <f t="shared" si="106"/>
        <v>0</v>
      </c>
      <c r="Q131" s="36"/>
      <c r="R131" s="30"/>
    </row>
    <row r="132" spans="1:20" ht="91.5" thickTop="1" thickBot="1" x14ac:dyDescent="0.25">
      <c r="A132" s="508" t="s">
        <v>156</v>
      </c>
      <c r="B132" s="508"/>
      <c r="C132" s="508"/>
      <c r="D132" s="509" t="s">
        <v>37</v>
      </c>
      <c r="E132" s="535">
        <f>E133</f>
        <v>299605971.27999997</v>
      </c>
      <c r="F132" s="510">
        <f t="shared" ref="F132:G132" si="128">F133</f>
        <v>299605971.27999997</v>
      </c>
      <c r="G132" s="510">
        <f t="shared" si="128"/>
        <v>97589513</v>
      </c>
      <c r="H132" s="510">
        <f>H133</f>
        <v>5027827</v>
      </c>
      <c r="I132" s="510">
        <f t="shared" ref="I132" si="129">I133</f>
        <v>0</v>
      </c>
      <c r="J132" s="535">
        <f>J133</f>
        <v>81731116.019999996</v>
      </c>
      <c r="K132" s="510">
        <f>K133</f>
        <v>75467856.019999996</v>
      </c>
      <c r="L132" s="510">
        <f>L133</f>
        <v>6239260</v>
      </c>
      <c r="M132" s="510">
        <f t="shared" ref="M132" si="130">M133</f>
        <v>2604685</v>
      </c>
      <c r="N132" s="510">
        <f>N133</f>
        <v>705805</v>
      </c>
      <c r="O132" s="535">
        <f>O133</f>
        <v>75491856.019999996</v>
      </c>
      <c r="P132" s="510">
        <f>P133</f>
        <v>381337087.29999995</v>
      </c>
      <c r="Q132" s="20"/>
    </row>
    <row r="133" spans="1:20" ht="91.5" thickTop="1" thickBot="1" x14ac:dyDescent="0.25">
      <c r="A133" s="511" t="s">
        <v>157</v>
      </c>
      <c r="B133" s="511"/>
      <c r="C133" s="511"/>
      <c r="D133" s="512" t="s">
        <v>38</v>
      </c>
      <c r="E133" s="513">
        <f>E134+E138+E179+E183</f>
        <v>299605971.27999997</v>
      </c>
      <c r="F133" s="513">
        <f>F134+F138+F179+F183</f>
        <v>299605971.27999997</v>
      </c>
      <c r="G133" s="513">
        <f>G134+G138+G179+G183</f>
        <v>97589513</v>
      </c>
      <c r="H133" s="513">
        <f>H134+H138+H179+H183</f>
        <v>5027827</v>
      </c>
      <c r="I133" s="513">
        <f>I134+I138+I179+I183</f>
        <v>0</v>
      </c>
      <c r="J133" s="513">
        <f t="shared" ref="J133:J159" si="131">L133+O133</f>
        <v>81731116.019999996</v>
      </c>
      <c r="K133" s="513">
        <f>K134+K138+K179+K183</f>
        <v>75467856.019999996</v>
      </c>
      <c r="L133" s="513">
        <f>L134+L138+L179+L183</f>
        <v>6239260</v>
      </c>
      <c r="M133" s="513">
        <f>M134+M138+M179+M183</f>
        <v>2604685</v>
      </c>
      <c r="N133" s="513">
        <f>N134+N138+N179+N183</f>
        <v>705805</v>
      </c>
      <c r="O133" s="513">
        <f>O134+O138+O179+O183</f>
        <v>75491856.019999996</v>
      </c>
      <c r="P133" s="513">
        <f>E133+J133</f>
        <v>381337087.29999995</v>
      </c>
      <c r="Q133" s="536" t="b">
        <f>P133=P135+P137+P140+P141+P142+P143+P144+P145+P146+P147+P149+P150+P152+P153+P155+P156+P158+P159+P175+P177+P178+P181</f>
        <v>1</v>
      </c>
      <c r="R133" s="46"/>
      <c r="S133" s="46"/>
      <c r="T133" s="45"/>
    </row>
    <row r="134" spans="1:20" ht="47.25" thickTop="1" thickBot="1" x14ac:dyDescent="0.25">
      <c r="A134" s="311" t="s">
        <v>728</v>
      </c>
      <c r="B134" s="311" t="s">
        <v>685</v>
      </c>
      <c r="C134" s="311"/>
      <c r="D134" s="311" t="s">
        <v>686</v>
      </c>
      <c r="E134" s="328">
        <f t="shared" ref="E134:P134" si="132">SUM(E135:E137)</f>
        <v>58832582</v>
      </c>
      <c r="F134" s="328">
        <f t="shared" si="132"/>
        <v>58832582</v>
      </c>
      <c r="G134" s="328">
        <f t="shared" si="132"/>
        <v>43735000</v>
      </c>
      <c r="H134" s="328">
        <f t="shared" si="132"/>
        <v>2080882</v>
      </c>
      <c r="I134" s="328">
        <f t="shared" si="132"/>
        <v>0</v>
      </c>
      <c r="J134" s="328">
        <f t="shared" si="132"/>
        <v>700000</v>
      </c>
      <c r="K134" s="328">
        <f t="shared" si="132"/>
        <v>700000</v>
      </c>
      <c r="L134" s="328">
        <f t="shared" si="132"/>
        <v>0</v>
      </c>
      <c r="M134" s="328">
        <f t="shared" si="132"/>
        <v>0</v>
      </c>
      <c r="N134" s="328">
        <f t="shared" si="132"/>
        <v>0</v>
      </c>
      <c r="O134" s="328">
        <f t="shared" si="132"/>
        <v>700000</v>
      </c>
      <c r="P134" s="328">
        <f t="shared" si="132"/>
        <v>59532582</v>
      </c>
      <c r="Q134" s="47"/>
      <c r="R134" s="46"/>
      <c r="T134" s="45"/>
    </row>
    <row r="135" spans="1:20" ht="93" thickTop="1" thickBot="1" x14ac:dyDescent="0.25">
      <c r="A135" s="103" t="s">
        <v>415</v>
      </c>
      <c r="B135" s="103" t="s">
        <v>236</v>
      </c>
      <c r="C135" s="103" t="s">
        <v>234</v>
      </c>
      <c r="D135" s="103" t="s">
        <v>235</v>
      </c>
      <c r="E135" s="328">
        <f t="shared" ref="E135" si="133">F135</f>
        <v>58802582</v>
      </c>
      <c r="F135" s="477">
        <v>58802582</v>
      </c>
      <c r="G135" s="477">
        <v>43735000</v>
      </c>
      <c r="H135" s="477">
        <v>2080882</v>
      </c>
      <c r="I135" s="477"/>
      <c r="J135" s="328">
        <f t="shared" si="131"/>
        <v>700000</v>
      </c>
      <c r="K135" s="477">
        <v>700000</v>
      </c>
      <c r="L135" s="477"/>
      <c r="M135" s="477"/>
      <c r="N135" s="477"/>
      <c r="O135" s="474">
        <f>K135</f>
        <v>700000</v>
      </c>
      <c r="P135" s="328">
        <f t="shared" ref="P135:P150" si="134">E135+J135</f>
        <v>59502582</v>
      </c>
      <c r="Q135" s="47"/>
      <c r="R135" s="46"/>
      <c r="T135" s="45"/>
    </row>
    <row r="136" spans="1:20" ht="93" hidden="1" thickTop="1" thickBot="1" x14ac:dyDescent="0.25">
      <c r="A136" s="103" t="s">
        <v>629</v>
      </c>
      <c r="B136" s="103" t="s">
        <v>362</v>
      </c>
      <c r="C136" s="103" t="s">
        <v>626</v>
      </c>
      <c r="D136" s="103" t="s">
        <v>627</v>
      </c>
      <c r="E136" s="328">
        <f t="shared" ref="E136:E137" si="135">F136</f>
        <v>0</v>
      </c>
      <c r="F136" s="477">
        <v>0</v>
      </c>
      <c r="G136" s="477"/>
      <c r="H136" s="477"/>
      <c r="I136" s="477"/>
      <c r="J136" s="328">
        <f t="shared" ref="J136:J137" si="136">L136+O136</f>
        <v>0</v>
      </c>
      <c r="K136" s="477"/>
      <c r="L136" s="477"/>
      <c r="M136" s="477"/>
      <c r="N136" s="477"/>
      <c r="O136" s="474">
        <f>K136</f>
        <v>0</v>
      </c>
      <c r="P136" s="328">
        <f t="shared" ref="P136:P137" si="137">E136+J136</f>
        <v>0</v>
      </c>
      <c r="Q136" s="47"/>
      <c r="R136" s="46"/>
      <c r="T136" s="45"/>
    </row>
    <row r="137" spans="1:20" ht="48" thickTop="1" thickBot="1" x14ac:dyDescent="0.25">
      <c r="A137" s="103" t="s">
        <v>921</v>
      </c>
      <c r="B137" s="103" t="s">
        <v>43</v>
      </c>
      <c r="C137" s="103" t="s">
        <v>42</v>
      </c>
      <c r="D137" s="103" t="s">
        <v>248</v>
      </c>
      <c r="E137" s="328">
        <f t="shared" si="135"/>
        <v>30000</v>
      </c>
      <c r="F137" s="477">
        <v>30000</v>
      </c>
      <c r="G137" s="477"/>
      <c r="H137" s="477"/>
      <c r="I137" s="477"/>
      <c r="J137" s="328">
        <f t="shared" si="136"/>
        <v>0</v>
      </c>
      <c r="K137" s="477"/>
      <c r="L137" s="477"/>
      <c r="M137" s="477"/>
      <c r="N137" s="477"/>
      <c r="O137" s="474"/>
      <c r="P137" s="328">
        <f t="shared" si="137"/>
        <v>30000</v>
      </c>
      <c r="Q137" s="47"/>
      <c r="R137" s="46"/>
      <c r="T137" s="45"/>
    </row>
    <row r="138" spans="1:20" ht="47.25" thickTop="1" thickBot="1" x14ac:dyDescent="0.25">
      <c r="A138" s="311" t="s">
        <v>729</v>
      </c>
      <c r="B138" s="311" t="s">
        <v>712</v>
      </c>
      <c r="C138" s="311"/>
      <c r="D138" s="311" t="s">
        <v>713</v>
      </c>
      <c r="E138" s="328">
        <f t="shared" ref="E138:P138" si="138">SUM(E139:E178)-E139-E148-E157-E160-E176-E154-E151</f>
        <v>240773389.27999997</v>
      </c>
      <c r="F138" s="328">
        <f t="shared" si="138"/>
        <v>240773389.27999997</v>
      </c>
      <c r="G138" s="328">
        <f t="shared" si="138"/>
        <v>53854513</v>
      </c>
      <c r="H138" s="328">
        <f t="shared" si="138"/>
        <v>2946945</v>
      </c>
      <c r="I138" s="328">
        <f t="shared" si="138"/>
        <v>0</v>
      </c>
      <c r="J138" s="328">
        <f t="shared" si="138"/>
        <v>61031116.019999996</v>
      </c>
      <c r="K138" s="328">
        <f t="shared" si="138"/>
        <v>54767856.019999996</v>
      </c>
      <c r="L138" s="328">
        <f t="shared" si="138"/>
        <v>6239260</v>
      </c>
      <c r="M138" s="328">
        <f t="shared" si="138"/>
        <v>2604685</v>
      </c>
      <c r="N138" s="328">
        <f t="shared" si="138"/>
        <v>705805</v>
      </c>
      <c r="O138" s="328">
        <f t="shared" si="138"/>
        <v>54791856.019999996</v>
      </c>
      <c r="P138" s="328">
        <f t="shared" si="138"/>
        <v>301804505.29999995</v>
      </c>
      <c r="Q138" s="47"/>
      <c r="R138" s="46"/>
      <c r="T138" s="45"/>
    </row>
    <row r="139" spans="1:20" ht="138.75" thickTop="1" thickBot="1" x14ac:dyDescent="0.25">
      <c r="A139" s="329" t="s">
        <v>730</v>
      </c>
      <c r="B139" s="329" t="s">
        <v>731</v>
      </c>
      <c r="C139" s="329"/>
      <c r="D139" s="329" t="s">
        <v>732</v>
      </c>
      <c r="E139" s="325">
        <f>SUM(E140:E144)</f>
        <v>79385000</v>
      </c>
      <c r="F139" s="325">
        <f t="shared" ref="F139:P139" si="139">SUM(F140:F144)</f>
        <v>79385000</v>
      </c>
      <c r="G139" s="325">
        <f t="shared" si="139"/>
        <v>0</v>
      </c>
      <c r="H139" s="325">
        <f t="shared" si="139"/>
        <v>0</v>
      </c>
      <c r="I139" s="325">
        <f t="shared" si="139"/>
        <v>0</v>
      </c>
      <c r="J139" s="325">
        <f t="shared" si="139"/>
        <v>0</v>
      </c>
      <c r="K139" s="325">
        <f t="shared" si="139"/>
        <v>0</v>
      </c>
      <c r="L139" s="325">
        <f t="shared" si="139"/>
        <v>0</v>
      </c>
      <c r="M139" s="325">
        <f t="shared" si="139"/>
        <v>0</v>
      </c>
      <c r="N139" s="325">
        <f t="shared" si="139"/>
        <v>0</v>
      </c>
      <c r="O139" s="325">
        <f t="shared" si="139"/>
        <v>0</v>
      </c>
      <c r="P139" s="325">
        <f t="shared" si="139"/>
        <v>79385000</v>
      </c>
      <c r="Q139" s="150"/>
      <c r="R139" s="48"/>
      <c r="T139" s="49"/>
    </row>
    <row r="140" spans="1:20" s="33" customFormat="1" ht="93" thickTop="1" thickBot="1" x14ac:dyDescent="0.25">
      <c r="A140" s="103" t="s">
        <v>269</v>
      </c>
      <c r="B140" s="103" t="s">
        <v>270</v>
      </c>
      <c r="C140" s="103" t="s">
        <v>205</v>
      </c>
      <c r="D140" s="330" t="s">
        <v>271</v>
      </c>
      <c r="E140" s="328">
        <f>F140</f>
        <v>835000</v>
      </c>
      <c r="F140" s="477">
        <v>835000</v>
      </c>
      <c r="G140" s="477"/>
      <c r="H140" s="477"/>
      <c r="I140" s="477"/>
      <c r="J140" s="328">
        <f t="shared" si="131"/>
        <v>0</v>
      </c>
      <c r="K140" s="477"/>
      <c r="L140" s="477"/>
      <c r="M140" s="477"/>
      <c r="N140" s="477"/>
      <c r="O140" s="474">
        <f t="shared" ref="O140:O159" si="140">K140</f>
        <v>0</v>
      </c>
      <c r="P140" s="328">
        <f t="shared" si="134"/>
        <v>835000</v>
      </c>
      <c r="Q140" s="36"/>
      <c r="R140" s="46"/>
    </row>
    <row r="141" spans="1:20" s="33" customFormat="1" ht="48" thickTop="1" thickBot="1" x14ac:dyDescent="0.25">
      <c r="A141" s="103" t="s">
        <v>272</v>
      </c>
      <c r="B141" s="103" t="s">
        <v>273</v>
      </c>
      <c r="C141" s="103" t="s">
        <v>206</v>
      </c>
      <c r="D141" s="103" t="s">
        <v>6</v>
      </c>
      <c r="E141" s="328">
        <f t="shared" ref="E141:E190" si="141">F141</f>
        <v>650000</v>
      </c>
      <c r="F141" s="477">
        <v>650000</v>
      </c>
      <c r="G141" s="477"/>
      <c r="H141" s="477"/>
      <c r="I141" s="477"/>
      <c r="J141" s="328">
        <f t="shared" si="131"/>
        <v>0</v>
      </c>
      <c r="K141" s="477"/>
      <c r="L141" s="477"/>
      <c r="M141" s="477"/>
      <c r="N141" s="477"/>
      <c r="O141" s="474">
        <f t="shared" si="140"/>
        <v>0</v>
      </c>
      <c r="P141" s="328">
        <f t="shared" si="134"/>
        <v>650000</v>
      </c>
      <c r="Q141" s="36"/>
      <c r="R141" s="50"/>
    </row>
    <row r="142" spans="1:20" s="33" customFormat="1" ht="93" thickTop="1" thickBot="1" x14ac:dyDescent="0.25">
      <c r="A142" s="103" t="s">
        <v>275</v>
      </c>
      <c r="B142" s="103" t="s">
        <v>276</v>
      </c>
      <c r="C142" s="103" t="s">
        <v>206</v>
      </c>
      <c r="D142" s="103" t="s">
        <v>7</v>
      </c>
      <c r="E142" s="328">
        <f t="shared" si="141"/>
        <v>19200000</v>
      </c>
      <c r="F142" s="477">
        <v>19200000</v>
      </c>
      <c r="G142" s="477"/>
      <c r="H142" s="477"/>
      <c r="I142" s="477"/>
      <c r="J142" s="328">
        <f t="shared" si="131"/>
        <v>0</v>
      </c>
      <c r="K142" s="477"/>
      <c r="L142" s="477"/>
      <c r="M142" s="477"/>
      <c r="N142" s="477"/>
      <c r="O142" s="474">
        <f t="shared" si="140"/>
        <v>0</v>
      </c>
      <c r="P142" s="328">
        <f t="shared" si="134"/>
        <v>19200000</v>
      </c>
      <c r="Q142" s="36"/>
      <c r="R142" s="50"/>
    </row>
    <row r="143" spans="1:20" s="33" customFormat="1" ht="93" thickTop="1" thickBot="1" x14ac:dyDescent="0.25">
      <c r="A143" s="103" t="s">
        <v>277</v>
      </c>
      <c r="B143" s="103" t="s">
        <v>274</v>
      </c>
      <c r="C143" s="103" t="s">
        <v>206</v>
      </c>
      <c r="D143" s="103" t="s">
        <v>8</v>
      </c>
      <c r="E143" s="328">
        <f t="shared" si="141"/>
        <v>700000</v>
      </c>
      <c r="F143" s="477">
        <v>700000</v>
      </c>
      <c r="G143" s="477"/>
      <c r="H143" s="477"/>
      <c r="I143" s="477"/>
      <c r="J143" s="328">
        <f t="shared" si="131"/>
        <v>0</v>
      </c>
      <c r="K143" s="477"/>
      <c r="L143" s="477"/>
      <c r="M143" s="477"/>
      <c r="N143" s="477"/>
      <c r="O143" s="474">
        <f t="shared" si="140"/>
        <v>0</v>
      </c>
      <c r="P143" s="328">
        <f t="shared" si="134"/>
        <v>700000</v>
      </c>
      <c r="Q143" s="36"/>
      <c r="R143" s="50"/>
    </row>
    <row r="144" spans="1:20" s="33" customFormat="1" ht="93" thickTop="1" thickBot="1" x14ac:dyDescent="0.25">
      <c r="A144" s="103" t="s">
        <v>278</v>
      </c>
      <c r="B144" s="103" t="s">
        <v>279</v>
      </c>
      <c r="C144" s="103" t="s">
        <v>206</v>
      </c>
      <c r="D144" s="103" t="s">
        <v>9</v>
      </c>
      <c r="E144" s="328">
        <f t="shared" si="141"/>
        <v>58000000</v>
      </c>
      <c r="F144" s="477">
        <v>58000000</v>
      </c>
      <c r="G144" s="477"/>
      <c r="H144" s="477"/>
      <c r="I144" s="477"/>
      <c r="J144" s="328">
        <f t="shared" si="131"/>
        <v>0</v>
      </c>
      <c r="K144" s="477"/>
      <c r="L144" s="477"/>
      <c r="M144" s="477"/>
      <c r="N144" s="477"/>
      <c r="O144" s="474">
        <f t="shared" si="140"/>
        <v>0</v>
      </c>
      <c r="P144" s="328">
        <f t="shared" si="134"/>
        <v>58000000</v>
      </c>
      <c r="Q144" s="36"/>
      <c r="R144" s="50"/>
    </row>
    <row r="145" spans="1:18" s="33" customFormat="1" ht="93" thickTop="1" thickBot="1" x14ac:dyDescent="0.25">
      <c r="A145" s="103" t="s">
        <v>478</v>
      </c>
      <c r="B145" s="103" t="s">
        <v>479</v>
      </c>
      <c r="C145" s="103" t="s">
        <v>206</v>
      </c>
      <c r="D145" s="103" t="s">
        <v>480</v>
      </c>
      <c r="E145" s="328">
        <f t="shared" si="141"/>
        <v>362971</v>
      </c>
      <c r="F145" s="477">
        <v>362971</v>
      </c>
      <c r="G145" s="477"/>
      <c r="H145" s="477"/>
      <c r="I145" s="477"/>
      <c r="J145" s="328">
        <f t="shared" si="131"/>
        <v>0</v>
      </c>
      <c r="K145" s="477"/>
      <c r="L145" s="477"/>
      <c r="M145" s="477"/>
      <c r="N145" s="477"/>
      <c r="O145" s="474">
        <f t="shared" si="140"/>
        <v>0</v>
      </c>
      <c r="P145" s="328">
        <f t="shared" si="134"/>
        <v>362971</v>
      </c>
      <c r="Q145" s="36"/>
      <c r="R145" s="50"/>
    </row>
    <row r="146" spans="1:18" s="33" customFormat="1" ht="93" thickTop="1" thickBot="1" x14ac:dyDescent="0.25">
      <c r="A146" s="103" t="s">
        <v>922</v>
      </c>
      <c r="B146" s="103" t="s">
        <v>923</v>
      </c>
      <c r="C146" s="103" t="s">
        <v>206</v>
      </c>
      <c r="D146" s="103" t="s">
        <v>924</v>
      </c>
      <c r="E146" s="328">
        <f t="shared" ref="E146" si="142">F146</f>
        <v>1500000</v>
      </c>
      <c r="F146" s="477">
        <v>1500000</v>
      </c>
      <c r="G146" s="477"/>
      <c r="H146" s="477"/>
      <c r="I146" s="477"/>
      <c r="J146" s="328">
        <f t="shared" ref="J146" si="143">L146+O146</f>
        <v>0</v>
      </c>
      <c r="K146" s="477"/>
      <c r="L146" s="477"/>
      <c r="M146" s="477"/>
      <c r="N146" s="477"/>
      <c r="O146" s="474">
        <f t="shared" ref="O146" si="144">K146</f>
        <v>0</v>
      </c>
      <c r="P146" s="328">
        <f t="shared" ref="P146" si="145">E146+J146</f>
        <v>1500000</v>
      </c>
      <c r="Q146" s="36"/>
      <c r="R146" s="50"/>
    </row>
    <row r="147" spans="1:18" ht="93" thickTop="1" thickBot="1" x14ac:dyDescent="0.25">
      <c r="A147" s="103" t="s">
        <v>481</v>
      </c>
      <c r="B147" s="103" t="s">
        <v>482</v>
      </c>
      <c r="C147" s="103" t="s">
        <v>205</v>
      </c>
      <c r="D147" s="103" t="s">
        <v>483</v>
      </c>
      <c r="E147" s="328">
        <f t="shared" si="141"/>
        <v>470456</v>
      </c>
      <c r="F147" s="477">
        <v>470456</v>
      </c>
      <c r="G147" s="477"/>
      <c r="H147" s="477"/>
      <c r="I147" s="477"/>
      <c r="J147" s="328">
        <f t="shared" si="131"/>
        <v>0</v>
      </c>
      <c r="K147" s="477"/>
      <c r="L147" s="477"/>
      <c r="M147" s="477"/>
      <c r="N147" s="477"/>
      <c r="O147" s="474">
        <f>K147</f>
        <v>0</v>
      </c>
      <c r="P147" s="328">
        <f t="shared" si="134"/>
        <v>470456</v>
      </c>
      <c r="Q147" s="20"/>
      <c r="R147" s="50"/>
    </row>
    <row r="148" spans="1:18" s="33" customFormat="1" ht="138.75" thickTop="1" thickBot="1" x14ac:dyDescent="0.25">
      <c r="A148" s="329" t="s">
        <v>733</v>
      </c>
      <c r="B148" s="329" t="s">
        <v>734</v>
      </c>
      <c r="C148" s="329"/>
      <c r="D148" s="329" t="s">
        <v>735</v>
      </c>
      <c r="E148" s="325">
        <f>SUM(E149:E150)</f>
        <v>64809834</v>
      </c>
      <c r="F148" s="325">
        <f t="shared" ref="F148:P148" si="146">SUM(F149:F150)</f>
        <v>64809834</v>
      </c>
      <c r="G148" s="325">
        <f t="shared" si="146"/>
        <v>34554767</v>
      </c>
      <c r="H148" s="325">
        <f t="shared" si="146"/>
        <v>1314219</v>
      </c>
      <c r="I148" s="325">
        <f t="shared" si="146"/>
        <v>0</v>
      </c>
      <c r="J148" s="325">
        <f t="shared" si="146"/>
        <v>1271000</v>
      </c>
      <c r="K148" s="325">
        <f t="shared" si="146"/>
        <v>0</v>
      </c>
      <c r="L148" s="325">
        <f t="shared" si="146"/>
        <v>1271000</v>
      </c>
      <c r="M148" s="325">
        <f t="shared" si="146"/>
        <v>719000</v>
      </c>
      <c r="N148" s="325">
        <f t="shared" si="146"/>
        <v>150000</v>
      </c>
      <c r="O148" s="325">
        <f t="shared" si="146"/>
        <v>0</v>
      </c>
      <c r="P148" s="325">
        <f t="shared" si="146"/>
        <v>66080834</v>
      </c>
      <c r="Q148" s="36"/>
      <c r="R148" s="51"/>
    </row>
    <row r="149" spans="1:18" ht="138.75" thickTop="1" thickBot="1" x14ac:dyDescent="0.25">
      <c r="A149" s="103" t="s">
        <v>267</v>
      </c>
      <c r="B149" s="103" t="s">
        <v>265</v>
      </c>
      <c r="C149" s="103" t="s">
        <v>200</v>
      </c>
      <c r="D149" s="103" t="s">
        <v>17</v>
      </c>
      <c r="E149" s="328">
        <f t="shared" si="141"/>
        <v>53499099</v>
      </c>
      <c r="F149" s="477">
        <v>53499099</v>
      </c>
      <c r="G149" s="477">
        <v>26679366</v>
      </c>
      <c r="H149" s="477">
        <f>441924+19130+141000+10800</f>
        <v>612854</v>
      </c>
      <c r="I149" s="477"/>
      <c r="J149" s="328">
        <f t="shared" si="131"/>
        <v>1271000</v>
      </c>
      <c r="K149" s="477">
        <v>0</v>
      </c>
      <c r="L149" s="477">
        <v>1271000</v>
      </c>
      <c r="M149" s="477">
        <v>719000</v>
      </c>
      <c r="N149" s="477">
        <f>70000+10000+70000</f>
        <v>150000</v>
      </c>
      <c r="O149" s="474">
        <f>K149</f>
        <v>0</v>
      </c>
      <c r="P149" s="328">
        <f t="shared" si="134"/>
        <v>54770099</v>
      </c>
      <c r="Q149" s="20"/>
      <c r="R149" s="46"/>
    </row>
    <row r="150" spans="1:18" ht="93" thickTop="1" thickBot="1" x14ac:dyDescent="0.25">
      <c r="A150" s="103" t="s">
        <v>268</v>
      </c>
      <c r="B150" s="103" t="s">
        <v>266</v>
      </c>
      <c r="C150" s="103" t="s">
        <v>199</v>
      </c>
      <c r="D150" s="103" t="s">
        <v>455</v>
      </c>
      <c r="E150" s="328">
        <f t="shared" si="141"/>
        <v>11310735</v>
      </c>
      <c r="F150" s="477">
        <v>11310735</v>
      </c>
      <c r="G150" s="477">
        <f>4675746+3199655</f>
        <v>7875401</v>
      </c>
      <c r="H150" s="477">
        <f>299371+9225+63300+833+266401+8754+53172+309</f>
        <v>701365</v>
      </c>
      <c r="I150" s="477"/>
      <c r="J150" s="328">
        <f t="shared" si="131"/>
        <v>0</v>
      </c>
      <c r="K150" s="477">
        <v>0</v>
      </c>
      <c r="L150" s="477"/>
      <c r="M150" s="477"/>
      <c r="N150" s="477"/>
      <c r="O150" s="474">
        <f t="shared" si="140"/>
        <v>0</v>
      </c>
      <c r="P150" s="328">
        <f t="shared" si="134"/>
        <v>11310735</v>
      </c>
      <c r="Q150" s="20"/>
      <c r="R150" s="46"/>
    </row>
    <row r="151" spans="1:18" ht="48" thickTop="1" thickBot="1" x14ac:dyDescent="0.25">
      <c r="A151" s="329" t="s">
        <v>1027</v>
      </c>
      <c r="B151" s="329" t="s">
        <v>766</v>
      </c>
      <c r="C151" s="329"/>
      <c r="D151" s="329" t="s">
        <v>767</v>
      </c>
      <c r="E151" s="325">
        <f>E152</f>
        <v>10726813</v>
      </c>
      <c r="F151" s="325">
        <f t="shared" ref="F151:P151" si="147">F152</f>
        <v>10726813</v>
      </c>
      <c r="G151" s="325">
        <f t="shared" si="147"/>
        <v>7875924</v>
      </c>
      <c r="H151" s="325">
        <f t="shared" si="147"/>
        <v>282015</v>
      </c>
      <c r="I151" s="325">
        <f t="shared" si="147"/>
        <v>0</v>
      </c>
      <c r="J151" s="325">
        <f t="shared" si="147"/>
        <v>0</v>
      </c>
      <c r="K151" s="325">
        <f t="shared" si="147"/>
        <v>0</v>
      </c>
      <c r="L151" s="325">
        <f t="shared" si="147"/>
        <v>0</v>
      </c>
      <c r="M151" s="325">
        <f t="shared" si="147"/>
        <v>0</v>
      </c>
      <c r="N151" s="325">
        <f t="shared" si="147"/>
        <v>0</v>
      </c>
      <c r="O151" s="325">
        <f t="shared" si="147"/>
        <v>0</v>
      </c>
      <c r="P151" s="325">
        <f t="shared" si="147"/>
        <v>10726813</v>
      </c>
      <c r="Q151" s="20"/>
      <c r="R151" s="46"/>
    </row>
    <row r="152" spans="1:18" ht="48" thickTop="1" thickBot="1" x14ac:dyDescent="0.25">
      <c r="A152" s="103" t="s">
        <v>1225</v>
      </c>
      <c r="B152" s="103" t="s">
        <v>184</v>
      </c>
      <c r="C152" s="103" t="s">
        <v>185</v>
      </c>
      <c r="D152" s="103" t="s">
        <v>639</v>
      </c>
      <c r="E152" s="312">
        <f t="shared" ref="E152" si="148">F152</f>
        <v>10726813</v>
      </c>
      <c r="F152" s="326">
        <v>10726813</v>
      </c>
      <c r="G152" s="326">
        <v>7875924</v>
      </c>
      <c r="H152" s="326">
        <f>120805+10790+84400+66020</f>
        <v>282015</v>
      </c>
      <c r="I152" s="326"/>
      <c r="J152" s="328">
        <f t="shared" ref="J152" si="149">L152+O152</f>
        <v>0</v>
      </c>
      <c r="K152" s="326"/>
      <c r="L152" s="473"/>
      <c r="M152" s="473"/>
      <c r="N152" s="473"/>
      <c r="O152" s="474">
        <f t="shared" ref="O152" si="150">K152</f>
        <v>0</v>
      </c>
      <c r="P152" s="328">
        <f>+J152+E152</f>
        <v>10726813</v>
      </c>
      <c r="Q152" s="20"/>
      <c r="R152" s="46"/>
    </row>
    <row r="153" spans="1:18" ht="184.5" thickTop="1" thickBot="1" x14ac:dyDescent="0.25">
      <c r="A153" s="103" t="s">
        <v>263</v>
      </c>
      <c r="B153" s="103" t="s">
        <v>264</v>
      </c>
      <c r="C153" s="103" t="s">
        <v>199</v>
      </c>
      <c r="D153" s="103" t="s">
        <v>453</v>
      </c>
      <c r="E153" s="328">
        <f t="shared" si="141"/>
        <v>5126500</v>
      </c>
      <c r="F153" s="477">
        <v>5126500</v>
      </c>
      <c r="G153" s="477"/>
      <c r="H153" s="477"/>
      <c r="I153" s="477"/>
      <c r="J153" s="328">
        <f t="shared" si="131"/>
        <v>0</v>
      </c>
      <c r="K153" s="328"/>
      <c r="L153" s="477"/>
      <c r="M153" s="477"/>
      <c r="N153" s="477"/>
      <c r="O153" s="474">
        <f t="shared" si="140"/>
        <v>0</v>
      </c>
      <c r="P153" s="328">
        <f>+J153+E153</f>
        <v>5126500</v>
      </c>
      <c r="Q153" s="20"/>
      <c r="R153" s="50"/>
    </row>
    <row r="154" spans="1:18" ht="48" thickTop="1" thickBot="1" x14ac:dyDescent="0.25">
      <c r="A154" s="329" t="s">
        <v>883</v>
      </c>
      <c r="B154" s="329" t="s">
        <v>884</v>
      </c>
      <c r="C154" s="329"/>
      <c r="D154" s="329" t="s">
        <v>885</v>
      </c>
      <c r="E154" s="325">
        <f t="shared" si="141"/>
        <v>184607</v>
      </c>
      <c r="F154" s="325">
        <f>F155</f>
        <v>184607</v>
      </c>
      <c r="G154" s="325">
        <f t="shared" ref="G154:I154" si="151">G155</f>
        <v>0</v>
      </c>
      <c r="H154" s="325">
        <f t="shared" si="151"/>
        <v>0</v>
      </c>
      <c r="I154" s="325">
        <f t="shared" si="151"/>
        <v>0</v>
      </c>
      <c r="J154" s="325">
        <f t="shared" si="131"/>
        <v>0</v>
      </c>
      <c r="K154" s="325">
        <f t="shared" ref="K154:N154" si="152">K155</f>
        <v>0</v>
      </c>
      <c r="L154" s="325">
        <f t="shared" si="152"/>
        <v>0</v>
      </c>
      <c r="M154" s="325">
        <f t="shared" si="152"/>
        <v>0</v>
      </c>
      <c r="N154" s="325">
        <f t="shared" si="152"/>
        <v>0</v>
      </c>
      <c r="O154" s="325">
        <f t="shared" si="140"/>
        <v>0</v>
      </c>
      <c r="P154" s="325">
        <f>+J154+E154</f>
        <v>184607</v>
      </c>
      <c r="Q154" s="20"/>
      <c r="R154" s="50"/>
    </row>
    <row r="155" spans="1:18" ht="93" thickTop="1" thickBot="1" x14ac:dyDescent="0.25">
      <c r="A155" s="103" t="s">
        <v>484</v>
      </c>
      <c r="B155" s="103" t="s">
        <v>485</v>
      </c>
      <c r="C155" s="103" t="s">
        <v>199</v>
      </c>
      <c r="D155" s="103" t="s">
        <v>486</v>
      </c>
      <c r="E155" s="328">
        <f t="shared" si="141"/>
        <v>184607</v>
      </c>
      <c r="F155" s="477">
        <v>184607</v>
      </c>
      <c r="G155" s="477"/>
      <c r="H155" s="477"/>
      <c r="I155" s="477"/>
      <c r="J155" s="328">
        <f t="shared" si="131"/>
        <v>0</v>
      </c>
      <c r="K155" s="328"/>
      <c r="L155" s="477"/>
      <c r="M155" s="477"/>
      <c r="N155" s="477"/>
      <c r="O155" s="474">
        <f t="shared" si="140"/>
        <v>0</v>
      </c>
      <c r="P155" s="328">
        <f>+J155+E155</f>
        <v>184607</v>
      </c>
      <c r="Q155" s="20"/>
      <c r="R155" s="50"/>
    </row>
    <row r="156" spans="1:18" ht="138.75" thickTop="1" thickBot="1" x14ac:dyDescent="0.25">
      <c r="A156" s="103" t="s">
        <v>348</v>
      </c>
      <c r="B156" s="103" t="s">
        <v>347</v>
      </c>
      <c r="C156" s="103" t="s">
        <v>50</v>
      </c>
      <c r="D156" s="103" t="s">
        <v>454</v>
      </c>
      <c r="E156" s="328">
        <f t="shared" si="141"/>
        <v>2687933.28</v>
      </c>
      <c r="F156" s="477">
        <v>2687933.28</v>
      </c>
      <c r="G156" s="477"/>
      <c r="H156" s="477"/>
      <c r="I156" s="477"/>
      <c r="J156" s="328">
        <f t="shared" si="131"/>
        <v>0</v>
      </c>
      <c r="K156" s="328"/>
      <c r="L156" s="477"/>
      <c r="M156" s="477"/>
      <c r="N156" s="477"/>
      <c r="O156" s="474">
        <f t="shared" si="140"/>
        <v>0</v>
      </c>
      <c r="P156" s="328">
        <f>E156+J156</f>
        <v>2687933.28</v>
      </c>
      <c r="Q156" s="20"/>
      <c r="R156" s="50"/>
    </row>
    <row r="157" spans="1:18" s="33" customFormat="1" ht="48" thickTop="1" thickBot="1" x14ac:dyDescent="0.25">
      <c r="A157" s="329" t="s">
        <v>736</v>
      </c>
      <c r="B157" s="329" t="s">
        <v>737</v>
      </c>
      <c r="C157" s="329"/>
      <c r="D157" s="329" t="s">
        <v>738</v>
      </c>
      <c r="E157" s="325">
        <f>E158</f>
        <v>1000000</v>
      </c>
      <c r="F157" s="325">
        <f t="shared" ref="F157:P157" si="153">F158</f>
        <v>1000000</v>
      </c>
      <c r="G157" s="325">
        <f t="shared" si="153"/>
        <v>0</v>
      </c>
      <c r="H157" s="325">
        <f t="shared" si="153"/>
        <v>0</v>
      </c>
      <c r="I157" s="325">
        <f t="shared" si="153"/>
        <v>0</v>
      </c>
      <c r="J157" s="325">
        <f t="shared" si="153"/>
        <v>0</v>
      </c>
      <c r="K157" s="325">
        <f t="shared" si="153"/>
        <v>0</v>
      </c>
      <c r="L157" s="325">
        <f t="shared" si="153"/>
        <v>0</v>
      </c>
      <c r="M157" s="325">
        <f t="shared" si="153"/>
        <v>0</v>
      </c>
      <c r="N157" s="325">
        <f t="shared" si="153"/>
        <v>0</v>
      </c>
      <c r="O157" s="325">
        <f t="shared" si="153"/>
        <v>0</v>
      </c>
      <c r="P157" s="325">
        <f t="shared" si="153"/>
        <v>1000000</v>
      </c>
      <c r="Q157" s="36"/>
      <c r="R157" s="51"/>
    </row>
    <row r="158" spans="1:18" ht="93" thickTop="1" thickBot="1" x14ac:dyDescent="0.25">
      <c r="A158" s="103" t="s">
        <v>325</v>
      </c>
      <c r="B158" s="103" t="s">
        <v>326</v>
      </c>
      <c r="C158" s="103" t="s">
        <v>205</v>
      </c>
      <c r="D158" s="103" t="s">
        <v>636</v>
      </c>
      <c r="E158" s="328">
        <f t="shared" si="141"/>
        <v>1000000</v>
      </c>
      <c r="F158" s="477">
        <v>1000000</v>
      </c>
      <c r="G158" s="477"/>
      <c r="H158" s="477"/>
      <c r="I158" s="477"/>
      <c r="J158" s="328">
        <f t="shared" si="131"/>
        <v>0</v>
      </c>
      <c r="K158" s="477"/>
      <c r="L158" s="477"/>
      <c r="M158" s="477"/>
      <c r="N158" s="477"/>
      <c r="O158" s="474">
        <f t="shared" si="140"/>
        <v>0</v>
      </c>
      <c r="P158" s="328">
        <f>E158+J158</f>
        <v>1000000</v>
      </c>
      <c r="Q158" s="20"/>
      <c r="R158" s="50"/>
    </row>
    <row r="159" spans="1:18" ht="48" thickTop="1" thickBot="1" x14ac:dyDescent="0.25">
      <c r="A159" s="103" t="s">
        <v>428</v>
      </c>
      <c r="B159" s="103" t="s">
        <v>372</v>
      </c>
      <c r="C159" s="103" t="s">
        <v>373</v>
      </c>
      <c r="D159" s="103" t="s">
        <v>371</v>
      </c>
      <c r="E159" s="591">
        <f t="shared" si="141"/>
        <v>117000</v>
      </c>
      <c r="F159" s="477">
        <v>117000</v>
      </c>
      <c r="G159" s="477">
        <v>90000</v>
      </c>
      <c r="H159" s="477"/>
      <c r="I159" s="477"/>
      <c r="J159" s="328">
        <f t="shared" si="131"/>
        <v>0</v>
      </c>
      <c r="K159" s="477"/>
      <c r="L159" s="477"/>
      <c r="M159" s="477"/>
      <c r="N159" s="477"/>
      <c r="O159" s="474">
        <f t="shared" si="140"/>
        <v>0</v>
      </c>
      <c r="P159" s="328">
        <f>E159+J159</f>
        <v>117000</v>
      </c>
      <c r="Q159" s="20"/>
      <c r="R159" s="50"/>
    </row>
    <row r="160" spans="1:18" ht="93" hidden="1" thickTop="1" thickBot="1" x14ac:dyDescent="0.25">
      <c r="A160" s="140" t="s">
        <v>1067</v>
      </c>
      <c r="B160" s="140" t="s">
        <v>1068</v>
      </c>
      <c r="C160" s="140"/>
      <c r="D160" s="140" t="s">
        <v>1066</v>
      </c>
      <c r="E160" s="141">
        <f>E161+E165+E169+E172</f>
        <v>0</v>
      </c>
      <c r="F160" s="141">
        <f t="shared" ref="F160:P160" si="154">F161+F165+F169+F172</f>
        <v>0</v>
      </c>
      <c r="G160" s="141">
        <f t="shared" si="154"/>
        <v>0</v>
      </c>
      <c r="H160" s="141">
        <f t="shared" si="154"/>
        <v>0</v>
      </c>
      <c r="I160" s="141">
        <f t="shared" si="154"/>
        <v>0</v>
      </c>
      <c r="J160" s="141">
        <f t="shared" si="154"/>
        <v>0</v>
      </c>
      <c r="K160" s="141">
        <f t="shared" si="154"/>
        <v>0</v>
      </c>
      <c r="L160" s="141">
        <f t="shared" si="154"/>
        <v>0</v>
      </c>
      <c r="M160" s="141">
        <f t="shared" si="154"/>
        <v>0</v>
      </c>
      <c r="N160" s="141">
        <f t="shared" si="154"/>
        <v>0</v>
      </c>
      <c r="O160" s="141">
        <f t="shared" si="154"/>
        <v>0</v>
      </c>
      <c r="P160" s="141">
        <f t="shared" si="154"/>
        <v>0</v>
      </c>
      <c r="Q160" s="20"/>
      <c r="R160" s="50"/>
    </row>
    <row r="161" spans="1:18" ht="256.5" hidden="1" customHeight="1" thickTop="1" x14ac:dyDescent="0.65">
      <c r="A161" s="757" t="s">
        <v>1069</v>
      </c>
      <c r="B161" s="757" t="s">
        <v>1070</v>
      </c>
      <c r="C161" s="757" t="s">
        <v>50</v>
      </c>
      <c r="D161" s="415" t="s">
        <v>1466</v>
      </c>
      <c r="E161" s="760">
        <f t="shared" ref="E161:E165" si="155">F161</f>
        <v>0</v>
      </c>
      <c r="F161" s="760"/>
      <c r="G161" s="760"/>
      <c r="H161" s="760"/>
      <c r="I161" s="760"/>
      <c r="J161" s="760">
        <f t="shared" ref="J161:J165" si="156">L161+O161</f>
        <v>0</v>
      </c>
      <c r="K161" s="770">
        <v>0</v>
      </c>
      <c r="L161" s="760"/>
      <c r="M161" s="760"/>
      <c r="N161" s="760"/>
      <c r="O161" s="770">
        <f t="shared" ref="O161:O165" si="157">K161</f>
        <v>0</v>
      </c>
      <c r="P161" s="760">
        <f t="shared" ref="P161:P165" si="158">E161+J161</f>
        <v>0</v>
      </c>
      <c r="Q161" s="768"/>
      <c r="R161" s="774"/>
    </row>
    <row r="162" spans="1:18" ht="238.5" hidden="1" customHeight="1" x14ac:dyDescent="0.2">
      <c r="A162" s="758"/>
      <c r="B162" s="758"/>
      <c r="C162" s="758"/>
      <c r="D162" s="416" t="s">
        <v>1467</v>
      </c>
      <c r="E162" s="758"/>
      <c r="F162" s="758"/>
      <c r="G162" s="758"/>
      <c r="H162" s="758"/>
      <c r="I162" s="758"/>
      <c r="J162" s="758"/>
      <c r="K162" s="758"/>
      <c r="L162" s="758"/>
      <c r="M162" s="758"/>
      <c r="N162" s="758"/>
      <c r="O162" s="758"/>
      <c r="P162" s="758"/>
      <c r="Q162" s="768"/>
      <c r="R162" s="775"/>
    </row>
    <row r="163" spans="1:18" ht="220.5" hidden="1" customHeight="1" x14ac:dyDescent="0.2">
      <c r="A163" s="758"/>
      <c r="B163" s="758"/>
      <c r="C163" s="758"/>
      <c r="D163" s="416" t="s">
        <v>1468</v>
      </c>
      <c r="E163" s="758"/>
      <c r="F163" s="758"/>
      <c r="G163" s="758"/>
      <c r="H163" s="758"/>
      <c r="I163" s="758"/>
      <c r="J163" s="758"/>
      <c r="K163" s="758"/>
      <c r="L163" s="758"/>
      <c r="M163" s="758"/>
      <c r="N163" s="758"/>
      <c r="O163" s="758"/>
      <c r="P163" s="758"/>
      <c r="Q163" s="768"/>
      <c r="R163" s="775"/>
    </row>
    <row r="164" spans="1:18" ht="166.5" hidden="1" customHeight="1" thickBot="1" x14ac:dyDescent="0.25">
      <c r="A164" s="759"/>
      <c r="B164" s="759"/>
      <c r="C164" s="759"/>
      <c r="D164" s="417" t="s">
        <v>1469</v>
      </c>
      <c r="E164" s="759"/>
      <c r="F164" s="759"/>
      <c r="G164" s="759"/>
      <c r="H164" s="759"/>
      <c r="I164" s="759"/>
      <c r="J164" s="759"/>
      <c r="K164" s="759"/>
      <c r="L164" s="759"/>
      <c r="M164" s="759"/>
      <c r="N164" s="759"/>
      <c r="O164" s="759"/>
      <c r="P164" s="759"/>
      <c r="Q164" s="768"/>
      <c r="R164" s="775"/>
    </row>
    <row r="165" spans="1:18" ht="277.5" hidden="1" customHeight="1" thickTop="1" x14ac:dyDescent="0.65">
      <c r="A165" s="757" t="s">
        <v>1072</v>
      </c>
      <c r="B165" s="757" t="s">
        <v>1073</v>
      </c>
      <c r="C165" s="757" t="s">
        <v>50</v>
      </c>
      <c r="D165" s="415" t="s">
        <v>1071</v>
      </c>
      <c r="E165" s="760">
        <f t="shared" si="155"/>
        <v>0</v>
      </c>
      <c r="F165" s="760"/>
      <c r="G165" s="760"/>
      <c r="H165" s="760"/>
      <c r="I165" s="760"/>
      <c r="J165" s="760">
        <f t="shared" si="156"/>
        <v>0</v>
      </c>
      <c r="K165" s="770">
        <v>0</v>
      </c>
      <c r="L165" s="760"/>
      <c r="M165" s="760"/>
      <c r="N165" s="760"/>
      <c r="O165" s="760">
        <f t="shared" si="157"/>
        <v>0</v>
      </c>
      <c r="P165" s="760">
        <f t="shared" si="158"/>
        <v>0</v>
      </c>
      <c r="Q165" s="20"/>
      <c r="R165" s="774"/>
    </row>
    <row r="166" spans="1:18" ht="298.5" hidden="1" customHeight="1" x14ac:dyDescent="0.2">
      <c r="A166" s="758"/>
      <c r="B166" s="758"/>
      <c r="C166" s="758"/>
      <c r="D166" s="416" t="s">
        <v>1470</v>
      </c>
      <c r="E166" s="758"/>
      <c r="F166" s="758"/>
      <c r="G166" s="758"/>
      <c r="H166" s="758"/>
      <c r="I166" s="758"/>
      <c r="J166" s="758"/>
      <c r="K166" s="758"/>
      <c r="L166" s="758"/>
      <c r="M166" s="758"/>
      <c r="N166" s="758"/>
      <c r="O166" s="758"/>
      <c r="P166" s="758"/>
      <c r="Q166" s="20"/>
      <c r="R166" s="776"/>
    </row>
    <row r="167" spans="1:18" ht="283.5" hidden="1" customHeight="1" x14ac:dyDescent="0.2">
      <c r="A167" s="758"/>
      <c r="B167" s="758"/>
      <c r="C167" s="758"/>
      <c r="D167" s="416" t="s">
        <v>1471</v>
      </c>
      <c r="E167" s="758"/>
      <c r="F167" s="758"/>
      <c r="G167" s="758"/>
      <c r="H167" s="758"/>
      <c r="I167" s="758"/>
      <c r="J167" s="758"/>
      <c r="K167" s="758"/>
      <c r="L167" s="758"/>
      <c r="M167" s="758"/>
      <c r="N167" s="758"/>
      <c r="O167" s="758"/>
      <c r="P167" s="758"/>
      <c r="Q167" s="20"/>
      <c r="R167" s="776"/>
    </row>
    <row r="168" spans="1:18" ht="92.25" hidden="1" thickBot="1" x14ac:dyDescent="0.25">
      <c r="A168" s="759"/>
      <c r="B168" s="759"/>
      <c r="C168" s="759"/>
      <c r="D168" s="417" t="s">
        <v>1472</v>
      </c>
      <c r="E168" s="759"/>
      <c r="F168" s="759"/>
      <c r="G168" s="759"/>
      <c r="H168" s="759"/>
      <c r="I168" s="759"/>
      <c r="J168" s="759"/>
      <c r="K168" s="759"/>
      <c r="L168" s="759"/>
      <c r="M168" s="759"/>
      <c r="N168" s="759"/>
      <c r="O168" s="759"/>
      <c r="P168" s="759"/>
      <c r="Q168" s="20"/>
      <c r="R168" s="776"/>
    </row>
    <row r="169" spans="1:18" ht="310.5" hidden="1" customHeight="1" thickTop="1" x14ac:dyDescent="0.65">
      <c r="A169" s="757" t="s">
        <v>1074</v>
      </c>
      <c r="B169" s="757" t="s">
        <v>1075</v>
      </c>
      <c r="C169" s="757" t="s">
        <v>50</v>
      </c>
      <c r="D169" s="415" t="s">
        <v>1473</v>
      </c>
      <c r="E169" s="760">
        <f t="shared" ref="E169" si="159">F169</f>
        <v>0</v>
      </c>
      <c r="F169" s="760"/>
      <c r="G169" s="760"/>
      <c r="H169" s="760"/>
      <c r="I169" s="760"/>
      <c r="J169" s="760">
        <f t="shared" ref="J169" si="160">L169+O169</f>
        <v>0</v>
      </c>
      <c r="K169" s="770">
        <v>0</v>
      </c>
      <c r="L169" s="760"/>
      <c r="M169" s="760"/>
      <c r="N169" s="760"/>
      <c r="O169" s="770">
        <f t="shared" ref="O169" si="161">K169</f>
        <v>0</v>
      </c>
      <c r="P169" s="760">
        <f t="shared" ref="P169" si="162">E169+J169</f>
        <v>0</v>
      </c>
      <c r="Q169" s="20"/>
      <c r="R169" s="774"/>
    </row>
    <row r="170" spans="1:18" ht="268.5" hidden="1" customHeight="1" x14ac:dyDescent="0.2">
      <c r="A170" s="758"/>
      <c r="B170" s="758"/>
      <c r="C170" s="758"/>
      <c r="D170" s="416" t="s">
        <v>1474</v>
      </c>
      <c r="E170" s="758"/>
      <c r="F170" s="758"/>
      <c r="G170" s="758"/>
      <c r="H170" s="758"/>
      <c r="I170" s="758"/>
      <c r="J170" s="758"/>
      <c r="K170" s="758"/>
      <c r="L170" s="758"/>
      <c r="M170" s="758"/>
      <c r="N170" s="758"/>
      <c r="O170" s="758"/>
      <c r="P170" s="758"/>
      <c r="Q170" s="20"/>
      <c r="R170" s="775"/>
    </row>
    <row r="171" spans="1:18" ht="92.25" hidden="1" thickBot="1" x14ac:dyDescent="0.25">
      <c r="A171" s="759"/>
      <c r="B171" s="759"/>
      <c r="C171" s="759"/>
      <c r="D171" s="417" t="s">
        <v>1076</v>
      </c>
      <c r="E171" s="759"/>
      <c r="F171" s="759"/>
      <c r="G171" s="759"/>
      <c r="H171" s="759"/>
      <c r="I171" s="759"/>
      <c r="J171" s="759"/>
      <c r="K171" s="759"/>
      <c r="L171" s="759"/>
      <c r="M171" s="759"/>
      <c r="N171" s="759"/>
      <c r="O171" s="759"/>
      <c r="P171" s="759"/>
      <c r="Q171" s="20"/>
      <c r="R171" s="775"/>
    </row>
    <row r="172" spans="1:18" ht="183.75" hidden="1" thickTop="1" x14ac:dyDescent="0.65">
      <c r="A172" s="755" t="s">
        <v>1080</v>
      </c>
      <c r="B172" s="755" t="s">
        <v>1081</v>
      </c>
      <c r="C172" s="755" t="s">
        <v>50</v>
      </c>
      <c r="D172" s="418" t="s">
        <v>1077</v>
      </c>
      <c r="E172" s="760">
        <f t="shared" ref="E172" si="163">F172</f>
        <v>0</v>
      </c>
      <c r="F172" s="760"/>
      <c r="G172" s="760"/>
      <c r="H172" s="760"/>
      <c r="I172" s="760"/>
      <c r="J172" s="760">
        <f t="shared" ref="J172" si="164">L172+O172</f>
        <v>0</v>
      </c>
      <c r="K172" s="773">
        <v>0</v>
      </c>
      <c r="L172" s="756"/>
      <c r="M172" s="756"/>
      <c r="N172" s="756"/>
      <c r="O172" s="773">
        <f t="shared" ref="O172" si="165">K172</f>
        <v>0</v>
      </c>
      <c r="P172" s="756">
        <f t="shared" ref="P172" si="166">E172+J172</f>
        <v>0</v>
      </c>
      <c r="Q172" s="20"/>
      <c r="R172" s="774"/>
    </row>
    <row r="173" spans="1:18" ht="183" hidden="1" x14ac:dyDescent="0.2">
      <c r="A173" s="763"/>
      <c r="B173" s="763"/>
      <c r="C173" s="763"/>
      <c r="D173" s="126" t="s">
        <v>1078</v>
      </c>
      <c r="E173" s="758"/>
      <c r="F173" s="758"/>
      <c r="G173" s="758"/>
      <c r="H173" s="758"/>
      <c r="I173" s="758"/>
      <c r="J173" s="758"/>
      <c r="K173" s="763"/>
      <c r="L173" s="763"/>
      <c r="M173" s="763"/>
      <c r="N173" s="763"/>
      <c r="O173" s="763"/>
      <c r="P173" s="763"/>
      <c r="Q173" s="20"/>
      <c r="R173" s="775"/>
    </row>
    <row r="174" spans="1:18" ht="46.5" hidden="1" thickBot="1" x14ac:dyDescent="0.25">
      <c r="A174" s="736"/>
      <c r="B174" s="736"/>
      <c r="C174" s="736"/>
      <c r="D174" s="419" t="s">
        <v>1079</v>
      </c>
      <c r="E174" s="759"/>
      <c r="F174" s="759"/>
      <c r="G174" s="759"/>
      <c r="H174" s="759"/>
      <c r="I174" s="759"/>
      <c r="J174" s="759"/>
      <c r="K174" s="736"/>
      <c r="L174" s="736"/>
      <c r="M174" s="736"/>
      <c r="N174" s="736"/>
      <c r="O174" s="736"/>
      <c r="P174" s="736"/>
      <c r="Q174" s="20"/>
      <c r="R174" s="775"/>
    </row>
    <row r="175" spans="1:18" ht="93" thickTop="1" thickBot="1" x14ac:dyDescent="0.25">
      <c r="A175" s="103" t="s">
        <v>1213</v>
      </c>
      <c r="B175" s="103" t="s">
        <v>1210</v>
      </c>
      <c r="C175" s="103" t="s">
        <v>206</v>
      </c>
      <c r="D175" s="485" t="s">
        <v>1211</v>
      </c>
      <c r="E175" s="591">
        <f t="shared" ref="E175" si="167">F175</f>
        <v>5975529</v>
      </c>
      <c r="F175" s="477">
        <v>5975529</v>
      </c>
      <c r="G175" s="134"/>
      <c r="H175" s="134"/>
      <c r="I175" s="134"/>
      <c r="J175" s="328">
        <f t="shared" ref="J175" si="168">L175+O175</f>
        <v>30767856.02</v>
      </c>
      <c r="K175" s="477">
        <v>30767856.02</v>
      </c>
      <c r="L175" s="477"/>
      <c r="M175" s="477"/>
      <c r="N175" s="477"/>
      <c r="O175" s="474">
        <f t="shared" ref="O175" si="169">K175</f>
        <v>30767856.02</v>
      </c>
      <c r="P175" s="328">
        <f>E175+J175</f>
        <v>36743385.019999996</v>
      </c>
      <c r="Q175" s="20"/>
      <c r="R175" s="21"/>
    </row>
    <row r="176" spans="1:18" s="33" customFormat="1" ht="48" thickTop="1" thickBot="1" x14ac:dyDescent="0.25">
      <c r="A176" s="329" t="s">
        <v>739</v>
      </c>
      <c r="B176" s="329" t="s">
        <v>740</v>
      </c>
      <c r="C176" s="329"/>
      <c r="D176" s="329" t="s">
        <v>741</v>
      </c>
      <c r="E176" s="325">
        <f>SUM(E177:E178)</f>
        <v>68426746</v>
      </c>
      <c r="F176" s="325">
        <f t="shared" ref="F176:P176" si="170">SUM(F177:F178)</f>
        <v>68426746</v>
      </c>
      <c r="G176" s="325">
        <f t="shared" si="170"/>
        <v>11333822</v>
      </c>
      <c r="H176" s="325">
        <f t="shared" si="170"/>
        <v>1350711</v>
      </c>
      <c r="I176" s="325">
        <f t="shared" si="170"/>
        <v>0</v>
      </c>
      <c r="J176" s="325">
        <f t="shared" si="170"/>
        <v>28992260</v>
      </c>
      <c r="K176" s="325">
        <f t="shared" si="170"/>
        <v>24000000</v>
      </c>
      <c r="L176" s="325">
        <f t="shared" si="170"/>
        <v>4968260</v>
      </c>
      <c r="M176" s="325">
        <f t="shared" si="170"/>
        <v>1885685</v>
      </c>
      <c r="N176" s="325">
        <f t="shared" si="170"/>
        <v>555805</v>
      </c>
      <c r="O176" s="325">
        <f t="shared" si="170"/>
        <v>24024000</v>
      </c>
      <c r="P176" s="325">
        <f t="shared" si="170"/>
        <v>97419006</v>
      </c>
      <c r="Q176" s="36"/>
      <c r="R176" s="51"/>
    </row>
    <row r="177" spans="1:18" ht="93" thickTop="1" thickBot="1" x14ac:dyDescent="0.25">
      <c r="A177" s="103" t="s">
        <v>327</v>
      </c>
      <c r="B177" s="103" t="s">
        <v>329</v>
      </c>
      <c r="C177" s="103" t="s">
        <v>191</v>
      </c>
      <c r="D177" s="485" t="s">
        <v>331</v>
      </c>
      <c r="E177" s="328">
        <f t="shared" si="141"/>
        <v>24773656</v>
      </c>
      <c r="F177" s="477">
        <v>24773656</v>
      </c>
      <c r="G177" s="326">
        <f>3231579+4596637+3505606</f>
        <v>11333822</v>
      </c>
      <c r="H177" s="326">
        <f>35600+197918+78510+15030+337600+219800+437423+28830</f>
        <v>1350711</v>
      </c>
      <c r="I177" s="477"/>
      <c r="J177" s="328">
        <f t="shared" ref="J177:J190" si="171">L177+O177</f>
        <v>4992260</v>
      </c>
      <c r="K177" s="477">
        <v>0</v>
      </c>
      <c r="L177" s="477">
        <f>4992260-24000</f>
        <v>4968260</v>
      </c>
      <c r="M177" s="477">
        <v>1885685</v>
      </c>
      <c r="N177" s="477">
        <f>34805+338560+116750+65690</f>
        <v>555805</v>
      </c>
      <c r="O177" s="474">
        <f>(K177)+24000</f>
        <v>24000</v>
      </c>
      <c r="P177" s="328">
        <f t="shared" ref="P177:P190" si="172">E177+J177</f>
        <v>29765916</v>
      </c>
      <c r="Q177" s="20"/>
      <c r="R177" s="46"/>
    </row>
    <row r="178" spans="1:18" ht="48" thickTop="1" thickBot="1" x14ac:dyDescent="0.25">
      <c r="A178" s="103" t="s">
        <v>328</v>
      </c>
      <c r="B178" s="103" t="s">
        <v>330</v>
      </c>
      <c r="C178" s="103" t="s">
        <v>191</v>
      </c>
      <c r="D178" s="485" t="s">
        <v>332</v>
      </c>
      <c r="E178" s="328">
        <f t="shared" si="141"/>
        <v>43653090</v>
      </c>
      <c r="F178" s="477">
        <v>43653090</v>
      </c>
      <c r="G178" s="134"/>
      <c r="H178" s="134"/>
      <c r="I178" s="134"/>
      <c r="J178" s="328">
        <f t="shared" si="171"/>
        <v>24000000</v>
      </c>
      <c r="K178" s="477">
        <v>24000000</v>
      </c>
      <c r="L178" s="477"/>
      <c r="M178" s="477"/>
      <c r="N178" s="477"/>
      <c r="O178" s="474">
        <f t="shared" ref="O178:O190" si="173">K178</f>
        <v>24000000</v>
      </c>
      <c r="P178" s="328">
        <f t="shared" si="172"/>
        <v>67653090</v>
      </c>
      <c r="Q178" s="20"/>
      <c r="R178" s="46"/>
    </row>
    <row r="179" spans="1:18" ht="47.25" thickTop="1" thickBot="1" x14ac:dyDescent="0.25">
      <c r="A179" s="311" t="s">
        <v>742</v>
      </c>
      <c r="B179" s="311" t="s">
        <v>743</v>
      </c>
      <c r="C179" s="311"/>
      <c r="D179" s="347" t="s">
        <v>744</v>
      </c>
      <c r="E179" s="328">
        <f>SUM(E180)</f>
        <v>0</v>
      </c>
      <c r="F179" s="328">
        <f t="shared" ref="F179:P179" si="174">SUM(F180)</f>
        <v>0</v>
      </c>
      <c r="G179" s="328">
        <f t="shared" si="174"/>
        <v>0</v>
      </c>
      <c r="H179" s="328">
        <f t="shared" si="174"/>
        <v>0</v>
      </c>
      <c r="I179" s="328">
        <f t="shared" si="174"/>
        <v>0</v>
      </c>
      <c r="J179" s="328">
        <f>SUM(J180)</f>
        <v>20000000</v>
      </c>
      <c r="K179" s="328">
        <f t="shared" si="174"/>
        <v>20000000</v>
      </c>
      <c r="L179" s="328">
        <f t="shared" si="174"/>
        <v>0</v>
      </c>
      <c r="M179" s="328">
        <f t="shared" si="174"/>
        <v>0</v>
      </c>
      <c r="N179" s="328">
        <f t="shared" si="174"/>
        <v>0</v>
      </c>
      <c r="O179" s="328">
        <f t="shared" si="174"/>
        <v>20000000</v>
      </c>
      <c r="P179" s="328">
        <f t="shared" si="174"/>
        <v>20000000</v>
      </c>
      <c r="Q179" s="20"/>
      <c r="R179" s="46"/>
    </row>
    <row r="180" spans="1:18" s="33" customFormat="1" ht="48" thickTop="1" thickBot="1" x14ac:dyDescent="0.25">
      <c r="A180" s="329" t="s">
        <v>745</v>
      </c>
      <c r="B180" s="329" t="s">
        <v>746</v>
      </c>
      <c r="C180" s="329"/>
      <c r="D180" s="590" t="s">
        <v>747</v>
      </c>
      <c r="E180" s="325">
        <f>SUM(E181:E182)</f>
        <v>0</v>
      </c>
      <c r="F180" s="325">
        <f>SUM(F181:F182)</f>
        <v>0</v>
      </c>
      <c r="G180" s="325">
        <f>SUM(G181:G182)</f>
        <v>0</v>
      </c>
      <c r="H180" s="325">
        <f>SUM(H181:H182)</f>
        <v>0</v>
      </c>
      <c r="I180" s="325">
        <f>SUM(I181:I182)</f>
        <v>0</v>
      </c>
      <c r="J180" s="325">
        <f t="shared" ref="J180:O180" si="175">SUM(J181:J182)</f>
        <v>20000000</v>
      </c>
      <c r="K180" s="325">
        <f t="shared" si="175"/>
        <v>20000000</v>
      </c>
      <c r="L180" s="325">
        <f t="shared" si="175"/>
        <v>0</v>
      </c>
      <c r="M180" s="325">
        <f t="shared" si="175"/>
        <v>0</v>
      </c>
      <c r="N180" s="325">
        <f t="shared" si="175"/>
        <v>0</v>
      </c>
      <c r="O180" s="325">
        <f t="shared" si="175"/>
        <v>20000000</v>
      </c>
      <c r="P180" s="325">
        <f>SUM(P181:P182)</f>
        <v>20000000</v>
      </c>
      <c r="Q180" s="36"/>
      <c r="R180" s="52"/>
    </row>
    <row r="181" spans="1:18" ht="93" thickTop="1" thickBot="1" x14ac:dyDescent="0.25">
      <c r="A181" s="103" t="s">
        <v>367</v>
      </c>
      <c r="B181" s="103" t="s">
        <v>365</v>
      </c>
      <c r="C181" s="103" t="s">
        <v>340</v>
      </c>
      <c r="D181" s="485" t="s">
        <v>366</v>
      </c>
      <c r="E181" s="328">
        <f t="shared" si="141"/>
        <v>0</v>
      </c>
      <c r="F181" s="477"/>
      <c r="G181" s="477"/>
      <c r="H181" s="477"/>
      <c r="I181" s="477"/>
      <c r="J181" s="328">
        <f t="shared" si="171"/>
        <v>20000000</v>
      </c>
      <c r="K181" s="477">
        <v>20000000</v>
      </c>
      <c r="L181" s="477"/>
      <c r="M181" s="477"/>
      <c r="N181" s="477"/>
      <c r="O181" s="474">
        <f t="shared" si="173"/>
        <v>20000000</v>
      </c>
      <c r="P181" s="328">
        <f t="shared" si="172"/>
        <v>20000000</v>
      </c>
      <c r="Q181" s="20"/>
      <c r="R181" s="46"/>
    </row>
    <row r="182" spans="1:18" ht="184.5" hidden="1" thickTop="1" thickBot="1" x14ac:dyDescent="0.25">
      <c r="A182" s="41" t="s">
        <v>1082</v>
      </c>
      <c r="B182" s="41" t="s">
        <v>1083</v>
      </c>
      <c r="C182" s="41" t="s">
        <v>340</v>
      </c>
      <c r="D182" s="154" t="s">
        <v>1084</v>
      </c>
      <c r="E182" s="42">
        <f t="shared" si="141"/>
        <v>0</v>
      </c>
      <c r="F182" s="43"/>
      <c r="G182" s="43"/>
      <c r="H182" s="43"/>
      <c r="I182" s="43"/>
      <c r="J182" s="42">
        <f t="shared" si="171"/>
        <v>0</v>
      </c>
      <c r="K182" s="43">
        <v>0</v>
      </c>
      <c r="L182" s="43"/>
      <c r="M182" s="43"/>
      <c r="N182" s="43"/>
      <c r="O182" s="44">
        <f t="shared" si="173"/>
        <v>0</v>
      </c>
      <c r="P182" s="42">
        <f t="shared" si="172"/>
        <v>0</v>
      </c>
      <c r="Q182" s="20"/>
      <c r="R182" s="46"/>
    </row>
    <row r="183" spans="1:18" ht="47.25" hidden="1" thickTop="1" thickBot="1" x14ac:dyDescent="0.25">
      <c r="A183" s="125" t="s">
        <v>752</v>
      </c>
      <c r="B183" s="125" t="s">
        <v>749</v>
      </c>
      <c r="C183" s="125"/>
      <c r="D183" s="125" t="s">
        <v>750</v>
      </c>
      <c r="E183" s="127">
        <f>E187+E184</f>
        <v>0</v>
      </c>
      <c r="F183" s="127">
        <f t="shared" ref="F183:P183" si="176">F187+F184</f>
        <v>0</v>
      </c>
      <c r="G183" s="127">
        <f t="shared" si="176"/>
        <v>0</v>
      </c>
      <c r="H183" s="127">
        <f t="shared" si="176"/>
        <v>0</v>
      </c>
      <c r="I183" s="127">
        <f t="shared" si="176"/>
        <v>0</v>
      </c>
      <c r="J183" s="127">
        <f t="shared" si="176"/>
        <v>0</v>
      </c>
      <c r="K183" s="127">
        <f t="shared" si="176"/>
        <v>0</v>
      </c>
      <c r="L183" s="127">
        <f t="shared" si="176"/>
        <v>0</v>
      </c>
      <c r="M183" s="127">
        <f t="shared" si="176"/>
        <v>0</v>
      </c>
      <c r="N183" s="127">
        <f t="shared" si="176"/>
        <v>0</v>
      </c>
      <c r="O183" s="127">
        <f t="shared" si="176"/>
        <v>0</v>
      </c>
      <c r="P183" s="127">
        <f t="shared" si="176"/>
        <v>0</v>
      </c>
      <c r="Q183" s="20"/>
      <c r="R183" s="46"/>
    </row>
    <row r="184" spans="1:18" ht="47.25" hidden="1" thickTop="1" thickBot="1" x14ac:dyDescent="0.25">
      <c r="A184" s="136" t="s">
        <v>928</v>
      </c>
      <c r="B184" s="136" t="s">
        <v>805</v>
      </c>
      <c r="C184" s="136"/>
      <c r="D184" s="136" t="s">
        <v>806</v>
      </c>
      <c r="E184" s="137">
        <f>E185</f>
        <v>0</v>
      </c>
      <c r="F184" s="137">
        <f t="shared" ref="F184:P189" si="177">F185</f>
        <v>0</v>
      </c>
      <c r="G184" s="137">
        <f t="shared" si="177"/>
        <v>0</v>
      </c>
      <c r="H184" s="137">
        <f t="shared" si="177"/>
        <v>0</v>
      </c>
      <c r="I184" s="137">
        <f t="shared" si="177"/>
        <v>0</v>
      </c>
      <c r="J184" s="137">
        <f t="shared" si="177"/>
        <v>0</v>
      </c>
      <c r="K184" s="137">
        <f t="shared" si="177"/>
        <v>0</v>
      </c>
      <c r="L184" s="137">
        <f t="shared" si="177"/>
        <v>0</v>
      </c>
      <c r="M184" s="137">
        <f t="shared" si="177"/>
        <v>0</v>
      </c>
      <c r="N184" s="137">
        <f t="shared" si="177"/>
        <v>0</v>
      </c>
      <c r="O184" s="137">
        <f t="shared" si="177"/>
        <v>0</v>
      </c>
      <c r="P184" s="137">
        <f t="shared" si="177"/>
        <v>0</v>
      </c>
      <c r="Q184" s="20"/>
      <c r="R184" s="46"/>
    </row>
    <row r="185" spans="1:18" ht="54.75" hidden="1" thickTop="1" thickBot="1" x14ac:dyDescent="0.25">
      <c r="A185" s="140" t="s">
        <v>925</v>
      </c>
      <c r="B185" s="140" t="s">
        <v>823</v>
      </c>
      <c r="C185" s="140"/>
      <c r="D185" s="140" t="s">
        <v>1530</v>
      </c>
      <c r="E185" s="141">
        <f>E186</f>
        <v>0</v>
      </c>
      <c r="F185" s="141">
        <f t="shared" si="177"/>
        <v>0</v>
      </c>
      <c r="G185" s="141">
        <f t="shared" si="177"/>
        <v>0</v>
      </c>
      <c r="H185" s="141">
        <f t="shared" si="177"/>
        <v>0</v>
      </c>
      <c r="I185" s="141">
        <f t="shared" si="177"/>
        <v>0</v>
      </c>
      <c r="J185" s="141">
        <f t="shared" si="177"/>
        <v>0</v>
      </c>
      <c r="K185" s="141">
        <f t="shared" si="177"/>
        <v>0</v>
      </c>
      <c r="L185" s="141">
        <f t="shared" si="177"/>
        <v>0</v>
      </c>
      <c r="M185" s="141">
        <f t="shared" si="177"/>
        <v>0</v>
      </c>
      <c r="N185" s="141">
        <f t="shared" si="177"/>
        <v>0</v>
      </c>
      <c r="O185" s="141">
        <f t="shared" si="177"/>
        <v>0</v>
      </c>
      <c r="P185" s="141">
        <f t="shared" si="177"/>
        <v>0</v>
      </c>
      <c r="Q185" s="20"/>
      <c r="R185" s="46"/>
    </row>
    <row r="186" spans="1:18" ht="54" hidden="1" thickTop="1" thickBot="1" x14ac:dyDescent="0.25">
      <c r="A186" s="128" t="s">
        <v>926</v>
      </c>
      <c r="B186" s="128" t="s">
        <v>927</v>
      </c>
      <c r="C186" s="128" t="s">
        <v>304</v>
      </c>
      <c r="D186" s="128" t="s">
        <v>1531</v>
      </c>
      <c r="E186" s="127"/>
      <c r="F186" s="134"/>
      <c r="G186" s="134"/>
      <c r="H186" s="134"/>
      <c r="I186" s="134"/>
      <c r="J186" s="127">
        <f>L186+O186</f>
        <v>0</v>
      </c>
      <c r="K186" s="134">
        <v>0</v>
      </c>
      <c r="L186" s="134"/>
      <c r="M186" s="134"/>
      <c r="N186" s="134"/>
      <c r="O186" s="132">
        <f>K186</f>
        <v>0</v>
      </c>
      <c r="P186" s="127">
        <f>E186+J186</f>
        <v>0</v>
      </c>
      <c r="Q186" s="20"/>
      <c r="R186" s="46"/>
    </row>
    <row r="187" spans="1:18" ht="47.25" hidden="1" thickTop="1" thickBot="1" x14ac:dyDescent="0.25">
      <c r="A187" s="136" t="s">
        <v>754</v>
      </c>
      <c r="B187" s="136" t="s">
        <v>692</v>
      </c>
      <c r="C187" s="136"/>
      <c r="D187" s="136" t="s">
        <v>690</v>
      </c>
      <c r="E187" s="137">
        <f>E189+E188</f>
        <v>0</v>
      </c>
      <c r="F187" s="137">
        <f t="shared" ref="F187:I187" si="178">F189+F188</f>
        <v>0</v>
      </c>
      <c r="G187" s="137">
        <f t="shared" si="178"/>
        <v>0</v>
      </c>
      <c r="H187" s="137">
        <f t="shared" si="178"/>
        <v>0</v>
      </c>
      <c r="I187" s="137">
        <f t="shared" si="178"/>
        <v>0</v>
      </c>
      <c r="J187" s="137">
        <f>J189+J188</f>
        <v>0</v>
      </c>
      <c r="K187" s="137">
        <f t="shared" ref="K187" si="179">K189+K188</f>
        <v>0</v>
      </c>
      <c r="L187" s="137">
        <f t="shared" ref="L187" si="180">L189+L188</f>
        <v>0</v>
      </c>
      <c r="M187" s="137">
        <f t="shared" ref="M187" si="181">M189+M188</f>
        <v>0</v>
      </c>
      <c r="N187" s="137">
        <f t="shared" ref="N187" si="182">N189+N188</f>
        <v>0</v>
      </c>
      <c r="O187" s="137">
        <f t="shared" ref="O187" si="183">O189+O188</f>
        <v>0</v>
      </c>
      <c r="P187" s="137">
        <f>P189+P188</f>
        <v>0</v>
      </c>
      <c r="Q187" s="20"/>
      <c r="R187" s="46"/>
    </row>
    <row r="188" spans="1:18" ht="48" hidden="1" thickTop="1" thickBot="1" x14ac:dyDescent="0.25">
      <c r="A188" s="128" t="s">
        <v>1331</v>
      </c>
      <c r="B188" s="128" t="s">
        <v>212</v>
      </c>
      <c r="C188" s="128" t="s">
        <v>213</v>
      </c>
      <c r="D188" s="128" t="s">
        <v>41</v>
      </c>
      <c r="E188" s="127">
        <f t="shared" ref="E188" si="184">F188</f>
        <v>0</v>
      </c>
      <c r="F188" s="134">
        <v>0</v>
      </c>
      <c r="G188" s="134"/>
      <c r="H188" s="134"/>
      <c r="I188" s="134"/>
      <c r="J188" s="127">
        <f t="shared" ref="J188" si="185">L188+O188</f>
        <v>0</v>
      </c>
      <c r="K188" s="134">
        <v>0</v>
      </c>
      <c r="L188" s="134"/>
      <c r="M188" s="134"/>
      <c r="N188" s="134"/>
      <c r="O188" s="132">
        <f t="shared" ref="O188" si="186">K188</f>
        <v>0</v>
      </c>
      <c r="P188" s="127">
        <f t="shared" ref="P188" si="187">E188+J188</f>
        <v>0</v>
      </c>
      <c r="Q188" s="20"/>
      <c r="R188" s="46"/>
    </row>
    <row r="189" spans="1:18" ht="48" hidden="1" thickTop="1" thickBot="1" x14ac:dyDescent="0.25">
      <c r="A189" s="140" t="s">
        <v>753</v>
      </c>
      <c r="B189" s="140" t="s">
        <v>695</v>
      </c>
      <c r="C189" s="140"/>
      <c r="D189" s="153" t="s">
        <v>693</v>
      </c>
      <c r="E189" s="141">
        <f>E190</f>
        <v>0</v>
      </c>
      <c r="F189" s="141">
        <f t="shared" si="177"/>
        <v>0</v>
      </c>
      <c r="G189" s="141">
        <f t="shared" si="177"/>
        <v>0</v>
      </c>
      <c r="H189" s="141">
        <f t="shared" si="177"/>
        <v>0</v>
      </c>
      <c r="I189" s="141">
        <f t="shared" si="177"/>
        <v>0</v>
      </c>
      <c r="J189" s="141">
        <f t="shared" si="177"/>
        <v>0</v>
      </c>
      <c r="K189" s="141">
        <f t="shared" si="177"/>
        <v>0</v>
      </c>
      <c r="L189" s="141">
        <f t="shared" si="177"/>
        <v>0</v>
      </c>
      <c r="M189" s="141">
        <f t="shared" si="177"/>
        <v>0</v>
      </c>
      <c r="N189" s="141">
        <f t="shared" si="177"/>
        <v>0</v>
      </c>
      <c r="O189" s="141">
        <f t="shared" si="177"/>
        <v>0</v>
      </c>
      <c r="P189" s="141">
        <f t="shared" si="177"/>
        <v>0</v>
      </c>
      <c r="Q189" s="20"/>
      <c r="R189" s="46"/>
    </row>
    <row r="190" spans="1:18" ht="184.5" hidden="1" thickTop="1" thickBot="1" x14ac:dyDescent="0.7">
      <c r="A190" s="753" t="s">
        <v>423</v>
      </c>
      <c r="B190" s="753" t="s">
        <v>338</v>
      </c>
      <c r="C190" s="753" t="s">
        <v>170</v>
      </c>
      <c r="D190" s="155" t="s">
        <v>440</v>
      </c>
      <c r="E190" s="728">
        <f t="shared" si="141"/>
        <v>0</v>
      </c>
      <c r="F190" s="729"/>
      <c r="G190" s="729"/>
      <c r="H190" s="729"/>
      <c r="I190" s="729"/>
      <c r="J190" s="728">
        <f t="shared" si="171"/>
        <v>0</v>
      </c>
      <c r="K190" s="729"/>
      <c r="L190" s="729"/>
      <c r="M190" s="729"/>
      <c r="N190" s="729"/>
      <c r="O190" s="751">
        <f t="shared" si="173"/>
        <v>0</v>
      </c>
      <c r="P190" s="765">
        <f t="shared" si="172"/>
        <v>0</v>
      </c>
      <c r="Q190" s="20"/>
      <c r="R190" s="50"/>
    </row>
    <row r="191" spans="1:18" ht="93" hidden="1" thickTop="1" thickBot="1" x14ac:dyDescent="0.25">
      <c r="A191" s="754"/>
      <c r="B191" s="762"/>
      <c r="C191" s="754"/>
      <c r="D191" s="156" t="s">
        <v>441</v>
      </c>
      <c r="E191" s="754"/>
      <c r="F191" s="752"/>
      <c r="G191" s="752"/>
      <c r="H191" s="752"/>
      <c r="I191" s="752"/>
      <c r="J191" s="754"/>
      <c r="K191" s="754"/>
      <c r="L191" s="752"/>
      <c r="M191" s="752"/>
      <c r="N191" s="752"/>
      <c r="O191" s="779"/>
      <c r="P191" s="780"/>
      <c r="Q191" s="20"/>
      <c r="R191" s="50"/>
    </row>
    <row r="192" spans="1:18" ht="91.5" thickTop="1" thickBot="1" x14ac:dyDescent="0.25">
      <c r="A192" s="508">
        <v>1000000</v>
      </c>
      <c r="B192" s="508"/>
      <c r="C192" s="508"/>
      <c r="D192" s="509" t="s">
        <v>24</v>
      </c>
      <c r="E192" s="535">
        <f>E193</f>
        <v>173208353</v>
      </c>
      <c r="F192" s="510">
        <f t="shared" ref="F192:G192" si="188">F193</f>
        <v>173208353</v>
      </c>
      <c r="G192" s="510">
        <f t="shared" si="188"/>
        <v>127110999</v>
      </c>
      <c r="H192" s="510">
        <f>H193</f>
        <v>8158262</v>
      </c>
      <c r="I192" s="510">
        <f>I193</f>
        <v>0</v>
      </c>
      <c r="J192" s="535">
        <f>J193</f>
        <v>11133850</v>
      </c>
      <c r="K192" s="510">
        <f>K193</f>
        <v>0</v>
      </c>
      <c r="L192" s="510">
        <f>L193</f>
        <v>10895910</v>
      </c>
      <c r="M192" s="510">
        <f t="shared" ref="M192" si="189">M193</f>
        <v>8032370</v>
      </c>
      <c r="N192" s="510">
        <f>N193</f>
        <v>284620</v>
      </c>
      <c r="O192" s="535">
        <f>O193</f>
        <v>237940</v>
      </c>
      <c r="P192" s="510">
        <f t="shared" ref="P192" si="190">P193</f>
        <v>184342203</v>
      </c>
      <c r="Q192" s="20"/>
    </row>
    <row r="193" spans="1:18" ht="91.5" thickTop="1" thickBot="1" x14ac:dyDescent="0.25">
      <c r="A193" s="511">
        <v>1010000</v>
      </c>
      <c r="B193" s="511"/>
      <c r="C193" s="511"/>
      <c r="D193" s="512" t="s">
        <v>39</v>
      </c>
      <c r="E193" s="513">
        <f>E194+E196+E210+E204</f>
        <v>173208353</v>
      </c>
      <c r="F193" s="513">
        <f>F194+F196+F210+F204</f>
        <v>173208353</v>
      </c>
      <c r="G193" s="513">
        <f>G194+G196+G210+G204</f>
        <v>127110999</v>
      </c>
      <c r="H193" s="513">
        <f>H194+H196+H210+H204</f>
        <v>8158262</v>
      </c>
      <c r="I193" s="513">
        <f>I194+I196+I210+I204</f>
        <v>0</v>
      </c>
      <c r="J193" s="513">
        <f t="shared" ref="J193:J203" si="191">L193+O193</f>
        <v>11133850</v>
      </c>
      <c r="K193" s="513">
        <f>K194+K196+K210+K204</f>
        <v>0</v>
      </c>
      <c r="L193" s="513">
        <f>L194+L196+L210+L204</f>
        <v>10895910</v>
      </c>
      <c r="M193" s="513">
        <f>M194+M196+M210+M204</f>
        <v>8032370</v>
      </c>
      <c r="N193" s="513">
        <f>N194+N196+N210+N204</f>
        <v>284620</v>
      </c>
      <c r="O193" s="513">
        <f>O194+O196+O210+O204</f>
        <v>237940</v>
      </c>
      <c r="P193" s="513">
        <f t="shared" ref="P193:P203" si="192">E193+J193</f>
        <v>184342203</v>
      </c>
      <c r="Q193" s="536" t="b">
        <f>P193=P195+P197+P198+P199+P203+P202+P207</f>
        <v>1</v>
      </c>
      <c r="R193" s="46"/>
    </row>
    <row r="194" spans="1:18" ht="47.25" thickTop="1" thickBot="1" x14ac:dyDescent="0.25">
      <c r="A194" s="311" t="s">
        <v>755</v>
      </c>
      <c r="B194" s="311" t="s">
        <v>709</v>
      </c>
      <c r="C194" s="311"/>
      <c r="D194" s="311" t="s">
        <v>710</v>
      </c>
      <c r="E194" s="328">
        <f>E195</f>
        <v>95874428</v>
      </c>
      <c r="F194" s="328">
        <f t="shared" ref="F194:P194" si="193">F195</f>
        <v>95874428</v>
      </c>
      <c r="G194" s="328">
        <f t="shared" si="193"/>
        <v>73990970</v>
      </c>
      <c r="H194" s="328">
        <f t="shared" si="193"/>
        <v>4617684</v>
      </c>
      <c r="I194" s="328">
        <f t="shared" si="193"/>
        <v>0</v>
      </c>
      <c r="J194" s="328">
        <f t="shared" si="193"/>
        <v>9914660</v>
      </c>
      <c r="K194" s="328">
        <f t="shared" si="193"/>
        <v>0</v>
      </c>
      <c r="L194" s="328">
        <f t="shared" si="193"/>
        <v>9792720</v>
      </c>
      <c r="M194" s="328">
        <f t="shared" si="193"/>
        <v>7465250</v>
      </c>
      <c r="N194" s="328">
        <f t="shared" si="193"/>
        <v>223920</v>
      </c>
      <c r="O194" s="328">
        <f t="shared" si="193"/>
        <v>121940</v>
      </c>
      <c r="P194" s="328">
        <f t="shared" si="193"/>
        <v>105789088</v>
      </c>
      <c r="Q194" s="47"/>
      <c r="R194" s="46"/>
    </row>
    <row r="195" spans="1:18" ht="48" thickTop="1" thickBot="1" x14ac:dyDescent="0.25">
      <c r="A195" s="103" t="s">
        <v>637</v>
      </c>
      <c r="B195" s="103" t="s">
        <v>638</v>
      </c>
      <c r="C195" s="103" t="s">
        <v>181</v>
      </c>
      <c r="D195" s="103" t="s">
        <v>1128</v>
      </c>
      <c r="E195" s="328">
        <f>F195</f>
        <v>95874428</v>
      </c>
      <c r="F195" s="477">
        <v>95874428</v>
      </c>
      <c r="G195" s="477">
        <v>73990970</v>
      </c>
      <c r="H195" s="477">
        <f>3898302+36160+523522+130800+28900</f>
        <v>4617684</v>
      </c>
      <c r="I195" s="477"/>
      <c r="J195" s="328">
        <f t="shared" si="191"/>
        <v>9914660</v>
      </c>
      <c r="K195" s="477"/>
      <c r="L195" s="477">
        <f>9914660-121940</f>
        <v>9792720</v>
      </c>
      <c r="M195" s="477">
        <v>7465250</v>
      </c>
      <c r="N195" s="477">
        <v>223920</v>
      </c>
      <c r="O195" s="474">
        <f>(K195+121940)</f>
        <v>121940</v>
      </c>
      <c r="P195" s="328">
        <f t="shared" si="192"/>
        <v>105789088</v>
      </c>
      <c r="Q195" s="20"/>
      <c r="R195" s="46"/>
    </row>
    <row r="196" spans="1:18" s="24" customFormat="1" ht="47.25" thickTop="1" thickBot="1" x14ac:dyDescent="0.25">
      <c r="A196" s="311" t="s">
        <v>756</v>
      </c>
      <c r="B196" s="311" t="s">
        <v>757</v>
      </c>
      <c r="C196" s="311"/>
      <c r="D196" s="311" t="s">
        <v>758</v>
      </c>
      <c r="E196" s="328">
        <f t="shared" ref="E196:P196" si="194">SUM(E197:E203)-E201</f>
        <v>76307075</v>
      </c>
      <c r="F196" s="328">
        <f t="shared" si="194"/>
        <v>76307075</v>
      </c>
      <c r="G196" s="328">
        <f t="shared" si="194"/>
        <v>53120029</v>
      </c>
      <c r="H196" s="328">
        <f t="shared" si="194"/>
        <v>3540578</v>
      </c>
      <c r="I196" s="328">
        <f t="shared" si="194"/>
        <v>0</v>
      </c>
      <c r="J196" s="328">
        <f t="shared" si="194"/>
        <v>1219190</v>
      </c>
      <c r="K196" s="328">
        <f t="shared" si="194"/>
        <v>0</v>
      </c>
      <c r="L196" s="328">
        <f t="shared" si="194"/>
        <v>1103190</v>
      </c>
      <c r="M196" s="328">
        <f t="shared" si="194"/>
        <v>567120</v>
      </c>
      <c r="N196" s="328">
        <f t="shared" si="194"/>
        <v>60700</v>
      </c>
      <c r="O196" s="328">
        <f t="shared" si="194"/>
        <v>116000</v>
      </c>
      <c r="P196" s="328">
        <f t="shared" si="194"/>
        <v>77526265</v>
      </c>
      <c r="Q196" s="25"/>
      <c r="R196" s="50"/>
    </row>
    <row r="197" spans="1:18" ht="48" thickTop="1" thickBot="1" x14ac:dyDescent="0.25">
      <c r="A197" s="103" t="s">
        <v>172</v>
      </c>
      <c r="B197" s="103" t="s">
        <v>173</v>
      </c>
      <c r="C197" s="103" t="s">
        <v>174</v>
      </c>
      <c r="D197" s="103" t="s">
        <v>175</v>
      </c>
      <c r="E197" s="328">
        <f t="shared" ref="E197:E199" si="195">F197</f>
        <v>18479775</v>
      </c>
      <c r="F197" s="477">
        <v>18479775</v>
      </c>
      <c r="G197" s="477">
        <v>13552210</v>
      </c>
      <c r="H197" s="477">
        <f>914400+11100+184288+28000+22100</f>
        <v>1159888</v>
      </c>
      <c r="I197" s="477"/>
      <c r="J197" s="328">
        <f t="shared" si="191"/>
        <v>169000</v>
      </c>
      <c r="K197" s="477"/>
      <c r="L197" s="477">
        <v>169000</v>
      </c>
      <c r="M197" s="477">
        <v>31000</v>
      </c>
      <c r="N197" s="477">
        <v>21000</v>
      </c>
      <c r="O197" s="474">
        <f t="shared" ref="O197:O203" si="196">K197</f>
        <v>0</v>
      </c>
      <c r="P197" s="328">
        <f t="shared" si="192"/>
        <v>18648775</v>
      </c>
      <c r="Q197" s="20"/>
      <c r="R197" s="46"/>
    </row>
    <row r="198" spans="1:18" ht="48" thickTop="1" thickBot="1" x14ac:dyDescent="0.25">
      <c r="A198" s="103" t="s">
        <v>176</v>
      </c>
      <c r="B198" s="103" t="s">
        <v>177</v>
      </c>
      <c r="C198" s="103" t="s">
        <v>174</v>
      </c>
      <c r="D198" s="103" t="s">
        <v>463</v>
      </c>
      <c r="E198" s="328">
        <f t="shared" si="195"/>
        <v>2847504</v>
      </c>
      <c r="F198" s="477">
        <v>2847504</v>
      </c>
      <c r="G198" s="477">
        <v>1875700</v>
      </c>
      <c r="H198" s="477">
        <f>344000+5350+135610+4400</f>
        <v>489360</v>
      </c>
      <c r="I198" s="477"/>
      <c r="J198" s="328">
        <f t="shared" si="191"/>
        <v>113790</v>
      </c>
      <c r="K198" s="477"/>
      <c r="L198" s="477">
        <v>113790</v>
      </c>
      <c r="M198" s="477">
        <v>17920</v>
      </c>
      <c r="N198" s="477">
        <v>5700</v>
      </c>
      <c r="O198" s="474">
        <f t="shared" si="196"/>
        <v>0</v>
      </c>
      <c r="P198" s="328">
        <f t="shared" si="192"/>
        <v>2961294</v>
      </c>
      <c r="Q198" s="20"/>
      <c r="R198" s="46"/>
    </row>
    <row r="199" spans="1:18" ht="93" thickTop="1" thickBot="1" x14ac:dyDescent="0.25">
      <c r="A199" s="103" t="s">
        <v>178</v>
      </c>
      <c r="B199" s="103" t="s">
        <v>171</v>
      </c>
      <c r="C199" s="103" t="s">
        <v>179</v>
      </c>
      <c r="D199" s="103" t="s">
        <v>180</v>
      </c>
      <c r="E199" s="328">
        <f t="shared" si="195"/>
        <v>21555193</v>
      </c>
      <c r="F199" s="477">
        <v>21555193</v>
      </c>
      <c r="G199" s="477">
        <v>15462100</v>
      </c>
      <c r="H199" s="477">
        <f>982800+12680+678200+90000+41200</f>
        <v>1804880</v>
      </c>
      <c r="I199" s="477"/>
      <c r="J199" s="328">
        <f t="shared" si="191"/>
        <v>762000</v>
      </c>
      <c r="K199" s="477"/>
      <c r="L199" s="477">
        <f>762000-57400</f>
        <v>704600</v>
      </c>
      <c r="M199" s="477">
        <v>506000</v>
      </c>
      <c r="N199" s="477">
        <v>34000</v>
      </c>
      <c r="O199" s="474">
        <f>(K199+57400)</f>
        <v>57400</v>
      </c>
      <c r="P199" s="328">
        <f t="shared" si="192"/>
        <v>22317193</v>
      </c>
      <c r="Q199" s="20"/>
      <c r="R199" s="46"/>
    </row>
    <row r="200" spans="1:18" ht="48" hidden="1" thickTop="1" thickBot="1" x14ac:dyDescent="0.25">
      <c r="A200" s="128" t="s">
        <v>1204</v>
      </c>
      <c r="B200" s="128" t="s">
        <v>1205</v>
      </c>
      <c r="C200" s="128" t="s">
        <v>1207</v>
      </c>
      <c r="D200" s="128" t="s">
        <v>1206</v>
      </c>
      <c r="E200" s="127">
        <f t="shared" ref="E200" si="197">F200</f>
        <v>0</v>
      </c>
      <c r="F200" s="134"/>
      <c r="G200" s="134"/>
      <c r="H200" s="134"/>
      <c r="I200" s="134"/>
      <c r="J200" s="127">
        <f t="shared" ref="J200" si="198">L200+O200</f>
        <v>0</v>
      </c>
      <c r="K200" s="134"/>
      <c r="L200" s="134"/>
      <c r="M200" s="134"/>
      <c r="N200" s="134"/>
      <c r="O200" s="132">
        <f>(K200)</f>
        <v>0</v>
      </c>
      <c r="P200" s="127">
        <f t="shared" ref="P200" si="199">E200+J200</f>
        <v>0</v>
      </c>
      <c r="Q200" s="20"/>
      <c r="R200" s="46"/>
    </row>
    <row r="201" spans="1:18" ht="48" thickTop="1" thickBot="1" x14ac:dyDescent="0.25">
      <c r="A201" s="329" t="s">
        <v>759</v>
      </c>
      <c r="B201" s="329" t="s">
        <v>760</v>
      </c>
      <c r="C201" s="329"/>
      <c r="D201" s="329" t="s">
        <v>761</v>
      </c>
      <c r="E201" s="325">
        <f>SUM(E202:E203)</f>
        <v>33424603</v>
      </c>
      <c r="F201" s="325">
        <f t="shared" ref="F201:P201" si="200">SUM(F202:F203)</f>
        <v>33424603</v>
      </c>
      <c r="G201" s="325">
        <f t="shared" si="200"/>
        <v>22230019</v>
      </c>
      <c r="H201" s="325">
        <f t="shared" si="200"/>
        <v>86450</v>
      </c>
      <c r="I201" s="325">
        <f t="shared" si="200"/>
        <v>0</v>
      </c>
      <c r="J201" s="325">
        <f t="shared" si="200"/>
        <v>174400</v>
      </c>
      <c r="K201" s="325">
        <f t="shared" si="200"/>
        <v>0</v>
      </c>
      <c r="L201" s="325">
        <f t="shared" si="200"/>
        <v>115800</v>
      </c>
      <c r="M201" s="325">
        <f t="shared" si="200"/>
        <v>12200</v>
      </c>
      <c r="N201" s="325">
        <f t="shared" si="200"/>
        <v>0</v>
      </c>
      <c r="O201" s="325">
        <f t="shared" si="200"/>
        <v>58600</v>
      </c>
      <c r="P201" s="325">
        <f t="shared" si="200"/>
        <v>33599003</v>
      </c>
      <c r="Q201" s="20"/>
      <c r="R201" s="46"/>
    </row>
    <row r="202" spans="1:18" ht="48" thickTop="1" thickBot="1" x14ac:dyDescent="0.25">
      <c r="A202" s="103" t="s">
        <v>333</v>
      </c>
      <c r="B202" s="103" t="s">
        <v>334</v>
      </c>
      <c r="C202" s="103" t="s">
        <v>182</v>
      </c>
      <c r="D202" s="103" t="s">
        <v>464</v>
      </c>
      <c r="E202" s="328">
        <f>F202</f>
        <v>29071503</v>
      </c>
      <c r="F202" s="477">
        <v>29071503</v>
      </c>
      <c r="G202" s="477">
        <v>22230019</v>
      </c>
      <c r="H202" s="477">
        <f>77900+8250+300</f>
        <v>86450</v>
      </c>
      <c r="I202" s="477"/>
      <c r="J202" s="328">
        <f t="shared" si="191"/>
        <v>174400</v>
      </c>
      <c r="K202" s="477"/>
      <c r="L202" s="477">
        <f>174400-58600</f>
        <v>115800</v>
      </c>
      <c r="M202" s="477">
        <v>12200</v>
      </c>
      <c r="N202" s="477"/>
      <c r="O202" s="474">
        <f>(K202+58600)</f>
        <v>58600</v>
      </c>
      <c r="P202" s="328">
        <f t="shared" si="192"/>
        <v>29245903</v>
      </c>
      <c r="Q202" s="20"/>
      <c r="R202" s="46"/>
    </row>
    <row r="203" spans="1:18" ht="48" thickTop="1" thickBot="1" x14ac:dyDescent="0.25">
      <c r="A203" s="103" t="s">
        <v>335</v>
      </c>
      <c r="B203" s="103" t="s">
        <v>336</v>
      </c>
      <c r="C203" s="103" t="s">
        <v>182</v>
      </c>
      <c r="D203" s="103" t="s">
        <v>465</v>
      </c>
      <c r="E203" s="328">
        <f>F203</f>
        <v>4353100</v>
      </c>
      <c r="F203" s="477">
        <v>4353100</v>
      </c>
      <c r="G203" s="477"/>
      <c r="H203" s="477"/>
      <c r="I203" s="477"/>
      <c r="J203" s="328">
        <f t="shared" si="191"/>
        <v>0</v>
      </c>
      <c r="K203" s="477"/>
      <c r="L203" s="477"/>
      <c r="M203" s="477"/>
      <c r="N203" s="477"/>
      <c r="O203" s="474">
        <f t="shared" si="196"/>
        <v>0</v>
      </c>
      <c r="P203" s="328">
        <f t="shared" si="192"/>
        <v>4353100</v>
      </c>
      <c r="Q203" s="20"/>
      <c r="R203" s="50"/>
    </row>
    <row r="204" spans="1:18" ht="47.25" thickTop="1" thickBot="1" x14ac:dyDescent="0.25">
      <c r="A204" s="311" t="s">
        <v>917</v>
      </c>
      <c r="B204" s="311" t="s">
        <v>749</v>
      </c>
      <c r="C204" s="311"/>
      <c r="D204" s="311" t="s">
        <v>750</v>
      </c>
      <c r="E204" s="328">
        <f>SUM(E205)</f>
        <v>1026850</v>
      </c>
      <c r="F204" s="328">
        <f t="shared" ref="F204:P204" si="201">SUM(F205)</f>
        <v>1026850</v>
      </c>
      <c r="G204" s="328">
        <f t="shared" si="201"/>
        <v>0</v>
      </c>
      <c r="H204" s="328">
        <f t="shared" si="201"/>
        <v>0</v>
      </c>
      <c r="I204" s="328">
        <f t="shared" si="201"/>
        <v>0</v>
      </c>
      <c r="J204" s="328">
        <f t="shared" si="201"/>
        <v>0</v>
      </c>
      <c r="K204" s="328">
        <f t="shared" si="201"/>
        <v>0</v>
      </c>
      <c r="L204" s="328">
        <f t="shared" si="201"/>
        <v>0</v>
      </c>
      <c r="M204" s="328">
        <f t="shared" si="201"/>
        <v>0</v>
      </c>
      <c r="N204" s="328">
        <f t="shared" si="201"/>
        <v>0</v>
      </c>
      <c r="O204" s="328">
        <f t="shared" si="201"/>
        <v>0</v>
      </c>
      <c r="P204" s="328">
        <f t="shared" si="201"/>
        <v>1026850</v>
      </c>
      <c r="Q204" s="20"/>
      <c r="R204" s="50"/>
    </row>
    <row r="205" spans="1:18" ht="47.25" thickTop="1" thickBot="1" x14ac:dyDescent="0.25">
      <c r="A205" s="313" t="s">
        <v>918</v>
      </c>
      <c r="B205" s="313" t="s">
        <v>692</v>
      </c>
      <c r="C205" s="313"/>
      <c r="D205" s="313" t="s">
        <v>690</v>
      </c>
      <c r="E205" s="315">
        <f>E206+E209+E208</f>
        <v>1026850</v>
      </c>
      <c r="F205" s="315">
        <f t="shared" ref="F205:P205" si="202">F206+F209+F208</f>
        <v>1026850</v>
      </c>
      <c r="G205" s="315">
        <f t="shared" si="202"/>
        <v>0</v>
      </c>
      <c r="H205" s="315">
        <f t="shared" si="202"/>
        <v>0</v>
      </c>
      <c r="I205" s="315">
        <f t="shared" si="202"/>
        <v>0</v>
      </c>
      <c r="J205" s="315">
        <f t="shared" si="202"/>
        <v>0</v>
      </c>
      <c r="K205" s="315">
        <f t="shared" si="202"/>
        <v>0</v>
      </c>
      <c r="L205" s="315">
        <f t="shared" si="202"/>
        <v>0</v>
      </c>
      <c r="M205" s="315">
        <f t="shared" si="202"/>
        <v>0</v>
      </c>
      <c r="N205" s="315">
        <f t="shared" si="202"/>
        <v>0</v>
      </c>
      <c r="O205" s="315">
        <f t="shared" si="202"/>
        <v>0</v>
      </c>
      <c r="P205" s="315">
        <f t="shared" si="202"/>
        <v>1026850</v>
      </c>
      <c r="Q205" s="20"/>
      <c r="R205" s="50"/>
    </row>
    <row r="206" spans="1:18" ht="48" thickTop="1" thickBot="1" x14ac:dyDescent="0.25">
      <c r="A206" s="329" t="s">
        <v>1039</v>
      </c>
      <c r="B206" s="329" t="s">
        <v>1040</v>
      </c>
      <c r="C206" s="329"/>
      <c r="D206" s="329" t="s">
        <v>1038</v>
      </c>
      <c r="E206" s="325">
        <f>E207</f>
        <v>1026850</v>
      </c>
      <c r="F206" s="325">
        <f t="shared" ref="F206:P206" si="203">F207</f>
        <v>1026850</v>
      </c>
      <c r="G206" s="325">
        <f t="shared" si="203"/>
        <v>0</v>
      </c>
      <c r="H206" s="325">
        <f t="shared" si="203"/>
        <v>0</v>
      </c>
      <c r="I206" s="325">
        <f t="shared" si="203"/>
        <v>0</v>
      </c>
      <c r="J206" s="325">
        <f t="shared" si="203"/>
        <v>0</v>
      </c>
      <c r="K206" s="325">
        <f t="shared" si="203"/>
        <v>0</v>
      </c>
      <c r="L206" s="325">
        <f t="shared" si="203"/>
        <v>0</v>
      </c>
      <c r="M206" s="325">
        <f t="shared" si="203"/>
        <v>0</v>
      </c>
      <c r="N206" s="325">
        <f t="shared" si="203"/>
        <v>0</v>
      </c>
      <c r="O206" s="325">
        <f t="shared" si="203"/>
        <v>0</v>
      </c>
      <c r="P206" s="325">
        <f t="shared" si="203"/>
        <v>1026850</v>
      </c>
      <c r="Q206" s="20"/>
      <c r="R206" s="50"/>
    </row>
    <row r="207" spans="1:18" ht="48" thickTop="1" thickBot="1" x14ac:dyDescent="0.25">
      <c r="A207" s="103" t="s">
        <v>1042</v>
      </c>
      <c r="B207" s="103" t="s">
        <v>1043</v>
      </c>
      <c r="C207" s="103" t="s">
        <v>213</v>
      </c>
      <c r="D207" s="103" t="s">
        <v>1041</v>
      </c>
      <c r="E207" s="328">
        <f>F207</f>
        <v>1026850</v>
      </c>
      <c r="F207" s="477">
        <v>1026850</v>
      </c>
      <c r="G207" s="477"/>
      <c r="H207" s="477"/>
      <c r="I207" s="477"/>
      <c r="J207" s="328">
        <f>L207+O207</f>
        <v>0</v>
      </c>
      <c r="K207" s="477"/>
      <c r="L207" s="477"/>
      <c r="M207" s="477"/>
      <c r="N207" s="477"/>
      <c r="O207" s="474">
        <f>K207</f>
        <v>0</v>
      </c>
      <c r="P207" s="328">
        <f>E207+J207</f>
        <v>1026850</v>
      </c>
      <c r="Q207" s="20"/>
      <c r="R207" s="50"/>
    </row>
    <row r="208" spans="1:18" ht="48" hidden="1" thickTop="1" thickBot="1" x14ac:dyDescent="0.25">
      <c r="A208" s="128" t="s">
        <v>1277</v>
      </c>
      <c r="B208" s="128" t="s">
        <v>212</v>
      </c>
      <c r="C208" s="128" t="s">
        <v>213</v>
      </c>
      <c r="D208" s="128" t="s">
        <v>41</v>
      </c>
      <c r="E208" s="127">
        <f t="shared" ref="E208" si="204">F208</f>
        <v>0</v>
      </c>
      <c r="F208" s="134"/>
      <c r="G208" s="134"/>
      <c r="H208" s="134"/>
      <c r="I208" s="134"/>
      <c r="J208" s="127">
        <f>L208+O208</f>
        <v>0</v>
      </c>
      <c r="K208" s="134"/>
      <c r="L208" s="134"/>
      <c r="M208" s="134"/>
      <c r="N208" s="134"/>
      <c r="O208" s="132">
        <f>K208</f>
        <v>0</v>
      </c>
      <c r="P208" s="127">
        <f>E208+J208</f>
        <v>0</v>
      </c>
      <c r="Q208" s="20"/>
      <c r="R208" s="50"/>
    </row>
    <row r="209" spans="1:18" ht="48" hidden="1" thickTop="1" thickBot="1" x14ac:dyDescent="0.25">
      <c r="A209" s="128" t="s">
        <v>919</v>
      </c>
      <c r="B209" s="128" t="s">
        <v>197</v>
      </c>
      <c r="C209" s="128" t="s">
        <v>170</v>
      </c>
      <c r="D209" s="128" t="s">
        <v>34</v>
      </c>
      <c r="E209" s="127">
        <f t="shared" ref="E209" si="205">F209</f>
        <v>0</v>
      </c>
      <c r="F209" s="134"/>
      <c r="G209" s="134"/>
      <c r="H209" s="134"/>
      <c r="I209" s="134"/>
      <c r="J209" s="127">
        <f t="shared" ref="J209" si="206">L209+O209</f>
        <v>0</v>
      </c>
      <c r="K209" s="134">
        <f>940242-455475-484767</f>
        <v>0</v>
      </c>
      <c r="L209" s="134"/>
      <c r="M209" s="134"/>
      <c r="N209" s="134"/>
      <c r="O209" s="132">
        <f t="shared" ref="O209" si="207">K209</f>
        <v>0</v>
      </c>
      <c r="P209" s="127">
        <f t="shared" ref="P209" si="208">E209+J209</f>
        <v>0</v>
      </c>
      <c r="Q209" s="20"/>
      <c r="R209" s="46"/>
    </row>
    <row r="210" spans="1:18" ht="47.25" hidden="1" thickTop="1" thickBot="1" x14ac:dyDescent="0.25">
      <c r="A210" s="146" t="s">
        <v>762</v>
      </c>
      <c r="B210" s="146" t="s">
        <v>703</v>
      </c>
      <c r="C210" s="146"/>
      <c r="D210" s="146" t="s">
        <v>704</v>
      </c>
      <c r="E210" s="42">
        <f>E211</f>
        <v>0</v>
      </c>
      <c r="F210" s="42">
        <f t="shared" ref="F210:P211" si="209">F211</f>
        <v>0</v>
      </c>
      <c r="G210" s="42">
        <f t="shared" si="209"/>
        <v>0</v>
      </c>
      <c r="H210" s="42">
        <f t="shared" si="209"/>
        <v>0</v>
      </c>
      <c r="I210" s="42">
        <f t="shared" si="209"/>
        <v>0</v>
      </c>
      <c r="J210" s="42">
        <f t="shared" si="209"/>
        <v>0</v>
      </c>
      <c r="K210" s="42">
        <f t="shared" si="209"/>
        <v>0</v>
      </c>
      <c r="L210" s="42">
        <f t="shared" si="209"/>
        <v>0</v>
      </c>
      <c r="M210" s="42">
        <f t="shared" si="209"/>
        <v>0</v>
      </c>
      <c r="N210" s="42">
        <f t="shared" si="209"/>
        <v>0</v>
      </c>
      <c r="O210" s="42">
        <f t="shared" si="209"/>
        <v>0</v>
      </c>
      <c r="P210" s="42">
        <f t="shared" si="209"/>
        <v>0</v>
      </c>
      <c r="Q210" s="20"/>
      <c r="R210" s="50"/>
    </row>
    <row r="211" spans="1:18" ht="91.5" hidden="1" thickTop="1" thickBot="1" x14ac:dyDescent="0.25">
      <c r="A211" s="147" t="s">
        <v>763</v>
      </c>
      <c r="B211" s="147" t="s">
        <v>706</v>
      </c>
      <c r="C211" s="147"/>
      <c r="D211" s="147" t="s">
        <v>707</v>
      </c>
      <c r="E211" s="148">
        <f>E212</f>
        <v>0</v>
      </c>
      <c r="F211" s="148">
        <f t="shared" si="209"/>
        <v>0</v>
      </c>
      <c r="G211" s="148">
        <f t="shared" si="209"/>
        <v>0</v>
      </c>
      <c r="H211" s="148">
        <f t="shared" si="209"/>
        <v>0</v>
      </c>
      <c r="I211" s="148">
        <f t="shared" si="209"/>
        <v>0</v>
      </c>
      <c r="J211" s="148">
        <f t="shared" si="209"/>
        <v>0</v>
      </c>
      <c r="K211" s="148">
        <f t="shared" si="209"/>
        <v>0</v>
      </c>
      <c r="L211" s="148">
        <f t="shared" si="209"/>
        <v>0</v>
      </c>
      <c r="M211" s="148">
        <f t="shared" si="209"/>
        <v>0</v>
      </c>
      <c r="N211" s="148">
        <f t="shared" si="209"/>
        <v>0</v>
      </c>
      <c r="O211" s="148">
        <f t="shared" si="209"/>
        <v>0</v>
      </c>
      <c r="P211" s="148">
        <f t="shared" si="209"/>
        <v>0</v>
      </c>
      <c r="Q211" s="20"/>
      <c r="R211" s="50"/>
    </row>
    <row r="212" spans="1:18" ht="48" hidden="1" thickTop="1" thickBot="1" x14ac:dyDescent="0.25">
      <c r="A212" s="41" t="s">
        <v>587</v>
      </c>
      <c r="B212" s="41" t="s">
        <v>363</v>
      </c>
      <c r="C212" s="41" t="s">
        <v>43</v>
      </c>
      <c r="D212" s="41" t="s">
        <v>364</v>
      </c>
      <c r="E212" s="42">
        <f t="shared" ref="E212" si="210">F212</f>
        <v>0</v>
      </c>
      <c r="F212" s="43">
        <v>0</v>
      </c>
      <c r="G212" s="43"/>
      <c r="H212" s="43"/>
      <c r="I212" s="43"/>
      <c r="J212" s="42">
        <f>L212+O212</f>
        <v>0</v>
      </c>
      <c r="K212" s="43"/>
      <c r="L212" s="43"/>
      <c r="M212" s="43"/>
      <c r="N212" s="43"/>
      <c r="O212" s="44">
        <f>K212</f>
        <v>0</v>
      </c>
      <c r="P212" s="42">
        <f>E212+J212</f>
        <v>0</v>
      </c>
      <c r="Q212" s="20"/>
      <c r="R212" s="50"/>
    </row>
    <row r="213" spans="1:18" ht="91.5" thickTop="1" thickBot="1" x14ac:dyDescent="0.25">
      <c r="A213" s="508" t="s">
        <v>22</v>
      </c>
      <c r="B213" s="508"/>
      <c r="C213" s="508"/>
      <c r="D213" s="509" t="s">
        <v>23</v>
      </c>
      <c r="E213" s="535">
        <f>E214</f>
        <v>122082324</v>
      </c>
      <c r="F213" s="510">
        <f t="shared" ref="F213:G213" si="211">F214</f>
        <v>122082324</v>
      </c>
      <c r="G213" s="510">
        <f t="shared" si="211"/>
        <v>52092425</v>
      </c>
      <c r="H213" s="510">
        <f>H214</f>
        <v>4493410</v>
      </c>
      <c r="I213" s="510">
        <f t="shared" ref="I213" si="212">I214</f>
        <v>0</v>
      </c>
      <c r="J213" s="535">
        <f>J214</f>
        <v>2913442</v>
      </c>
      <c r="K213" s="510">
        <f>K214</f>
        <v>1000000</v>
      </c>
      <c r="L213" s="510">
        <f>L214</f>
        <v>1888442</v>
      </c>
      <c r="M213" s="510">
        <f t="shared" ref="M213" si="213">M214</f>
        <v>704165</v>
      </c>
      <c r="N213" s="510">
        <f>N214</f>
        <v>524376</v>
      </c>
      <c r="O213" s="535">
        <f>O214</f>
        <v>1025000</v>
      </c>
      <c r="P213" s="510">
        <f t="shared" ref="P213" si="214">P214</f>
        <v>124995766</v>
      </c>
      <c r="Q213" s="20"/>
    </row>
    <row r="214" spans="1:18" ht="178.5" customHeight="1" thickTop="1" thickBot="1" x14ac:dyDescent="0.25">
      <c r="A214" s="511" t="s">
        <v>21</v>
      </c>
      <c r="B214" s="511"/>
      <c r="C214" s="511"/>
      <c r="D214" s="512" t="s">
        <v>35</v>
      </c>
      <c r="E214" s="513">
        <f>E215+E221+E236+E239+E246</f>
        <v>122082324</v>
      </c>
      <c r="F214" s="513">
        <f t="shared" ref="F214:I214" si="215">F215+F221+F236+F239+F246</f>
        <v>122082324</v>
      </c>
      <c r="G214" s="513">
        <f t="shared" si="215"/>
        <v>52092425</v>
      </c>
      <c r="H214" s="513">
        <f t="shared" si="215"/>
        <v>4493410</v>
      </c>
      <c r="I214" s="513">
        <f t="shared" si="215"/>
        <v>0</v>
      </c>
      <c r="J214" s="513">
        <f>L214+O214</f>
        <v>2913442</v>
      </c>
      <c r="K214" s="513">
        <f t="shared" ref="K214" si="216">K215+K221+K236+K239+K246</f>
        <v>1000000</v>
      </c>
      <c r="L214" s="513">
        <f t="shared" ref="L214" si="217">L215+L221+L236+L239+L246</f>
        <v>1888442</v>
      </c>
      <c r="M214" s="513">
        <f t="shared" ref="M214" si="218">M215+M221+M236+M239+M246</f>
        <v>704165</v>
      </c>
      <c r="N214" s="513">
        <f t="shared" ref="N214" si="219">N215+N221+N236+N239+N246</f>
        <v>524376</v>
      </c>
      <c r="O214" s="513">
        <f t="shared" ref="O214" si="220">O215+O221+O236+O239+O246</f>
        <v>1025000</v>
      </c>
      <c r="P214" s="513">
        <f>E214+J214</f>
        <v>124995766</v>
      </c>
      <c r="Q214" s="536" t="b">
        <f>P214=P219+P220+P223+P224+P226+P228+P229+P233+P234+P235</f>
        <v>1</v>
      </c>
      <c r="R214" s="46"/>
    </row>
    <row r="215" spans="1:18" ht="47.25" thickTop="1" thickBot="1" x14ac:dyDescent="0.25">
      <c r="A215" s="311" t="s">
        <v>764</v>
      </c>
      <c r="B215" s="311" t="s">
        <v>712</v>
      </c>
      <c r="C215" s="311"/>
      <c r="D215" s="311" t="s">
        <v>713</v>
      </c>
      <c r="E215" s="632">
        <f>SUM(E216:E220)-E216-E218</f>
        <v>13133719</v>
      </c>
      <c r="F215" s="632">
        <f t="shared" ref="F215:P215" si="221">SUM(F216:F220)-F216-F218</f>
        <v>13133719</v>
      </c>
      <c r="G215" s="632">
        <f t="shared" si="221"/>
        <v>5109873</v>
      </c>
      <c r="H215" s="632">
        <f t="shared" si="221"/>
        <v>1033530</v>
      </c>
      <c r="I215" s="632">
        <f t="shared" si="221"/>
        <v>0</v>
      </c>
      <c r="J215" s="632">
        <f t="shared" si="221"/>
        <v>421200</v>
      </c>
      <c r="K215" s="632">
        <f t="shared" si="221"/>
        <v>0</v>
      </c>
      <c r="L215" s="632">
        <f t="shared" si="221"/>
        <v>421200</v>
      </c>
      <c r="M215" s="632">
        <f t="shared" si="221"/>
        <v>198800</v>
      </c>
      <c r="N215" s="632">
        <f t="shared" si="221"/>
        <v>152665</v>
      </c>
      <c r="O215" s="632">
        <f t="shared" si="221"/>
        <v>0</v>
      </c>
      <c r="P215" s="632">
        <f t="shared" si="221"/>
        <v>13554919</v>
      </c>
      <c r="Q215" s="47"/>
      <c r="R215" s="46"/>
    </row>
    <row r="216" spans="1:18" s="33" customFormat="1" ht="48" hidden="1" thickTop="1" thickBot="1" x14ac:dyDescent="0.25">
      <c r="A216" s="329" t="s">
        <v>765</v>
      </c>
      <c r="B216" s="329" t="s">
        <v>766</v>
      </c>
      <c r="C216" s="329"/>
      <c r="D216" s="329" t="s">
        <v>767</v>
      </c>
      <c r="E216" s="633">
        <f>E217</f>
        <v>0</v>
      </c>
      <c r="F216" s="633">
        <f t="shared" ref="F216:P216" si="222">F217</f>
        <v>0</v>
      </c>
      <c r="G216" s="633">
        <f t="shared" si="222"/>
        <v>0</v>
      </c>
      <c r="H216" s="633">
        <f t="shared" si="222"/>
        <v>0</v>
      </c>
      <c r="I216" s="633">
        <f t="shared" si="222"/>
        <v>0</v>
      </c>
      <c r="J216" s="633">
        <f t="shared" si="222"/>
        <v>0</v>
      </c>
      <c r="K216" s="633">
        <f t="shared" si="222"/>
        <v>0</v>
      </c>
      <c r="L216" s="633">
        <f t="shared" si="222"/>
        <v>0</v>
      </c>
      <c r="M216" s="633">
        <f t="shared" si="222"/>
        <v>0</v>
      </c>
      <c r="N216" s="633">
        <f t="shared" si="222"/>
        <v>0</v>
      </c>
      <c r="O216" s="633">
        <f t="shared" si="222"/>
        <v>0</v>
      </c>
      <c r="P216" s="633">
        <f t="shared" si="222"/>
        <v>0</v>
      </c>
      <c r="Q216" s="157"/>
      <c r="R216" s="52"/>
    </row>
    <row r="217" spans="1:18" ht="48" hidden="1" thickTop="1" thickBot="1" x14ac:dyDescent="0.25">
      <c r="A217" s="103" t="s">
        <v>183</v>
      </c>
      <c r="B217" s="103" t="s">
        <v>184</v>
      </c>
      <c r="C217" s="103" t="s">
        <v>185</v>
      </c>
      <c r="D217" s="103" t="s">
        <v>639</v>
      </c>
      <c r="E217" s="312">
        <f t="shared" ref="E217:E234" si="223">F217</f>
        <v>0</v>
      </c>
      <c r="F217" s="326">
        <f>(6040461)-6040461</f>
        <v>0</v>
      </c>
      <c r="G217" s="326">
        <f>(4559615)-4559615</f>
        <v>0</v>
      </c>
      <c r="H217" s="326">
        <f>(96665+5295+31600+3840)-137400</f>
        <v>0</v>
      </c>
      <c r="I217" s="326"/>
      <c r="J217" s="328">
        <f t="shared" ref="J217:J245" si="224">L217+O217</f>
        <v>0</v>
      </c>
      <c r="K217" s="326"/>
      <c r="L217" s="473"/>
      <c r="M217" s="473"/>
      <c r="N217" s="473"/>
      <c r="O217" s="474">
        <f t="shared" ref="O217:O245" si="225">K217</f>
        <v>0</v>
      </c>
      <c r="P217" s="328">
        <f>+J217+E217</f>
        <v>0</v>
      </c>
      <c r="Q217" s="50"/>
      <c r="R217" s="50"/>
    </row>
    <row r="218" spans="1:18" s="33" customFormat="1" ht="48" thickTop="1" thickBot="1" x14ac:dyDescent="0.25">
      <c r="A218" s="329" t="s">
        <v>768</v>
      </c>
      <c r="B218" s="329" t="s">
        <v>769</v>
      </c>
      <c r="C218" s="329"/>
      <c r="D218" s="329" t="s">
        <v>770</v>
      </c>
      <c r="E218" s="481">
        <f>SUM(E219:E220)</f>
        <v>13133719</v>
      </c>
      <c r="F218" s="481">
        <f t="shared" ref="F218:P218" si="226">SUM(F219:F220)</f>
        <v>13133719</v>
      </c>
      <c r="G218" s="481">
        <f t="shared" si="226"/>
        <v>5109873</v>
      </c>
      <c r="H218" s="481">
        <f t="shared" si="226"/>
        <v>1033530</v>
      </c>
      <c r="I218" s="481">
        <f t="shared" si="226"/>
        <v>0</v>
      </c>
      <c r="J218" s="481">
        <f t="shared" si="226"/>
        <v>421200</v>
      </c>
      <c r="K218" s="481">
        <f t="shared" si="226"/>
        <v>0</v>
      </c>
      <c r="L218" s="481">
        <f t="shared" si="226"/>
        <v>421200</v>
      </c>
      <c r="M218" s="481">
        <f t="shared" si="226"/>
        <v>198800</v>
      </c>
      <c r="N218" s="481">
        <f t="shared" si="226"/>
        <v>152665</v>
      </c>
      <c r="O218" s="481">
        <f t="shared" si="226"/>
        <v>0</v>
      </c>
      <c r="P218" s="481">
        <f t="shared" si="226"/>
        <v>13554919</v>
      </c>
      <c r="Q218" s="51"/>
      <c r="R218" s="51"/>
    </row>
    <row r="219" spans="1:18" ht="48" thickTop="1" thickBot="1" x14ac:dyDescent="0.25">
      <c r="A219" s="103" t="s">
        <v>189</v>
      </c>
      <c r="B219" s="103" t="s">
        <v>190</v>
      </c>
      <c r="C219" s="103" t="s">
        <v>185</v>
      </c>
      <c r="D219" s="103" t="s">
        <v>10</v>
      </c>
      <c r="E219" s="312">
        <f t="shared" si="223"/>
        <v>5976842</v>
      </c>
      <c r="F219" s="326">
        <v>5976842</v>
      </c>
      <c r="G219" s="326">
        <v>3757524</v>
      </c>
      <c r="H219" s="326">
        <f>640500+6906+191040+3080</f>
        <v>841526</v>
      </c>
      <c r="I219" s="326"/>
      <c r="J219" s="328">
        <f t="shared" si="224"/>
        <v>421200</v>
      </c>
      <c r="K219" s="326"/>
      <c r="L219" s="473">
        <v>421200</v>
      </c>
      <c r="M219" s="473">
        <v>198800</v>
      </c>
      <c r="N219" s="473">
        <v>152665</v>
      </c>
      <c r="O219" s="474">
        <f>K219</f>
        <v>0</v>
      </c>
      <c r="P219" s="328">
        <f t="shared" ref="P219:P245" si="227">E219+J219</f>
        <v>6398042</v>
      </c>
      <c r="Q219" s="20"/>
      <c r="R219" s="46"/>
    </row>
    <row r="220" spans="1:18" ht="48" thickTop="1" thickBot="1" x14ac:dyDescent="0.25">
      <c r="A220" s="103" t="s">
        <v>351</v>
      </c>
      <c r="B220" s="103" t="s">
        <v>352</v>
      </c>
      <c r="C220" s="103" t="s">
        <v>185</v>
      </c>
      <c r="D220" s="103" t="s">
        <v>353</v>
      </c>
      <c r="E220" s="312">
        <f t="shared" si="223"/>
        <v>7156877</v>
      </c>
      <c r="F220" s="326">
        <v>7156877</v>
      </c>
      <c r="G220" s="326">
        <v>1352349</v>
      </c>
      <c r="H220" s="326">
        <f>102138+6560+80906+2400</f>
        <v>192004</v>
      </c>
      <c r="I220" s="326"/>
      <c r="J220" s="328">
        <f t="shared" si="224"/>
        <v>0</v>
      </c>
      <c r="K220" s="326"/>
      <c r="L220" s="473"/>
      <c r="M220" s="473"/>
      <c r="N220" s="473"/>
      <c r="O220" s="474">
        <f t="shared" si="225"/>
        <v>0</v>
      </c>
      <c r="P220" s="328">
        <f t="shared" si="227"/>
        <v>7156877</v>
      </c>
      <c r="Q220" s="20"/>
      <c r="R220" s="46"/>
    </row>
    <row r="221" spans="1:18" ht="47.25" thickTop="1" thickBot="1" x14ac:dyDescent="0.25">
      <c r="A221" s="311" t="s">
        <v>771</v>
      </c>
      <c r="B221" s="311" t="s">
        <v>772</v>
      </c>
      <c r="C221" s="103"/>
      <c r="D221" s="311" t="s">
        <v>773</v>
      </c>
      <c r="E221" s="312">
        <f t="shared" ref="E221:P221" si="228">SUM(E222:E235)-E222-E225-E227-E232-E230</f>
        <v>108948605</v>
      </c>
      <c r="F221" s="312">
        <f t="shared" si="228"/>
        <v>108948605</v>
      </c>
      <c r="G221" s="312">
        <f t="shared" si="228"/>
        <v>46982552</v>
      </c>
      <c r="H221" s="312">
        <f t="shared" si="228"/>
        <v>3459880</v>
      </c>
      <c r="I221" s="312">
        <f t="shared" si="228"/>
        <v>0</v>
      </c>
      <c r="J221" s="312">
        <f t="shared" si="228"/>
        <v>2492242</v>
      </c>
      <c r="K221" s="312">
        <f t="shared" si="228"/>
        <v>1000000</v>
      </c>
      <c r="L221" s="312">
        <f t="shared" si="228"/>
        <v>1467242</v>
      </c>
      <c r="M221" s="312">
        <f t="shared" si="228"/>
        <v>505365</v>
      </c>
      <c r="N221" s="312">
        <f t="shared" si="228"/>
        <v>371711</v>
      </c>
      <c r="O221" s="312">
        <f t="shared" si="228"/>
        <v>1025000</v>
      </c>
      <c r="P221" s="312">
        <f t="shared" si="228"/>
        <v>111440847</v>
      </c>
      <c r="Q221" s="20"/>
      <c r="R221" s="46"/>
    </row>
    <row r="222" spans="1:18" s="33" customFormat="1" ht="48" thickTop="1" thickBot="1" x14ac:dyDescent="0.25">
      <c r="A222" s="329" t="s">
        <v>774</v>
      </c>
      <c r="B222" s="329" t="s">
        <v>775</v>
      </c>
      <c r="C222" s="329"/>
      <c r="D222" s="329" t="s">
        <v>776</v>
      </c>
      <c r="E222" s="481">
        <f>SUM(E223:E224)</f>
        <v>30399823</v>
      </c>
      <c r="F222" s="481">
        <f t="shared" ref="F222:P222" si="229">SUM(F223:F224)</f>
        <v>30399823</v>
      </c>
      <c r="G222" s="481">
        <f t="shared" si="229"/>
        <v>0</v>
      </c>
      <c r="H222" s="481">
        <f t="shared" si="229"/>
        <v>0</v>
      </c>
      <c r="I222" s="481">
        <f t="shared" si="229"/>
        <v>0</v>
      </c>
      <c r="J222" s="481">
        <f t="shared" si="229"/>
        <v>0</v>
      </c>
      <c r="K222" s="481">
        <f t="shared" si="229"/>
        <v>0</v>
      </c>
      <c r="L222" s="481">
        <f t="shared" si="229"/>
        <v>0</v>
      </c>
      <c r="M222" s="481">
        <f t="shared" si="229"/>
        <v>0</v>
      </c>
      <c r="N222" s="481">
        <f t="shared" si="229"/>
        <v>0</v>
      </c>
      <c r="O222" s="481">
        <f t="shared" si="229"/>
        <v>0</v>
      </c>
      <c r="P222" s="481">
        <f t="shared" si="229"/>
        <v>30399823</v>
      </c>
      <c r="Q222" s="36"/>
      <c r="R222" s="52"/>
    </row>
    <row r="223" spans="1:18" ht="93" thickTop="1" thickBot="1" x14ac:dyDescent="0.25">
      <c r="A223" s="103" t="s">
        <v>44</v>
      </c>
      <c r="B223" s="103" t="s">
        <v>186</v>
      </c>
      <c r="C223" s="103" t="s">
        <v>195</v>
      </c>
      <c r="D223" s="103" t="s">
        <v>45</v>
      </c>
      <c r="E223" s="312">
        <f t="shared" si="223"/>
        <v>27000000</v>
      </c>
      <c r="F223" s="326">
        <v>27000000</v>
      </c>
      <c r="G223" s="477"/>
      <c r="H223" s="477"/>
      <c r="I223" s="477"/>
      <c r="J223" s="328">
        <f t="shared" si="224"/>
        <v>0</v>
      </c>
      <c r="K223" s="477"/>
      <c r="L223" s="477"/>
      <c r="M223" s="477"/>
      <c r="N223" s="477"/>
      <c r="O223" s="474">
        <f t="shared" si="225"/>
        <v>0</v>
      </c>
      <c r="P223" s="328">
        <f t="shared" si="227"/>
        <v>27000000</v>
      </c>
      <c r="Q223" s="20"/>
      <c r="R223" s="46"/>
    </row>
    <row r="224" spans="1:18" ht="93" thickTop="1" thickBot="1" x14ac:dyDescent="0.25">
      <c r="A224" s="103" t="s">
        <v>46</v>
      </c>
      <c r="B224" s="103" t="s">
        <v>187</v>
      </c>
      <c r="C224" s="103" t="s">
        <v>195</v>
      </c>
      <c r="D224" s="103" t="s">
        <v>4</v>
      </c>
      <c r="E224" s="312">
        <f t="shared" si="223"/>
        <v>3399823</v>
      </c>
      <c r="F224" s="326">
        <v>3399823</v>
      </c>
      <c r="G224" s="477"/>
      <c r="H224" s="477"/>
      <c r="I224" s="477"/>
      <c r="J224" s="328">
        <f t="shared" si="224"/>
        <v>0</v>
      </c>
      <c r="K224" s="477"/>
      <c r="L224" s="477"/>
      <c r="M224" s="477"/>
      <c r="N224" s="477"/>
      <c r="O224" s="474">
        <f t="shared" si="225"/>
        <v>0</v>
      </c>
      <c r="P224" s="328">
        <f t="shared" si="227"/>
        <v>3399823</v>
      </c>
      <c r="Q224" s="20"/>
      <c r="R224" s="46"/>
    </row>
    <row r="225" spans="1:18" s="33" customFormat="1" ht="93" thickTop="1" thickBot="1" x14ac:dyDescent="0.25">
      <c r="A225" s="329" t="s">
        <v>777</v>
      </c>
      <c r="B225" s="329" t="s">
        <v>778</v>
      </c>
      <c r="C225" s="329"/>
      <c r="D225" s="329" t="s">
        <v>779</v>
      </c>
      <c r="E225" s="481">
        <f>E226</f>
        <v>41300</v>
      </c>
      <c r="F225" s="481">
        <f t="shared" ref="F225:P225" si="230">F226</f>
        <v>41300</v>
      </c>
      <c r="G225" s="481">
        <f t="shared" si="230"/>
        <v>0</v>
      </c>
      <c r="H225" s="481">
        <f t="shared" si="230"/>
        <v>0</v>
      </c>
      <c r="I225" s="481">
        <f t="shared" si="230"/>
        <v>0</v>
      </c>
      <c r="J225" s="481">
        <f t="shared" si="230"/>
        <v>0</v>
      </c>
      <c r="K225" s="481">
        <f t="shared" si="230"/>
        <v>0</v>
      </c>
      <c r="L225" s="481">
        <f t="shared" si="230"/>
        <v>0</v>
      </c>
      <c r="M225" s="481">
        <f t="shared" si="230"/>
        <v>0</v>
      </c>
      <c r="N225" s="481">
        <f t="shared" si="230"/>
        <v>0</v>
      </c>
      <c r="O225" s="481">
        <f t="shared" si="230"/>
        <v>0</v>
      </c>
      <c r="P225" s="481">
        <f t="shared" si="230"/>
        <v>41300</v>
      </c>
      <c r="Q225" s="36"/>
      <c r="R225" s="53"/>
    </row>
    <row r="226" spans="1:18" ht="93" thickTop="1" thickBot="1" x14ac:dyDescent="0.25">
      <c r="A226" s="103" t="s">
        <v>47</v>
      </c>
      <c r="B226" s="103" t="s">
        <v>188</v>
      </c>
      <c r="C226" s="103" t="s">
        <v>195</v>
      </c>
      <c r="D226" s="103" t="s">
        <v>349</v>
      </c>
      <c r="E226" s="312">
        <f>F226</f>
        <v>41300</v>
      </c>
      <c r="F226" s="326">
        <v>41300</v>
      </c>
      <c r="G226" s="326"/>
      <c r="H226" s="326"/>
      <c r="I226" s="477"/>
      <c r="J226" s="328">
        <f t="shared" si="224"/>
        <v>0</v>
      </c>
      <c r="K226" s="477"/>
      <c r="L226" s="326"/>
      <c r="M226" s="326"/>
      <c r="N226" s="326"/>
      <c r="O226" s="474">
        <f t="shared" si="225"/>
        <v>0</v>
      </c>
      <c r="P226" s="328">
        <f t="shared" si="227"/>
        <v>41300</v>
      </c>
      <c r="Q226" s="20"/>
      <c r="R226" s="46"/>
    </row>
    <row r="227" spans="1:18" ht="48" thickTop="1" thickBot="1" x14ac:dyDescent="0.25">
      <c r="A227" s="329" t="s">
        <v>780</v>
      </c>
      <c r="B227" s="329" t="s">
        <v>781</v>
      </c>
      <c r="C227" s="329"/>
      <c r="D227" s="329" t="s">
        <v>782</v>
      </c>
      <c r="E227" s="481">
        <f>SUM(E228:E229)</f>
        <v>70526862</v>
      </c>
      <c r="F227" s="481">
        <f t="shared" ref="F227:P227" si="231">SUM(F228:F229)</f>
        <v>70526862</v>
      </c>
      <c r="G227" s="481">
        <f t="shared" si="231"/>
        <v>45541127</v>
      </c>
      <c r="H227" s="481">
        <f t="shared" si="231"/>
        <v>3459880</v>
      </c>
      <c r="I227" s="481">
        <f t="shared" si="231"/>
        <v>0</v>
      </c>
      <c r="J227" s="481">
        <f t="shared" si="231"/>
        <v>2442242</v>
      </c>
      <c r="K227" s="481">
        <f t="shared" si="231"/>
        <v>1000000</v>
      </c>
      <c r="L227" s="481">
        <f t="shared" si="231"/>
        <v>1417242</v>
      </c>
      <c r="M227" s="481">
        <f t="shared" si="231"/>
        <v>505365</v>
      </c>
      <c r="N227" s="481">
        <f t="shared" si="231"/>
        <v>371711</v>
      </c>
      <c r="O227" s="481">
        <f t="shared" si="231"/>
        <v>1025000</v>
      </c>
      <c r="P227" s="481">
        <f t="shared" si="231"/>
        <v>72969104</v>
      </c>
      <c r="Q227" s="20"/>
      <c r="R227" s="46"/>
    </row>
    <row r="228" spans="1:18" ht="93" thickTop="1" thickBot="1" x14ac:dyDescent="0.25">
      <c r="A228" s="103" t="s">
        <v>28</v>
      </c>
      <c r="B228" s="103" t="s">
        <v>192</v>
      </c>
      <c r="C228" s="103" t="s">
        <v>195</v>
      </c>
      <c r="D228" s="103" t="s">
        <v>48</v>
      </c>
      <c r="E228" s="312">
        <f t="shared" si="223"/>
        <v>63565171</v>
      </c>
      <c r="F228" s="326">
        <v>63565171</v>
      </c>
      <c r="G228" s="326">
        <f>13791707+13494017+12637962+5617441</f>
        <v>45541127</v>
      </c>
      <c r="H228" s="326">
        <f>582200+114491+553286+67934+483136+25997+376551+57199+5016+21100+12432+180616+368000+5930+382500+11712+147504+59200+5076</f>
        <v>3459880</v>
      </c>
      <c r="I228" s="326"/>
      <c r="J228" s="328">
        <f t="shared" si="224"/>
        <v>2442242</v>
      </c>
      <c r="K228" s="326">
        <v>1000000</v>
      </c>
      <c r="L228" s="326">
        <f>1442242-25000</f>
        <v>1417242</v>
      </c>
      <c r="M228" s="326">
        <v>505365</v>
      </c>
      <c r="N228" s="326">
        <v>371711</v>
      </c>
      <c r="O228" s="474">
        <f>(K228+25000)</f>
        <v>1025000</v>
      </c>
      <c r="P228" s="328">
        <f t="shared" si="227"/>
        <v>66007413</v>
      </c>
      <c r="Q228" s="20"/>
      <c r="R228" s="46"/>
    </row>
    <row r="229" spans="1:18" ht="93" thickTop="1" thickBot="1" x14ac:dyDescent="0.25">
      <c r="A229" s="103" t="s">
        <v>29</v>
      </c>
      <c r="B229" s="103" t="s">
        <v>193</v>
      </c>
      <c r="C229" s="103" t="s">
        <v>195</v>
      </c>
      <c r="D229" s="103" t="s">
        <v>49</v>
      </c>
      <c r="E229" s="312">
        <f t="shared" si="223"/>
        <v>6961691</v>
      </c>
      <c r="F229" s="326">
        <v>6961691</v>
      </c>
      <c r="G229" s="326"/>
      <c r="H229" s="326"/>
      <c r="I229" s="326"/>
      <c r="J229" s="328">
        <f t="shared" si="224"/>
        <v>0</v>
      </c>
      <c r="K229" s="326">
        <v>0</v>
      </c>
      <c r="L229" s="326"/>
      <c r="M229" s="326"/>
      <c r="N229" s="326"/>
      <c r="O229" s="474">
        <f t="shared" si="225"/>
        <v>0</v>
      </c>
      <c r="P229" s="328">
        <f t="shared" si="227"/>
        <v>6961691</v>
      </c>
      <c r="Q229" s="20"/>
      <c r="R229" s="46"/>
    </row>
    <row r="230" spans="1:18" ht="48" hidden="1" thickTop="1" thickBot="1" x14ac:dyDescent="0.25">
      <c r="A230" s="421" t="s">
        <v>1407</v>
      </c>
      <c r="B230" s="140" t="s">
        <v>818</v>
      </c>
      <c r="C230" s="140"/>
      <c r="D230" s="140" t="s">
        <v>819</v>
      </c>
      <c r="E230" s="158">
        <f>E231</f>
        <v>0</v>
      </c>
      <c r="F230" s="158">
        <f t="shared" ref="F230:P230" si="232">F231</f>
        <v>0</v>
      </c>
      <c r="G230" s="158">
        <f t="shared" si="232"/>
        <v>0</v>
      </c>
      <c r="H230" s="158">
        <f t="shared" si="232"/>
        <v>0</v>
      </c>
      <c r="I230" s="158">
        <f t="shared" si="232"/>
        <v>0</v>
      </c>
      <c r="J230" s="158">
        <f t="shared" si="232"/>
        <v>0</v>
      </c>
      <c r="K230" s="158">
        <f t="shared" si="232"/>
        <v>0</v>
      </c>
      <c r="L230" s="158">
        <f t="shared" si="232"/>
        <v>0</v>
      </c>
      <c r="M230" s="158">
        <f t="shared" si="232"/>
        <v>0</v>
      </c>
      <c r="N230" s="158">
        <f t="shared" si="232"/>
        <v>0</v>
      </c>
      <c r="O230" s="158">
        <f t="shared" si="232"/>
        <v>0</v>
      </c>
      <c r="P230" s="158">
        <f t="shared" si="232"/>
        <v>0</v>
      </c>
      <c r="Q230" s="20"/>
      <c r="R230" s="46"/>
    </row>
    <row r="231" spans="1:18" ht="93" hidden="1" thickTop="1" thickBot="1" x14ac:dyDescent="0.25">
      <c r="A231" s="128" t="s">
        <v>1408</v>
      </c>
      <c r="B231" s="128" t="s">
        <v>1409</v>
      </c>
      <c r="C231" s="128" t="s">
        <v>195</v>
      </c>
      <c r="D231" s="128" t="s">
        <v>1410</v>
      </c>
      <c r="E231" s="152">
        <f t="shared" ref="E231" si="233">F231</f>
        <v>0</v>
      </c>
      <c r="F231" s="129"/>
      <c r="G231" s="129"/>
      <c r="H231" s="129"/>
      <c r="I231" s="129"/>
      <c r="J231" s="127">
        <f t="shared" ref="J231" si="234">L231+O231</f>
        <v>0</v>
      </c>
      <c r="K231" s="129">
        <v>0</v>
      </c>
      <c r="L231" s="129"/>
      <c r="M231" s="129"/>
      <c r="N231" s="129"/>
      <c r="O231" s="132">
        <f t="shared" ref="O231" si="235">K231</f>
        <v>0</v>
      </c>
      <c r="P231" s="127">
        <f t="shared" ref="P231" si="236">E231+J231</f>
        <v>0</v>
      </c>
      <c r="Q231" s="20"/>
      <c r="R231" s="46"/>
    </row>
    <row r="232" spans="1:18" ht="48" thickTop="1" thickBot="1" x14ac:dyDescent="0.25">
      <c r="A232" s="634" t="s">
        <v>783</v>
      </c>
      <c r="B232" s="329" t="s">
        <v>784</v>
      </c>
      <c r="C232" s="329"/>
      <c r="D232" s="329" t="s">
        <v>785</v>
      </c>
      <c r="E232" s="481">
        <f>SUM(E233:E235)</f>
        <v>7980620</v>
      </c>
      <c r="F232" s="481">
        <f t="shared" ref="F232:P232" si="237">SUM(F233:F235)</f>
        <v>7980620</v>
      </c>
      <c r="G232" s="481">
        <f t="shared" si="237"/>
        <v>1441425</v>
      </c>
      <c r="H232" s="481">
        <f t="shared" si="237"/>
        <v>0</v>
      </c>
      <c r="I232" s="481">
        <f t="shared" si="237"/>
        <v>0</v>
      </c>
      <c r="J232" s="481">
        <f t="shared" si="237"/>
        <v>50000</v>
      </c>
      <c r="K232" s="481">
        <f t="shared" si="237"/>
        <v>0</v>
      </c>
      <c r="L232" s="481">
        <f t="shared" si="237"/>
        <v>50000</v>
      </c>
      <c r="M232" s="481">
        <f t="shared" si="237"/>
        <v>0</v>
      </c>
      <c r="N232" s="481">
        <f t="shared" si="237"/>
        <v>0</v>
      </c>
      <c r="O232" s="481">
        <f t="shared" si="237"/>
        <v>0</v>
      </c>
      <c r="P232" s="481">
        <f t="shared" si="237"/>
        <v>8030620</v>
      </c>
      <c r="Q232" s="20"/>
      <c r="R232" s="46"/>
    </row>
    <row r="233" spans="1:18" ht="138.75" thickTop="1" thickBot="1" x14ac:dyDescent="0.25">
      <c r="A233" s="635" t="s">
        <v>30</v>
      </c>
      <c r="B233" s="635" t="s">
        <v>194</v>
      </c>
      <c r="C233" s="635" t="s">
        <v>195</v>
      </c>
      <c r="D233" s="103" t="s">
        <v>31</v>
      </c>
      <c r="E233" s="312">
        <f t="shared" si="223"/>
        <v>625354</v>
      </c>
      <c r="F233" s="326">
        <v>625354</v>
      </c>
      <c r="G233" s="477"/>
      <c r="H233" s="477"/>
      <c r="I233" s="477"/>
      <c r="J233" s="328">
        <f t="shared" si="224"/>
        <v>0</v>
      </c>
      <c r="K233" s="477"/>
      <c r="L233" s="477"/>
      <c r="M233" s="477"/>
      <c r="N233" s="477"/>
      <c r="O233" s="474">
        <f t="shared" si="225"/>
        <v>0</v>
      </c>
      <c r="P233" s="328">
        <f t="shared" si="227"/>
        <v>625354</v>
      </c>
      <c r="Q233" s="20"/>
      <c r="R233" s="46"/>
    </row>
    <row r="234" spans="1:18" ht="93" thickTop="1" thickBot="1" x14ac:dyDescent="0.25">
      <c r="A234" s="635" t="s">
        <v>512</v>
      </c>
      <c r="B234" s="635" t="s">
        <v>510</v>
      </c>
      <c r="C234" s="635" t="s">
        <v>195</v>
      </c>
      <c r="D234" s="103" t="s">
        <v>511</v>
      </c>
      <c r="E234" s="312">
        <f t="shared" si="223"/>
        <v>5242225</v>
      </c>
      <c r="F234" s="326">
        <v>5242225</v>
      </c>
      <c r="G234" s="477"/>
      <c r="H234" s="477"/>
      <c r="I234" s="477"/>
      <c r="J234" s="328">
        <f t="shared" si="224"/>
        <v>0</v>
      </c>
      <c r="K234" s="477"/>
      <c r="L234" s="477"/>
      <c r="M234" s="477"/>
      <c r="N234" s="477"/>
      <c r="O234" s="474">
        <f t="shared" si="225"/>
        <v>0</v>
      </c>
      <c r="P234" s="328">
        <f t="shared" si="227"/>
        <v>5242225</v>
      </c>
      <c r="Q234" s="20"/>
      <c r="R234" s="46"/>
    </row>
    <row r="235" spans="1:18" ht="48" thickTop="1" thickBot="1" x14ac:dyDescent="0.25">
      <c r="A235" s="635" t="s">
        <v>32</v>
      </c>
      <c r="B235" s="635" t="s">
        <v>196</v>
      </c>
      <c r="C235" s="635" t="s">
        <v>195</v>
      </c>
      <c r="D235" s="103" t="s">
        <v>33</v>
      </c>
      <c r="E235" s="312">
        <f>F235</f>
        <v>2113041</v>
      </c>
      <c r="F235" s="326">
        <v>2113041</v>
      </c>
      <c r="G235" s="477">
        <v>1441425</v>
      </c>
      <c r="H235" s="477"/>
      <c r="I235" s="477"/>
      <c r="J235" s="328">
        <f t="shared" si="224"/>
        <v>50000</v>
      </c>
      <c r="K235" s="477"/>
      <c r="L235" s="477">
        <v>50000</v>
      </c>
      <c r="M235" s="477"/>
      <c r="N235" s="477"/>
      <c r="O235" s="474">
        <f t="shared" si="225"/>
        <v>0</v>
      </c>
      <c r="P235" s="328">
        <f t="shared" si="227"/>
        <v>2163041</v>
      </c>
      <c r="Q235" s="20"/>
      <c r="R235" s="46"/>
    </row>
    <row r="236" spans="1:18" ht="47.25" hidden="1" thickTop="1" thickBot="1" x14ac:dyDescent="0.25">
      <c r="A236" s="125" t="s">
        <v>786</v>
      </c>
      <c r="B236" s="125" t="s">
        <v>743</v>
      </c>
      <c r="C236" s="125"/>
      <c r="D236" s="420" t="s">
        <v>744</v>
      </c>
      <c r="E236" s="152">
        <f>E237</f>
        <v>0</v>
      </c>
      <c r="F236" s="152">
        <f t="shared" ref="F236:P237" si="238">F237</f>
        <v>0</v>
      </c>
      <c r="G236" s="152">
        <f t="shared" si="238"/>
        <v>0</v>
      </c>
      <c r="H236" s="152">
        <f t="shared" si="238"/>
        <v>0</v>
      </c>
      <c r="I236" s="152">
        <f t="shared" si="238"/>
        <v>0</v>
      </c>
      <c r="J236" s="152">
        <f t="shared" si="238"/>
        <v>0</v>
      </c>
      <c r="K236" s="152">
        <f t="shared" si="238"/>
        <v>0</v>
      </c>
      <c r="L236" s="152">
        <f t="shared" si="238"/>
        <v>0</v>
      </c>
      <c r="M236" s="152">
        <f t="shared" si="238"/>
        <v>0</v>
      </c>
      <c r="N236" s="152">
        <f t="shared" si="238"/>
        <v>0</v>
      </c>
      <c r="O236" s="152">
        <f t="shared" si="238"/>
        <v>0</v>
      </c>
      <c r="P236" s="152">
        <f t="shared" si="238"/>
        <v>0</v>
      </c>
      <c r="Q236" s="20"/>
      <c r="R236" s="46"/>
    </row>
    <row r="237" spans="1:18" ht="48" hidden="1" thickTop="1" thickBot="1" x14ac:dyDescent="0.25">
      <c r="A237" s="421" t="s">
        <v>787</v>
      </c>
      <c r="B237" s="421" t="s">
        <v>746</v>
      </c>
      <c r="C237" s="421"/>
      <c r="D237" s="140" t="s">
        <v>747</v>
      </c>
      <c r="E237" s="158">
        <f>E238</f>
        <v>0</v>
      </c>
      <c r="F237" s="158">
        <f t="shared" si="238"/>
        <v>0</v>
      </c>
      <c r="G237" s="158">
        <f t="shared" si="238"/>
        <v>0</v>
      </c>
      <c r="H237" s="158">
        <f t="shared" si="238"/>
        <v>0</v>
      </c>
      <c r="I237" s="158">
        <f t="shared" si="238"/>
        <v>0</v>
      </c>
      <c r="J237" s="158">
        <f t="shared" si="238"/>
        <v>0</v>
      </c>
      <c r="K237" s="158">
        <f t="shared" si="238"/>
        <v>0</v>
      </c>
      <c r="L237" s="158">
        <f t="shared" si="238"/>
        <v>0</v>
      </c>
      <c r="M237" s="158">
        <f t="shared" si="238"/>
        <v>0</v>
      </c>
      <c r="N237" s="158">
        <f t="shared" si="238"/>
        <v>0</v>
      </c>
      <c r="O237" s="158">
        <f t="shared" si="238"/>
        <v>0</v>
      </c>
      <c r="P237" s="158">
        <f t="shared" si="238"/>
        <v>0</v>
      </c>
      <c r="Q237" s="20"/>
      <c r="R237" s="46"/>
    </row>
    <row r="238" spans="1:18" ht="138.75" hidden="1" thickTop="1" thickBot="1" x14ac:dyDescent="0.25">
      <c r="A238" s="422" t="s">
        <v>342</v>
      </c>
      <c r="B238" s="422" t="s">
        <v>341</v>
      </c>
      <c r="C238" s="422" t="s">
        <v>340</v>
      </c>
      <c r="D238" s="128" t="s">
        <v>640</v>
      </c>
      <c r="E238" s="152">
        <f>F238</f>
        <v>0</v>
      </c>
      <c r="F238" s="129"/>
      <c r="G238" s="134"/>
      <c r="H238" s="134"/>
      <c r="I238" s="134"/>
      <c r="J238" s="127">
        <f t="shared" si="224"/>
        <v>0</v>
      </c>
      <c r="K238" s="134"/>
      <c r="L238" s="134"/>
      <c r="M238" s="134"/>
      <c r="N238" s="134"/>
      <c r="O238" s="132">
        <f t="shared" si="225"/>
        <v>0</v>
      </c>
      <c r="P238" s="127">
        <f t="shared" si="227"/>
        <v>0</v>
      </c>
      <c r="Q238" s="20"/>
      <c r="R238" s="50"/>
    </row>
    <row r="239" spans="1:18" ht="47.25" hidden="1" thickTop="1" thickBot="1" x14ac:dyDescent="0.25">
      <c r="A239" s="125" t="s">
        <v>788</v>
      </c>
      <c r="B239" s="125" t="s">
        <v>749</v>
      </c>
      <c r="C239" s="125"/>
      <c r="D239" s="125" t="s">
        <v>750</v>
      </c>
      <c r="E239" s="152">
        <f>E243+E240</f>
        <v>0</v>
      </c>
      <c r="F239" s="152">
        <f t="shared" ref="F239:P239" si="239">F243+F240</f>
        <v>0</v>
      </c>
      <c r="G239" s="152">
        <f t="shared" si="239"/>
        <v>0</v>
      </c>
      <c r="H239" s="152">
        <f t="shared" si="239"/>
        <v>0</v>
      </c>
      <c r="I239" s="152">
        <f t="shared" si="239"/>
        <v>0</v>
      </c>
      <c r="J239" s="152">
        <f t="shared" si="239"/>
        <v>0</v>
      </c>
      <c r="K239" s="152">
        <f t="shared" si="239"/>
        <v>0</v>
      </c>
      <c r="L239" s="152">
        <f t="shared" si="239"/>
        <v>0</v>
      </c>
      <c r="M239" s="152">
        <f t="shared" si="239"/>
        <v>0</v>
      </c>
      <c r="N239" s="152">
        <f t="shared" si="239"/>
        <v>0</v>
      </c>
      <c r="O239" s="152">
        <f t="shared" si="239"/>
        <v>0</v>
      </c>
      <c r="P239" s="152">
        <f t="shared" si="239"/>
        <v>0</v>
      </c>
      <c r="Q239" s="20"/>
      <c r="R239" s="50"/>
    </row>
    <row r="240" spans="1:18" ht="47.25" hidden="1" thickTop="1" thickBot="1" x14ac:dyDescent="0.25">
      <c r="A240" s="136" t="s">
        <v>1107</v>
      </c>
      <c r="B240" s="136" t="s">
        <v>805</v>
      </c>
      <c r="C240" s="136"/>
      <c r="D240" s="136" t="s">
        <v>806</v>
      </c>
      <c r="E240" s="137">
        <f>E241</f>
        <v>0</v>
      </c>
      <c r="F240" s="137">
        <f t="shared" ref="F240:P241" si="240">F241</f>
        <v>0</v>
      </c>
      <c r="G240" s="137">
        <f t="shared" si="240"/>
        <v>0</v>
      </c>
      <c r="H240" s="137">
        <f t="shared" si="240"/>
        <v>0</v>
      </c>
      <c r="I240" s="137">
        <f t="shared" si="240"/>
        <v>0</v>
      </c>
      <c r="J240" s="137">
        <f t="shared" si="240"/>
        <v>0</v>
      </c>
      <c r="K240" s="137">
        <f t="shared" si="240"/>
        <v>0</v>
      </c>
      <c r="L240" s="137">
        <f t="shared" si="240"/>
        <v>0</v>
      </c>
      <c r="M240" s="137">
        <f t="shared" si="240"/>
        <v>0</v>
      </c>
      <c r="N240" s="137">
        <f t="shared" si="240"/>
        <v>0</v>
      </c>
      <c r="O240" s="137">
        <f t="shared" si="240"/>
        <v>0</v>
      </c>
      <c r="P240" s="137">
        <f t="shared" si="240"/>
        <v>0</v>
      </c>
      <c r="Q240" s="20"/>
      <c r="R240" s="50"/>
    </row>
    <row r="241" spans="1:18" ht="54" hidden="1" thickTop="1" thickBot="1" x14ac:dyDescent="0.25">
      <c r="A241" s="140" t="s">
        <v>1108</v>
      </c>
      <c r="B241" s="140" t="s">
        <v>823</v>
      </c>
      <c r="C241" s="140"/>
      <c r="D241" s="140" t="s">
        <v>1528</v>
      </c>
      <c r="E241" s="141">
        <f>E242</f>
        <v>0</v>
      </c>
      <c r="F241" s="141">
        <f t="shared" si="240"/>
        <v>0</v>
      </c>
      <c r="G241" s="141">
        <f t="shared" si="240"/>
        <v>0</v>
      </c>
      <c r="H241" s="141">
        <f t="shared" si="240"/>
        <v>0</v>
      </c>
      <c r="I241" s="141">
        <f t="shared" si="240"/>
        <v>0</v>
      </c>
      <c r="J241" s="141">
        <f t="shared" si="240"/>
        <v>0</v>
      </c>
      <c r="K241" s="141">
        <f t="shared" si="240"/>
        <v>0</v>
      </c>
      <c r="L241" s="141">
        <f t="shared" si="240"/>
        <v>0</v>
      </c>
      <c r="M241" s="141">
        <f t="shared" si="240"/>
        <v>0</v>
      </c>
      <c r="N241" s="141">
        <f t="shared" si="240"/>
        <v>0</v>
      </c>
      <c r="O241" s="141">
        <f t="shared" si="240"/>
        <v>0</v>
      </c>
      <c r="P241" s="141">
        <f t="shared" si="240"/>
        <v>0</v>
      </c>
      <c r="Q241" s="20"/>
      <c r="R241" s="50"/>
    </row>
    <row r="242" spans="1:18" ht="54" hidden="1" thickTop="1" thickBot="1" x14ac:dyDescent="0.25">
      <c r="A242" s="128" t="s">
        <v>1109</v>
      </c>
      <c r="B242" s="128" t="s">
        <v>313</v>
      </c>
      <c r="C242" s="128" t="s">
        <v>304</v>
      </c>
      <c r="D242" s="128" t="s">
        <v>1247</v>
      </c>
      <c r="E242" s="127">
        <f t="shared" ref="E242" si="241">F242</f>
        <v>0</v>
      </c>
      <c r="F242" s="134"/>
      <c r="G242" s="134"/>
      <c r="H242" s="134"/>
      <c r="I242" s="134"/>
      <c r="J242" s="127">
        <f t="shared" ref="J242" si="242">L242+O242</f>
        <v>0</v>
      </c>
      <c r="K242" s="134">
        <f>49500-49500</f>
        <v>0</v>
      </c>
      <c r="L242" s="134"/>
      <c r="M242" s="134"/>
      <c r="N242" s="134"/>
      <c r="O242" s="132">
        <f t="shared" ref="O242" si="243">K242</f>
        <v>0</v>
      </c>
      <c r="P242" s="127">
        <f>E242+J242</f>
        <v>0</v>
      </c>
      <c r="Q242" s="20"/>
      <c r="R242" s="50"/>
    </row>
    <row r="243" spans="1:18" ht="47.25" hidden="1" thickTop="1" thickBot="1" x14ac:dyDescent="0.25">
      <c r="A243" s="136" t="s">
        <v>789</v>
      </c>
      <c r="B243" s="136" t="s">
        <v>692</v>
      </c>
      <c r="C243" s="136"/>
      <c r="D243" s="136" t="s">
        <v>690</v>
      </c>
      <c r="E243" s="159">
        <f>E245+E244</f>
        <v>0</v>
      </c>
      <c r="F243" s="159">
        <f t="shared" ref="F243:H243" si="244">F245+F244</f>
        <v>0</v>
      </c>
      <c r="G243" s="159">
        <f t="shared" si="244"/>
        <v>0</v>
      </c>
      <c r="H243" s="159">
        <f t="shared" si="244"/>
        <v>0</v>
      </c>
      <c r="I243" s="159">
        <f>I245+I244</f>
        <v>0</v>
      </c>
      <c r="J243" s="159">
        <f>J245+J244</f>
        <v>0</v>
      </c>
      <c r="K243" s="159">
        <f>K245+K244</f>
        <v>0</v>
      </c>
      <c r="L243" s="159">
        <f t="shared" ref="L243:O243" si="245">L245+L244</f>
        <v>0</v>
      </c>
      <c r="M243" s="159">
        <f t="shared" si="245"/>
        <v>0</v>
      </c>
      <c r="N243" s="159">
        <f t="shared" si="245"/>
        <v>0</v>
      </c>
      <c r="O243" s="159">
        <f t="shared" si="245"/>
        <v>0</v>
      </c>
      <c r="P243" s="159">
        <f>P245+P244</f>
        <v>0</v>
      </c>
      <c r="Q243" s="20"/>
      <c r="R243" s="50"/>
    </row>
    <row r="244" spans="1:18" ht="48" hidden="1" thickTop="1" thickBot="1" x14ac:dyDescent="0.25">
      <c r="A244" s="422" t="s">
        <v>1364</v>
      </c>
      <c r="B244" s="422" t="s">
        <v>212</v>
      </c>
      <c r="C244" s="422"/>
      <c r="D244" s="128" t="s">
        <v>41</v>
      </c>
      <c r="E244" s="152">
        <f>F244</f>
        <v>0</v>
      </c>
      <c r="F244" s="129"/>
      <c r="G244" s="134"/>
      <c r="H244" s="134"/>
      <c r="I244" s="134"/>
      <c r="J244" s="127">
        <f t="shared" ref="J244" si="246">L244+O244</f>
        <v>0</v>
      </c>
      <c r="K244" s="134"/>
      <c r="L244" s="134"/>
      <c r="M244" s="134"/>
      <c r="N244" s="134"/>
      <c r="O244" s="132">
        <f t="shared" ref="O244" si="247">K244</f>
        <v>0</v>
      </c>
      <c r="P244" s="127">
        <f t="shared" ref="P244" si="248">E244+J244</f>
        <v>0</v>
      </c>
      <c r="Q244" s="20"/>
      <c r="R244" s="50"/>
    </row>
    <row r="245" spans="1:18" ht="48" hidden="1" thickTop="1" thickBot="1" x14ac:dyDescent="0.25">
      <c r="A245" s="128" t="s">
        <v>608</v>
      </c>
      <c r="B245" s="128" t="s">
        <v>197</v>
      </c>
      <c r="C245" s="128" t="s">
        <v>170</v>
      </c>
      <c r="D245" s="128" t="s">
        <v>34</v>
      </c>
      <c r="E245" s="127">
        <f t="shared" ref="E245" si="249">F245</f>
        <v>0</v>
      </c>
      <c r="F245" s="134"/>
      <c r="G245" s="134"/>
      <c r="H245" s="134"/>
      <c r="I245" s="134"/>
      <c r="J245" s="127">
        <f t="shared" si="224"/>
        <v>0</v>
      </c>
      <c r="K245" s="134"/>
      <c r="L245" s="134"/>
      <c r="M245" s="134"/>
      <c r="N245" s="134"/>
      <c r="O245" s="132">
        <f t="shared" si="225"/>
        <v>0</v>
      </c>
      <c r="P245" s="127">
        <f t="shared" si="227"/>
        <v>0</v>
      </c>
      <c r="Q245" s="20"/>
      <c r="R245" s="46"/>
    </row>
    <row r="246" spans="1:18" ht="47.25" hidden="1" thickTop="1" thickBot="1" x14ac:dyDescent="0.25">
      <c r="A246" s="146" t="s">
        <v>1115</v>
      </c>
      <c r="B246" s="146" t="s">
        <v>703</v>
      </c>
      <c r="C246" s="146"/>
      <c r="D246" s="146" t="s">
        <v>704</v>
      </c>
      <c r="E246" s="42">
        <f>E247</f>
        <v>0</v>
      </c>
      <c r="F246" s="42">
        <f t="shared" ref="F246:P247" si="250">F247</f>
        <v>0</v>
      </c>
      <c r="G246" s="42">
        <f t="shared" si="250"/>
        <v>0</v>
      </c>
      <c r="H246" s="42">
        <f t="shared" si="250"/>
        <v>0</v>
      </c>
      <c r="I246" s="42">
        <f t="shared" si="250"/>
        <v>0</v>
      </c>
      <c r="J246" s="42">
        <f t="shared" si="250"/>
        <v>0</v>
      </c>
      <c r="K246" s="42">
        <f t="shared" si="250"/>
        <v>0</v>
      </c>
      <c r="L246" s="42">
        <f t="shared" si="250"/>
        <v>0</v>
      </c>
      <c r="M246" s="42">
        <f t="shared" si="250"/>
        <v>0</v>
      </c>
      <c r="N246" s="42">
        <f t="shared" si="250"/>
        <v>0</v>
      </c>
      <c r="O246" s="42">
        <f t="shared" si="250"/>
        <v>0</v>
      </c>
      <c r="P246" s="42">
        <f t="shared" si="250"/>
        <v>0</v>
      </c>
      <c r="Q246" s="20"/>
      <c r="R246" s="46"/>
    </row>
    <row r="247" spans="1:18" ht="91.5" hidden="1" thickTop="1" thickBot="1" x14ac:dyDescent="0.25">
      <c r="A247" s="147" t="s">
        <v>1116</v>
      </c>
      <c r="B247" s="147" t="s">
        <v>706</v>
      </c>
      <c r="C247" s="147"/>
      <c r="D247" s="147" t="s">
        <v>707</v>
      </c>
      <c r="E247" s="148">
        <f>E248</f>
        <v>0</v>
      </c>
      <c r="F247" s="148">
        <f t="shared" si="250"/>
        <v>0</v>
      </c>
      <c r="G247" s="148">
        <f t="shared" si="250"/>
        <v>0</v>
      </c>
      <c r="H247" s="148">
        <f t="shared" si="250"/>
        <v>0</v>
      </c>
      <c r="I247" s="148">
        <f t="shared" si="250"/>
        <v>0</v>
      </c>
      <c r="J247" s="148">
        <f t="shared" si="250"/>
        <v>0</v>
      </c>
      <c r="K247" s="148">
        <f t="shared" si="250"/>
        <v>0</v>
      </c>
      <c r="L247" s="148">
        <f t="shared" si="250"/>
        <v>0</v>
      </c>
      <c r="M247" s="148">
        <f t="shared" si="250"/>
        <v>0</v>
      </c>
      <c r="N247" s="148">
        <f t="shared" si="250"/>
        <v>0</v>
      </c>
      <c r="O247" s="148">
        <f t="shared" si="250"/>
        <v>0</v>
      </c>
      <c r="P247" s="148">
        <f t="shared" si="250"/>
        <v>0</v>
      </c>
      <c r="Q247" s="20"/>
      <c r="R247" s="46"/>
    </row>
    <row r="248" spans="1:18" ht="48" hidden="1" thickTop="1" thickBot="1" x14ac:dyDescent="0.25">
      <c r="A248" s="41" t="s">
        <v>1117</v>
      </c>
      <c r="B248" s="41" t="s">
        <v>363</v>
      </c>
      <c r="C248" s="41" t="s">
        <v>43</v>
      </c>
      <c r="D248" s="41" t="s">
        <v>364</v>
      </c>
      <c r="E248" s="42">
        <f t="shared" ref="E248" si="251">F248</f>
        <v>0</v>
      </c>
      <c r="F248" s="43">
        <v>0</v>
      </c>
      <c r="G248" s="43"/>
      <c r="H248" s="43"/>
      <c r="I248" s="43"/>
      <c r="J248" s="42">
        <f>L248+O248</f>
        <v>0</v>
      </c>
      <c r="K248" s="43">
        <v>0</v>
      </c>
      <c r="L248" s="43"/>
      <c r="M248" s="43"/>
      <c r="N248" s="43"/>
      <c r="O248" s="44">
        <f>K248</f>
        <v>0</v>
      </c>
      <c r="P248" s="42">
        <f>E248+J248</f>
        <v>0</v>
      </c>
      <c r="Q248" s="20"/>
      <c r="R248" s="46"/>
    </row>
    <row r="249" spans="1:18" ht="91.5" thickTop="1" thickBot="1" x14ac:dyDescent="0.25">
      <c r="A249" s="508" t="s">
        <v>158</v>
      </c>
      <c r="B249" s="508"/>
      <c r="C249" s="508"/>
      <c r="D249" s="509" t="s">
        <v>562</v>
      </c>
      <c r="E249" s="535">
        <f>E250</f>
        <v>29590984</v>
      </c>
      <c r="F249" s="510">
        <f t="shared" ref="F249:G249" si="252">F250</f>
        <v>29590984</v>
      </c>
      <c r="G249" s="510">
        <f t="shared" si="252"/>
        <v>6530800</v>
      </c>
      <c r="H249" s="510">
        <f>H250</f>
        <v>510883</v>
      </c>
      <c r="I249" s="510">
        <f t="shared" ref="I249" si="253">I250</f>
        <v>0</v>
      </c>
      <c r="J249" s="535">
        <f>J250</f>
        <v>2800000</v>
      </c>
      <c r="K249" s="510">
        <f>K250</f>
        <v>2800000</v>
      </c>
      <c r="L249" s="510">
        <f>L250</f>
        <v>0</v>
      </c>
      <c r="M249" s="510">
        <f t="shared" ref="M249" si="254">M250</f>
        <v>0</v>
      </c>
      <c r="N249" s="510">
        <f>N250</f>
        <v>0</v>
      </c>
      <c r="O249" s="535">
        <f>O250</f>
        <v>2800000</v>
      </c>
      <c r="P249" s="510">
        <f>P250</f>
        <v>32390984</v>
      </c>
      <c r="Q249" s="20"/>
      <c r="R249" s="50"/>
    </row>
    <row r="250" spans="1:18" ht="91.5" thickTop="1" thickBot="1" x14ac:dyDescent="0.25">
      <c r="A250" s="511" t="s">
        <v>159</v>
      </c>
      <c r="B250" s="511"/>
      <c r="C250" s="511"/>
      <c r="D250" s="512" t="s">
        <v>563</v>
      </c>
      <c r="E250" s="513">
        <f>E251+E255+E263+E272</f>
        <v>29590984</v>
      </c>
      <c r="F250" s="513">
        <f>F251+F255+F263+F272</f>
        <v>29590984</v>
      </c>
      <c r="G250" s="513">
        <f>G251+G255+G263+G272</f>
        <v>6530800</v>
      </c>
      <c r="H250" s="513">
        <f>H251+H255+H263+H272</f>
        <v>510883</v>
      </c>
      <c r="I250" s="513">
        <f>I251+I255+I263+I272</f>
        <v>0</v>
      </c>
      <c r="J250" s="513">
        <f t="shared" ref="J250:J270" si="255">L250+O250</f>
        <v>2800000</v>
      </c>
      <c r="K250" s="513">
        <f>K251+K255+K263+K272</f>
        <v>2800000</v>
      </c>
      <c r="L250" s="513">
        <f>L251+L255+L263+L272</f>
        <v>0</v>
      </c>
      <c r="M250" s="513">
        <f>M251+M255+M263+M272</f>
        <v>0</v>
      </c>
      <c r="N250" s="513">
        <f>N251+N255+N263+N272</f>
        <v>0</v>
      </c>
      <c r="O250" s="513">
        <f>O251+O255+O263+O272</f>
        <v>2800000</v>
      </c>
      <c r="P250" s="513">
        <f>E250+J250</f>
        <v>32390984</v>
      </c>
      <c r="Q250" s="536" t="b">
        <f>P250=P252+P257+P258+P260+P261+P262+P265+P267+P268+P274</f>
        <v>1</v>
      </c>
      <c r="R250" s="54"/>
    </row>
    <row r="251" spans="1:18" ht="47.25" thickTop="1" thickBot="1" x14ac:dyDescent="0.25">
      <c r="A251" s="311" t="s">
        <v>790</v>
      </c>
      <c r="B251" s="311" t="s">
        <v>685</v>
      </c>
      <c r="C251" s="311"/>
      <c r="D251" s="311" t="s">
        <v>686</v>
      </c>
      <c r="E251" s="328">
        <f>SUM(E252:E254)</f>
        <v>9067321</v>
      </c>
      <c r="F251" s="328">
        <f t="shared" ref="F251:N251" si="256">SUM(F252:F254)</f>
        <v>9067321</v>
      </c>
      <c r="G251" s="328">
        <f t="shared" si="256"/>
        <v>6530800</v>
      </c>
      <c r="H251" s="328">
        <f t="shared" si="256"/>
        <v>510883</v>
      </c>
      <c r="I251" s="328">
        <f t="shared" si="256"/>
        <v>0</v>
      </c>
      <c r="J251" s="328">
        <f t="shared" si="256"/>
        <v>0</v>
      </c>
      <c r="K251" s="328">
        <f t="shared" si="256"/>
        <v>0</v>
      </c>
      <c r="L251" s="328">
        <f t="shared" si="256"/>
        <v>0</v>
      </c>
      <c r="M251" s="328">
        <f t="shared" si="256"/>
        <v>0</v>
      </c>
      <c r="N251" s="328">
        <f t="shared" si="256"/>
        <v>0</v>
      </c>
      <c r="O251" s="328">
        <f>SUM(O252:O254)</f>
        <v>0</v>
      </c>
      <c r="P251" s="328">
        <f>SUM(P252:P254)</f>
        <v>9067321</v>
      </c>
      <c r="Q251" s="47"/>
      <c r="R251" s="54"/>
    </row>
    <row r="252" spans="1:18" ht="93" thickTop="1" thickBot="1" x14ac:dyDescent="0.25">
      <c r="A252" s="103" t="s">
        <v>421</v>
      </c>
      <c r="B252" s="103" t="s">
        <v>236</v>
      </c>
      <c r="C252" s="103" t="s">
        <v>234</v>
      </c>
      <c r="D252" s="103" t="s">
        <v>235</v>
      </c>
      <c r="E252" s="312">
        <f>F252</f>
        <v>9067321</v>
      </c>
      <c r="F252" s="326">
        <v>9067321</v>
      </c>
      <c r="G252" s="326">
        <v>6530800</v>
      </c>
      <c r="H252" s="326">
        <v>510883</v>
      </c>
      <c r="I252" s="326"/>
      <c r="J252" s="328">
        <f t="shared" si="255"/>
        <v>0</v>
      </c>
      <c r="K252" s="326">
        <v>0</v>
      </c>
      <c r="L252" s="473"/>
      <c r="M252" s="473"/>
      <c r="N252" s="473"/>
      <c r="O252" s="474">
        <f t="shared" ref="O252:O267" si="257">K252</f>
        <v>0</v>
      </c>
      <c r="P252" s="328">
        <f t="shared" ref="P252:P259" si="258">+J252+E252</f>
        <v>9067321</v>
      </c>
      <c r="Q252" s="20"/>
      <c r="R252" s="54"/>
    </row>
    <row r="253" spans="1:18" ht="93" hidden="1" thickTop="1" thickBot="1" x14ac:dyDescent="0.25">
      <c r="A253" s="128" t="s">
        <v>628</v>
      </c>
      <c r="B253" s="128" t="s">
        <v>362</v>
      </c>
      <c r="C253" s="128" t="s">
        <v>626</v>
      </c>
      <c r="D253" s="128" t="s">
        <v>627</v>
      </c>
      <c r="E253" s="127">
        <f t="shared" ref="E253:E254" si="259">F253</f>
        <v>0</v>
      </c>
      <c r="F253" s="129">
        <v>0</v>
      </c>
      <c r="G253" s="129"/>
      <c r="H253" s="129"/>
      <c r="I253" s="129"/>
      <c r="J253" s="127">
        <f t="shared" si="255"/>
        <v>0</v>
      </c>
      <c r="K253" s="129"/>
      <c r="L253" s="130"/>
      <c r="M253" s="131"/>
      <c r="N253" s="131"/>
      <c r="O253" s="132">
        <f t="shared" si="257"/>
        <v>0</v>
      </c>
      <c r="P253" s="127">
        <f>+J253+E253</f>
        <v>0</v>
      </c>
      <c r="Q253" s="20"/>
      <c r="R253" s="54"/>
    </row>
    <row r="254" spans="1:18" ht="48" hidden="1" thickTop="1" thickBot="1" x14ac:dyDescent="0.25">
      <c r="A254" s="128" t="s">
        <v>1151</v>
      </c>
      <c r="B254" s="128" t="s">
        <v>43</v>
      </c>
      <c r="C254" s="128" t="s">
        <v>42</v>
      </c>
      <c r="D254" s="128" t="s">
        <v>248</v>
      </c>
      <c r="E254" s="127">
        <f t="shared" si="259"/>
        <v>0</v>
      </c>
      <c r="F254" s="129"/>
      <c r="G254" s="129"/>
      <c r="H254" s="129"/>
      <c r="I254" s="129"/>
      <c r="J254" s="127">
        <f t="shared" si="255"/>
        <v>0</v>
      </c>
      <c r="K254" s="129"/>
      <c r="L254" s="130"/>
      <c r="M254" s="131"/>
      <c r="N254" s="131"/>
      <c r="O254" s="132"/>
      <c r="P254" s="127">
        <f>+J254+E254</f>
        <v>0</v>
      </c>
      <c r="Q254" s="20"/>
      <c r="R254" s="54"/>
    </row>
    <row r="255" spans="1:18" ht="47.25" thickTop="1" thickBot="1" x14ac:dyDescent="0.25">
      <c r="A255" s="311" t="s">
        <v>791</v>
      </c>
      <c r="B255" s="311" t="s">
        <v>743</v>
      </c>
      <c r="C255" s="311"/>
      <c r="D255" s="347" t="s">
        <v>744</v>
      </c>
      <c r="E255" s="328">
        <f>SUM(E256:E262)-E256</f>
        <v>15711200</v>
      </c>
      <c r="F255" s="328">
        <f t="shared" ref="F255:P255" si="260">SUM(F256:F262)-F256</f>
        <v>15711200</v>
      </c>
      <c r="G255" s="328">
        <f t="shared" si="260"/>
        <v>0</v>
      </c>
      <c r="H255" s="328">
        <f t="shared" si="260"/>
        <v>0</v>
      </c>
      <c r="I255" s="328">
        <f t="shared" si="260"/>
        <v>0</v>
      </c>
      <c r="J255" s="328">
        <f>SUM(J256:J262)-J256</f>
        <v>2200000</v>
      </c>
      <c r="K255" s="328">
        <f t="shared" si="260"/>
        <v>2200000</v>
      </c>
      <c r="L255" s="328">
        <f t="shared" si="260"/>
        <v>0</v>
      </c>
      <c r="M255" s="328">
        <f t="shared" si="260"/>
        <v>0</v>
      </c>
      <c r="N255" s="328">
        <f t="shared" si="260"/>
        <v>0</v>
      </c>
      <c r="O255" s="328">
        <f t="shared" si="260"/>
        <v>2200000</v>
      </c>
      <c r="P255" s="328">
        <f t="shared" si="260"/>
        <v>17911200</v>
      </c>
      <c r="Q255" s="20"/>
      <c r="R255" s="54"/>
    </row>
    <row r="256" spans="1:18" s="33" customFormat="1" ht="93" thickTop="1" thickBot="1" x14ac:dyDescent="0.25">
      <c r="A256" s="329" t="s">
        <v>792</v>
      </c>
      <c r="B256" s="329" t="s">
        <v>793</v>
      </c>
      <c r="C256" s="329"/>
      <c r="D256" s="329" t="s">
        <v>794</v>
      </c>
      <c r="E256" s="325">
        <f>SUM(E257:E259)</f>
        <v>3162200</v>
      </c>
      <c r="F256" s="325">
        <f t="shared" ref="F256:P256" si="261">SUM(F257:F259)</f>
        <v>3162200</v>
      </c>
      <c r="G256" s="325">
        <f t="shared" si="261"/>
        <v>0</v>
      </c>
      <c r="H256" s="325">
        <f t="shared" si="261"/>
        <v>0</v>
      </c>
      <c r="I256" s="325">
        <f t="shared" si="261"/>
        <v>0</v>
      </c>
      <c r="J256" s="325">
        <f t="shared" si="261"/>
        <v>2200000</v>
      </c>
      <c r="K256" s="325">
        <f t="shared" si="261"/>
        <v>2200000</v>
      </c>
      <c r="L256" s="325">
        <f t="shared" si="261"/>
        <v>0</v>
      </c>
      <c r="M256" s="325">
        <f t="shared" si="261"/>
        <v>0</v>
      </c>
      <c r="N256" s="325">
        <f t="shared" si="261"/>
        <v>0</v>
      </c>
      <c r="O256" s="325">
        <f t="shared" si="261"/>
        <v>2200000</v>
      </c>
      <c r="P256" s="325">
        <f t="shared" si="261"/>
        <v>5362200</v>
      </c>
      <c r="Q256" s="36"/>
      <c r="R256" s="54"/>
    </row>
    <row r="257" spans="1:18" ht="48" thickTop="1" thickBot="1" x14ac:dyDescent="0.25">
      <c r="A257" s="103" t="s">
        <v>280</v>
      </c>
      <c r="B257" s="103" t="s">
        <v>281</v>
      </c>
      <c r="C257" s="103" t="s">
        <v>340</v>
      </c>
      <c r="D257" s="103" t="s">
        <v>282</v>
      </c>
      <c r="E257" s="312">
        <f>F257</f>
        <v>3162200</v>
      </c>
      <c r="F257" s="326">
        <v>3162200</v>
      </c>
      <c r="G257" s="326"/>
      <c r="H257" s="326"/>
      <c r="I257" s="326"/>
      <c r="J257" s="328">
        <f t="shared" si="255"/>
        <v>200000</v>
      </c>
      <c r="K257" s="326">
        <v>200000</v>
      </c>
      <c r="L257" s="473"/>
      <c r="M257" s="473"/>
      <c r="N257" s="473"/>
      <c r="O257" s="474">
        <f t="shared" si="257"/>
        <v>200000</v>
      </c>
      <c r="P257" s="328">
        <f t="shared" si="258"/>
        <v>3362200</v>
      </c>
      <c r="Q257" s="20"/>
      <c r="R257" s="54"/>
    </row>
    <row r="258" spans="1:18" ht="48" thickTop="1" thickBot="1" x14ac:dyDescent="0.25">
      <c r="A258" s="103" t="s">
        <v>301</v>
      </c>
      <c r="B258" s="103" t="s">
        <v>302</v>
      </c>
      <c r="C258" s="103" t="s">
        <v>283</v>
      </c>
      <c r="D258" s="103" t="s">
        <v>303</v>
      </c>
      <c r="E258" s="312">
        <f t="shared" ref="E258:E270" si="262">F258</f>
        <v>0</v>
      </c>
      <c r="F258" s="326"/>
      <c r="G258" s="326"/>
      <c r="H258" s="326"/>
      <c r="I258" s="326"/>
      <c r="J258" s="328">
        <f t="shared" si="255"/>
        <v>2000000</v>
      </c>
      <c r="K258" s="326">
        <v>2000000</v>
      </c>
      <c r="L258" s="473"/>
      <c r="M258" s="473"/>
      <c r="N258" s="473"/>
      <c r="O258" s="474">
        <f t="shared" si="257"/>
        <v>2000000</v>
      </c>
      <c r="P258" s="328">
        <f t="shared" si="258"/>
        <v>2000000</v>
      </c>
      <c r="Q258" s="20"/>
      <c r="R258" s="54"/>
    </row>
    <row r="259" spans="1:18" ht="93" hidden="1" thickTop="1" thickBot="1" x14ac:dyDescent="0.25">
      <c r="A259" s="128" t="s">
        <v>284</v>
      </c>
      <c r="B259" s="128" t="s">
        <v>285</v>
      </c>
      <c r="C259" s="128" t="s">
        <v>283</v>
      </c>
      <c r="D259" s="128" t="s">
        <v>466</v>
      </c>
      <c r="E259" s="152">
        <f t="shared" si="262"/>
        <v>0</v>
      </c>
      <c r="F259" s="129">
        <f>(((16700000-15000000)-1000000)-700000)+2500000-2500000</f>
        <v>0</v>
      </c>
      <c r="G259" s="129"/>
      <c r="H259" s="129"/>
      <c r="I259" s="129"/>
      <c r="J259" s="127">
        <f t="shared" si="255"/>
        <v>0</v>
      </c>
      <c r="K259" s="129">
        <v>0</v>
      </c>
      <c r="L259" s="130"/>
      <c r="M259" s="130"/>
      <c r="N259" s="130"/>
      <c r="O259" s="132">
        <f t="shared" si="257"/>
        <v>0</v>
      </c>
      <c r="P259" s="127">
        <f t="shared" si="258"/>
        <v>0</v>
      </c>
      <c r="Q259" s="20"/>
      <c r="R259" s="54"/>
    </row>
    <row r="260" spans="1:18" ht="93" thickTop="1" thickBot="1" x14ac:dyDescent="0.25">
      <c r="A260" s="103" t="s">
        <v>931</v>
      </c>
      <c r="B260" s="103" t="s">
        <v>297</v>
      </c>
      <c r="C260" s="103" t="s">
        <v>283</v>
      </c>
      <c r="D260" s="103" t="s">
        <v>298</v>
      </c>
      <c r="E260" s="312">
        <f t="shared" ref="E260" si="263">F260</f>
        <v>5500000</v>
      </c>
      <c r="F260" s="326">
        <v>5500000</v>
      </c>
      <c r="G260" s="326"/>
      <c r="H260" s="326"/>
      <c r="I260" s="326"/>
      <c r="J260" s="328">
        <f t="shared" ref="J260" si="264">L260+O260</f>
        <v>0</v>
      </c>
      <c r="K260" s="326"/>
      <c r="L260" s="473"/>
      <c r="M260" s="473"/>
      <c r="N260" s="473"/>
      <c r="O260" s="474">
        <f t="shared" ref="O260" si="265">K260</f>
        <v>0</v>
      </c>
      <c r="P260" s="328">
        <f t="shared" ref="P260" si="266">+J260+E260</f>
        <v>5500000</v>
      </c>
      <c r="Q260" s="20"/>
      <c r="R260" s="54"/>
    </row>
    <row r="261" spans="1:18" ht="48" thickTop="1" thickBot="1" x14ac:dyDescent="0.25">
      <c r="A261" s="103" t="s">
        <v>288</v>
      </c>
      <c r="B261" s="103" t="s">
        <v>289</v>
      </c>
      <c r="C261" s="103" t="s">
        <v>283</v>
      </c>
      <c r="D261" s="103" t="s">
        <v>290</v>
      </c>
      <c r="E261" s="312">
        <f t="shared" si="262"/>
        <v>5000000</v>
      </c>
      <c r="F261" s="326">
        <v>5000000</v>
      </c>
      <c r="G261" s="326"/>
      <c r="H261" s="326"/>
      <c r="I261" s="326"/>
      <c r="J261" s="328">
        <f t="shared" si="255"/>
        <v>0</v>
      </c>
      <c r="K261" s="477">
        <v>0</v>
      </c>
      <c r="L261" s="326"/>
      <c r="M261" s="326"/>
      <c r="N261" s="326"/>
      <c r="O261" s="474">
        <f t="shared" si="257"/>
        <v>0</v>
      </c>
      <c r="P261" s="328">
        <f t="shared" ref="P261" si="267">E261+J261</f>
        <v>5000000</v>
      </c>
      <c r="Q261" s="20"/>
      <c r="R261" s="50"/>
    </row>
    <row r="262" spans="1:18" ht="48" thickTop="1" thickBot="1" x14ac:dyDescent="0.25">
      <c r="A262" s="103" t="s">
        <v>1273</v>
      </c>
      <c r="B262" s="103" t="s">
        <v>1157</v>
      </c>
      <c r="C262" s="103" t="s">
        <v>1158</v>
      </c>
      <c r="D262" s="103" t="s">
        <v>1155</v>
      </c>
      <c r="E262" s="312">
        <f t="shared" ref="E262" si="268">F262</f>
        <v>2049000</v>
      </c>
      <c r="F262" s="326">
        <v>2049000</v>
      </c>
      <c r="G262" s="326"/>
      <c r="H262" s="326"/>
      <c r="I262" s="326"/>
      <c r="J262" s="328">
        <f t="shared" ref="J262" si="269">L262+O262</f>
        <v>0</v>
      </c>
      <c r="K262" s="477"/>
      <c r="L262" s="326"/>
      <c r="M262" s="326"/>
      <c r="N262" s="326"/>
      <c r="O262" s="474">
        <f t="shared" ref="O262" si="270">K262</f>
        <v>0</v>
      </c>
      <c r="P262" s="328">
        <f t="shared" ref="P262" si="271">E262+J262</f>
        <v>2049000</v>
      </c>
      <c r="Q262" s="20"/>
      <c r="R262" s="50"/>
    </row>
    <row r="263" spans="1:18" ht="47.25" thickTop="1" thickBot="1" x14ac:dyDescent="0.25">
      <c r="A263" s="311" t="s">
        <v>795</v>
      </c>
      <c r="B263" s="311" t="s">
        <v>749</v>
      </c>
      <c r="C263" s="311"/>
      <c r="D263" s="311" t="s">
        <v>796</v>
      </c>
      <c r="E263" s="312">
        <f>E266+E264</f>
        <v>2000000</v>
      </c>
      <c r="F263" s="312">
        <f t="shared" ref="F263:P263" si="272">F266+F264</f>
        <v>2000000</v>
      </c>
      <c r="G263" s="312">
        <f t="shared" si="272"/>
        <v>0</v>
      </c>
      <c r="H263" s="312">
        <f t="shared" si="272"/>
        <v>0</v>
      </c>
      <c r="I263" s="312">
        <f t="shared" si="272"/>
        <v>0</v>
      </c>
      <c r="J263" s="312">
        <f t="shared" si="272"/>
        <v>600000</v>
      </c>
      <c r="K263" s="312">
        <f t="shared" si="272"/>
        <v>600000</v>
      </c>
      <c r="L263" s="312">
        <f t="shared" si="272"/>
        <v>0</v>
      </c>
      <c r="M263" s="312">
        <f t="shared" si="272"/>
        <v>0</v>
      </c>
      <c r="N263" s="312">
        <f t="shared" si="272"/>
        <v>0</v>
      </c>
      <c r="O263" s="312">
        <f t="shared" si="272"/>
        <v>600000</v>
      </c>
      <c r="P263" s="312">
        <f t="shared" si="272"/>
        <v>2600000</v>
      </c>
      <c r="Q263" s="20"/>
      <c r="R263" s="50"/>
    </row>
    <row r="264" spans="1:18" ht="47.25" thickTop="1" thickBot="1" x14ac:dyDescent="0.25">
      <c r="A264" s="313" t="s">
        <v>1153</v>
      </c>
      <c r="B264" s="313" t="s">
        <v>805</v>
      </c>
      <c r="C264" s="313"/>
      <c r="D264" s="313" t="s">
        <v>806</v>
      </c>
      <c r="E264" s="314">
        <f>E265</f>
        <v>0</v>
      </c>
      <c r="F264" s="314">
        <f t="shared" ref="F264:P264" si="273">F265</f>
        <v>0</v>
      </c>
      <c r="G264" s="314">
        <f t="shared" si="273"/>
        <v>0</v>
      </c>
      <c r="H264" s="314">
        <f t="shared" si="273"/>
        <v>0</v>
      </c>
      <c r="I264" s="314">
        <f t="shared" si="273"/>
        <v>0</v>
      </c>
      <c r="J264" s="314">
        <f t="shared" si="273"/>
        <v>300000</v>
      </c>
      <c r="K264" s="314">
        <f t="shared" si="273"/>
        <v>300000</v>
      </c>
      <c r="L264" s="314">
        <f t="shared" si="273"/>
        <v>0</v>
      </c>
      <c r="M264" s="314">
        <f t="shared" si="273"/>
        <v>0</v>
      </c>
      <c r="N264" s="314">
        <f t="shared" si="273"/>
        <v>0</v>
      </c>
      <c r="O264" s="314">
        <f t="shared" si="273"/>
        <v>300000</v>
      </c>
      <c r="P264" s="314">
        <f t="shared" si="273"/>
        <v>300000</v>
      </c>
      <c r="Q264" s="20"/>
      <c r="R264" s="50"/>
    </row>
    <row r="265" spans="1:18" ht="54" thickTop="1" thickBot="1" x14ac:dyDescent="0.25">
      <c r="A265" s="103" t="s">
        <v>1154</v>
      </c>
      <c r="B265" s="103" t="s">
        <v>305</v>
      </c>
      <c r="C265" s="103" t="s">
        <v>304</v>
      </c>
      <c r="D265" s="103" t="s">
        <v>1541</v>
      </c>
      <c r="E265" s="312">
        <f t="shared" ref="E265" si="274">F265</f>
        <v>0</v>
      </c>
      <c r="F265" s="326"/>
      <c r="G265" s="326"/>
      <c r="H265" s="326"/>
      <c r="I265" s="326"/>
      <c r="J265" s="328">
        <f>L265+O265</f>
        <v>300000</v>
      </c>
      <c r="K265" s="477">
        <v>300000</v>
      </c>
      <c r="L265" s="326"/>
      <c r="M265" s="326"/>
      <c r="N265" s="326"/>
      <c r="O265" s="474">
        <f>K265</f>
        <v>300000</v>
      </c>
      <c r="P265" s="328">
        <f t="shared" ref="P265" si="275">E265+J265</f>
        <v>300000</v>
      </c>
      <c r="Q265" s="20"/>
      <c r="R265" s="50"/>
    </row>
    <row r="266" spans="1:18" ht="47.25" thickTop="1" thickBot="1" x14ac:dyDescent="0.25">
      <c r="A266" s="313" t="s">
        <v>797</v>
      </c>
      <c r="B266" s="313" t="s">
        <v>692</v>
      </c>
      <c r="C266" s="313"/>
      <c r="D266" s="313" t="s">
        <v>690</v>
      </c>
      <c r="E266" s="314">
        <f>E267+E269+E268</f>
        <v>2000000</v>
      </c>
      <c r="F266" s="314">
        <f t="shared" ref="F266:P266" si="276">F267+F269+F268</f>
        <v>2000000</v>
      </c>
      <c r="G266" s="314">
        <f t="shared" si="276"/>
        <v>0</v>
      </c>
      <c r="H266" s="314">
        <f t="shared" si="276"/>
        <v>0</v>
      </c>
      <c r="I266" s="314">
        <f t="shared" si="276"/>
        <v>0</v>
      </c>
      <c r="J266" s="314">
        <f>J267+J269+J268</f>
        <v>300000</v>
      </c>
      <c r="K266" s="314">
        <f t="shared" si="276"/>
        <v>300000</v>
      </c>
      <c r="L266" s="314">
        <f t="shared" si="276"/>
        <v>0</v>
      </c>
      <c r="M266" s="314">
        <f t="shared" si="276"/>
        <v>0</v>
      </c>
      <c r="N266" s="314">
        <f t="shared" si="276"/>
        <v>0</v>
      </c>
      <c r="O266" s="314">
        <f t="shared" si="276"/>
        <v>300000</v>
      </c>
      <c r="P266" s="314">
        <f t="shared" si="276"/>
        <v>2300000</v>
      </c>
      <c r="Q266" s="20"/>
      <c r="R266" s="50"/>
    </row>
    <row r="267" spans="1:18" ht="48" thickTop="1" thickBot="1" x14ac:dyDescent="0.25">
      <c r="A267" s="103" t="s">
        <v>296</v>
      </c>
      <c r="B267" s="103" t="s">
        <v>212</v>
      </c>
      <c r="C267" s="103" t="s">
        <v>213</v>
      </c>
      <c r="D267" s="103" t="s">
        <v>41</v>
      </c>
      <c r="E267" s="312">
        <f t="shared" si="262"/>
        <v>2000000</v>
      </c>
      <c r="F267" s="326">
        <v>2000000</v>
      </c>
      <c r="G267" s="326"/>
      <c r="H267" s="326"/>
      <c r="I267" s="326"/>
      <c r="J267" s="328">
        <f t="shared" si="255"/>
        <v>0</v>
      </c>
      <c r="K267" s="477"/>
      <c r="L267" s="326"/>
      <c r="M267" s="326"/>
      <c r="N267" s="326"/>
      <c r="O267" s="474">
        <f t="shared" si="257"/>
        <v>0</v>
      </c>
      <c r="P267" s="328">
        <f>E267+J267</f>
        <v>2000000</v>
      </c>
      <c r="Q267" s="20"/>
      <c r="R267" s="54"/>
    </row>
    <row r="268" spans="1:18" ht="48" thickTop="1" thickBot="1" x14ac:dyDescent="0.25">
      <c r="A268" s="103" t="s">
        <v>920</v>
      </c>
      <c r="B268" s="103" t="s">
        <v>197</v>
      </c>
      <c r="C268" s="103" t="s">
        <v>170</v>
      </c>
      <c r="D268" s="103" t="s">
        <v>34</v>
      </c>
      <c r="E268" s="312">
        <f t="shared" ref="E268" si="277">F268</f>
        <v>0</v>
      </c>
      <c r="F268" s="326"/>
      <c r="G268" s="326"/>
      <c r="H268" s="326"/>
      <c r="I268" s="326"/>
      <c r="J268" s="328">
        <f t="shared" ref="J268" si="278">L268+O268</f>
        <v>300000</v>
      </c>
      <c r="K268" s="477">
        <v>300000</v>
      </c>
      <c r="L268" s="326"/>
      <c r="M268" s="326"/>
      <c r="N268" s="326"/>
      <c r="O268" s="474">
        <f t="shared" ref="O268" si="279">K268</f>
        <v>300000</v>
      </c>
      <c r="P268" s="328">
        <f>E268+J268</f>
        <v>300000</v>
      </c>
      <c r="Q268" s="20"/>
      <c r="R268" s="54"/>
    </row>
    <row r="269" spans="1:18" ht="48" hidden="1" thickTop="1" thickBot="1" x14ac:dyDescent="0.25">
      <c r="A269" s="140" t="s">
        <v>798</v>
      </c>
      <c r="B269" s="140" t="s">
        <v>695</v>
      </c>
      <c r="C269" s="140"/>
      <c r="D269" s="140" t="s">
        <v>799</v>
      </c>
      <c r="E269" s="158">
        <f>E270</f>
        <v>0</v>
      </c>
      <c r="F269" s="158">
        <f t="shared" ref="F269:P269" si="280">F270</f>
        <v>0</v>
      </c>
      <c r="G269" s="158">
        <f t="shared" si="280"/>
        <v>0</v>
      </c>
      <c r="H269" s="158">
        <f t="shared" si="280"/>
        <v>0</v>
      </c>
      <c r="I269" s="158">
        <f t="shared" si="280"/>
        <v>0</v>
      </c>
      <c r="J269" s="158">
        <f t="shared" si="280"/>
        <v>0</v>
      </c>
      <c r="K269" s="158">
        <f t="shared" si="280"/>
        <v>0</v>
      </c>
      <c r="L269" s="158">
        <f t="shared" si="280"/>
        <v>0</v>
      </c>
      <c r="M269" s="158">
        <f t="shared" si="280"/>
        <v>0</v>
      </c>
      <c r="N269" s="158">
        <f t="shared" si="280"/>
        <v>0</v>
      </c>
      <c r="O269" s="158">
        <f t="shared" si="280"/>
        <v>0</v>
      </c>
      <c r="P269" s="158">
        <f t="shared" si="280"/>
        <v>0</v>
      </c>
      <c r="Q269" s="20"/>
      <c r="R269" s="50"/>
    </row>
    <row r="270" spans="1:18" ht="214.5" hidden="1" customHeight="1" thickTop="1" thickBot="1" x14ac:dyDescent="0.7">
      <c r="A270" s="753" t="s">
        <v>424</v>
      </c>
      <c r="B270" s="753" t="s">
        <v>338</v>
      </c>
      <c r="C270" s="753" t="s">
        <v>170</v>
      </c>
      <c r="D270" s="155" t="s">
        <v>440</v>
      </c>
      <c r="E270" s="728">
        <f t="shared" si="262"/>
        <v>0</v>
      </c>
      <c r="F270" s="729"/>
      <c r="G270" s="729"/>
      <c r="H270" s="729"/>
      <c r="I270" s="729"/>
      <c r="J270" s="728">
        <f t="shared" si="255"/>
        <v>0</v>
      </c>
      <c r="K270" s="729"/>
      <c r="L270" s="729">
        <v>0</v>
      </c>
      <c r="M270" s="729"/>
      <c r="N270" s="729"/>
      <c r="O270" s="751">
        <f>((K270+884000)-450000)-434000</f>
        <v>0</v>
      </c>
      <c r="P270" s="765">
        <f>E270+J270</f>
        <v>0</v>
      </c>
      <c r="Q270" s="20"/>
      <c r="R270" s="50"/>
    </row>
    <row r="271" spans="1:18" ht="93" hidden="1" thickTop="1" thickBot="1" x14ac:dyDescent="0.25">
      <c r="A271" s="753"/>
      <c r="B271" s="753"/>
      <c r="C271" s="753"/>
      <c r="D271" s="156" t="s">
        <v>441</v>
      </c>
      <c r="E271" s="728"/>
      <c r="F271" s="729"/>
      <c r="G271" s="729"/>
      <c r="H271" s="729"/>
      <c r="I271" s="729"/>
      <c r="J271" s="728"/>
      <c r="K271" s="729"/>
      <c r="L271" s="729"/>
      <c r="M271" s="729"/>
      <c r="N271" s="729"/>
      <c r="O271" s="751"/>
      <c r="P271" s="765"/>
      <c r="Q271" s="20"/>
      <c r="R271" s="50"/>
    </row>
    <row r="272" spans="1:18" ht="47.25" thickTop="1" thickBot="1" x14ac:dyDescent="0.25">
      <c r="A272" s="311" t="s">
        <v>1240</v>
      </c>
      <c r="B272" s="311" t="s">
        <v>697</v>
      </c>
      <c r="C272" s="311"/>
      <c r="D272" s="311" t="s">
        <v>698</v>
      </c>
      <c r="E272" s="328">
        <f>E275+E273</f>
        <v>2812463</v>
      </c>
      <c r="F272" s="328">
        <f t="shared" ref="F272:I272" si="281">F275+F273</f>
        <v>2812463</v>
      </c>
      <c r="G272" s="328">
        <f t="shared" si="281"/>
        <v>0</v>
      </c>
      <c r="H272" s="328">
        <f t="shared" si="281"/>
        <v>0</v>
      </c>
      <c r="I272" s="328">
        <f t="shared" si="281"/>
        <v>0</v>
      </c>
      <c r="J272" s="328">
        <f>J275+J273</f>
        <v>0</v>
      </c>
      <c r="K272" s="328">
        <f t="shared" ref="K272:N272" si="282">K275+K273</f>
        <v>0</v>
      </c>
      <c r="L272" s="328">
        <f t="shared" si="282"/>
        <v>0</v>
      </c>
      <c r="M272" s="328">
        <f t="shared" si="282"/>
        <v>0</v>
      </c>
      <c r="N272" s="328">
        <f t="shared" si="282"/>
        <v>0</v>
      </c>
      <c r="O272" s="328">
        <f>O275+O273</f>
        <v>0</v>
      </c>
      <c r="P272" s="328">
        <f>P275+P273</f>
        <v>2812463</v>
      </c>
      <c r="Q272" s="20"/>
      <c r="R272" s="50"/>
    </row>
    <row r="273" spans="1:18" ht="47.25" thickTop="1" thickBot="1" x14ac:dyDescent="0.25">
      <c r="A273" s="313" t="s">
        <v>1539</v>
      </c>
      <c r="B273" s="313" t="s">
        <v>814</v>
      </c>
      <c r="C273" s="313"/>
      <c r="D273" s="357" t="s">
        <v>1293</v>
      </c>
      <c r="E273" s="315">
        <f>SUM(E274:E276)</f>
        <v>2812463</v>
      </c>
      <c r="F273" s="315">
        <f t="shared" ref="F273:P273" si="283">SUM(F274:F276)</f>
        <v>2812463</v>
      </c>
      <c r="G273" s="315">
        <f t="shared" si="283"/>
        <v>0</v>
      </c>
      <c r="H273" s="315">
        <f t="shared" si="283"/>
        <v>0</v>
      </c>
      <c r="I273" s="315">
        <f t="shared" si="283"/>
        <v>0</v>
      </c>
      <c r="J273" s="315">
        <f t="shared" si="283"/>
        <v>0</v>
      </c>
      <c r="K273" s="315">
        <f t="shared" si="283"/>
        <v>0</v>
      </c>
      <c r="L273" s="315">
        <f t="shared" si="283"/>
        <v>0</v>
      </c>
      <c r="M273" s="315">
        <f t="shared" si="283"/>
        <v>0</v>
      </c>
      <c r="N273" s="315">
        <f t="shared" si="283"/>
        <v>0</v>
      </c>
      <c r="O273" s="315">
        <f t="shared" si="283"/>
        <v>0</v>
      </c>
      <c r="P273" s="315">
        <f t="shared" si="283"/>
        <v>2812463</v>
      </c>
      <c r="Q273" s="20"/>
      <c r="R273" s="50"/>
    </row>
    <row r="274" spans="1:18" ht="93" thickTop="1" thickBot="1" x14ac:dyDescent="0.25">
      <c r="A274" s="103" t="s">
        <v>1540</v>
      </c>
      <c r="B274" s="103" t="s">
        <v>518</v>
      </c>
      <c r="C274" s="103" t="s">
        <v>251</v>
      </c>
      <c r="D274" s="103" t="s">
        <v>519</v>
      </c>
      <c r="E274" s="312">
        <f>F274</f>
        <v>2812463</v>
      </c>
      <c r="F274" s="326">
        <v>2812463</v>
      </c>
      <c r="G274" s="326"/>
      <c r="H274" s="326"/>
      <c r="I274" s="326"/>
      <c r="J274" s="328">
        <f>L274+O274</f>
        <v>0</v>
      </c>
      <c r="K274" s="477"/>
      <c r="L274" s="326"/>
      <c r="M274" s="326"/>
      <c r="N274" s="326"/>
      <c r="O274" s="474">
        <f>K274</f>
        <v>0</v>
      </c>
      <c r="P274" s="328">
        <f>E274+J274</f>
        <v>2812463</v>
      </c>
      <c r="Q274" s="20"/>
      <c r="R274" s="50"/>
    </row>
    <row r="275" spans="1:18" ht="47.25" hidden="1" thickTop="1" thickBot="1" x14ac:dyDescent="0.25">
      <c r="A275" s="136" t="s">
        <v>1241</v>
      </c>
      <c r="B275" s="136" t="s">
        <v>1195</v>
      </c>
      <c r="C275" s="136"/>
      <c r="D275" s="136" t="s">
        <v>1193</v>
      </c>
      <c r="E275" s="137">
        <f t="shared" ref="E275:P275" si="284">SUM(E276:E276)</f>
        <v>0</v>
      </c>
      <c r="F275" s="137">
        <f t="shared" si="284"/>
        <v>0</v>
      </c>
      <c r="G275" s="137">
        <f t="shared" si="284"/>
        <v>0</v>
      </c>
      <c r="H275" s="137">
        <f t="shared" si="284"/>
        <v>0</v>
      </c>
      <c r="I275" s="137">
        <f t="shared" si="284"/>
        <v>0</v>
      </c>
      <c r="J275" s="137">
        <f t="shared" si="284"/>
        <v>0</v>
      </c>
      <c r="K275" s="137">
        <f t="shared" si="284"/>
        <v>0</v>
      </c>
      <c r="L275" s="137">
        <f t="shared" si="284"/>
        <v>0</v>
      </c>
      <c r="M275" s="137">
        <f t="shared" si="284"/>
        <v>0</v>
      </c>
      <c r="N275" s="137">
        <f t="shared" si="284"/>
        <v>0</v>
      </c>
      <c r="O275" s="137">
        <f t="shared" si="284"/>
        <v>0</v>
      </c>
      <c r="P275" s="137">
        <f t="shared" si="284"/>
        <v>0</v>
      </c>
      <c r="Q275" s="20"/>
      <c r="R275" s="50"/>
    </row>
    <row r="276" spans="1:18" ht="48" hidden="1" thickTop="1" thickBot="1" x14ac:dyDescent="0.25">
      <c r="A276" s="128" t="s">
        <v>1242</v>
      </c>
      <c r="B276" s="128" t="s">
        <v>1223</v>
      </c>
      <c r="C276" s="128" t="s">
        <v>1197</v>
      </c>
      <c r="D276" s="128" t="s">
        <v>1224</v>
      </c>
      <c r="E276" s="127">
        <f>F276</f>
        <v>0</v>
      </c>
      <c r="F276" s="134"/>
      <c r="G276" s="134"/>
      <c r="H276" s="134"/>
      <c r="I276" s="134"/>
      <c r="J276" s="127">
        <f>L276+O276</f>
        <v>0</v>
      </c>
      <c r="K276" s="134"/>
      <c r="L276" s="134"/>
      <c r="M276" s="134"/>
      <c r="N276" s="134"/>
      <c r="O276" s="132">
        <f>K276</f>
        <v>0</v>
      </c>
      <c r="P276" s="127">
        <f>E276+J276</f>
        <v>0</v>
      </c>
      <c r="Q276" s="20"/>
      <c r="R276" s="50"/>
    </row>
    <row r="277" spans="1:18" ht="91.5" thickTop="1" thickBot="1" x14ac:dyDescent="0.25">
      <c r="A277" s="508" t="s">
        <v>541</v>
      </c>
      <c r="B277" s="508"/>
      <c r="C277" s="508"/>
      <c r="D277" s="509" t="s">
        <v>560</v>
      </c>
      <c r="E277" s="535">
        <f>E278</f>
        <v>321633587</v>
      </c>
      <c r="F277" s="510">
        <f t="shared" ref="F277:G277" si="285">F278</f>
        <v>321633587</v>
      </c>
      <c r="G277" s="510">
        <f t="shared" si="285"/>
        <v>8690079</v>
      </c>
      <c r="H277" s="510">
        <f>H278</f>
        <v>239084</v>
      </c>
      <c r="I277" s="510">
        <f t="shared" ref="I277" si="286">I278</f>
        <v>0</v>
      </c>
      <c r="J277" s="535">
        <f>J278</f>
        <v>12212547</v>
      </c>
      <c r="K277" s="510">
        <f>K278</f>
        <v>12212547</v>
      </c>
      <c r="L277" s="510">
        <f>L278</f>
        <v>0</v>
      </c>
      <c r="M277" s="510">
        <f t="shared" ref="M277" si="287">M278</f>
        <v>0</v>
      </c>
      <c r="N277" s="510">
        <f>N278</f>
        <v>0</v>
      </c>
      <c r="O277" s="535">
        <f>O278</f>
        <v>12212547</v>
      </c>
      <c r="P277" s="510">
        <f>P278</f>
        <v>333846134</v>
      </c>
      <c r="Q277" s="20"/>
      <c r="R277" s="50"/>
    </row>
    <row r="278" spans="1:18" ht="91.5" thickTop="1" thickBot="1" x14ac:dyDescent="0.25">
      <c r="A278" s="511" t="s">
        <v>542</v>
      </c>
      <c r="B278" s="511"/>
      <c r="C278" s="511"/>
      <c r="D278" s="512" t="s">
        <v>561</v>
      </c>
      <c r="E278" s="513">
        <f>E279+E283+E291+E304+E309</f>
        <v>321633587</v>
      </c>
      <c r="F278" s="513">
        <f>F279+F283+F291+F304+F309</f>
        <v>321633587</v>
      </c>
      <c r="G278" s="513">
        <f>G279+G283+G291+G304+G309</f>
        <v>8690079</v>
      </c>
      <c r="H278" s="513">
        <f>H279+H283+H291+H304+H309</f>
        <v>239084</v>
      </c>
      <c r="I278" s="513">
        <f>I279+I283+I291+I304+I309</f>
        <v>0</v>
      </c>
      <c r="J278" s="513">
        <f t="shared" ref="J278:J301" si="288">L278+O278</f>
        <v>12212547</v>
      </c>
      <c r="K278" s="513">
        <f>K279+K283+K291+K304+K309</f>
        <v>12212547</v>
      </c>
      <c r="L278" s="513">
        <f>L279+L283+L291+L304+L309</f>
        <v>0</v>
      </c>
      <c r="M278" s="513">
        <f>M279+M283+M291+M304+M309</f>
        <v>0</v>
      </c>
      <c r="N278" s="513">
        <f>N279+N283+N291+N304+N309</f>
        <v>0</v>
      </c>
      <c r="O278" s="513">
        <f>O279+O283+O291+O304+O309</f>
        <v>12212547</v>
      </c>
      <c r="P278" s="513">
        <f>E278+J278</f>
        <v>333846134</v>
      </c>
      <c r="Q278" s="536" t="b">
        <f>P278=P280+P285+P286+P288+P289+P290+P293+P296+P298+P299+P306+P307</f>
        <v>1</v>
      </c>
      <c r="R278" s="45"/>
    </row>
    <row r="279" spans="1:18" ht="47.25" thickTop="1" thickBot="1" x14ac:dyDescent="0.25">
      <c r="A279" s="311" t="s">
        <v>800</v>
      </c>
      <c r="B279" s="311" t="s">
        <v>685</v>
      </c>
      <c r="C279" s="311"/>
      <c r="D279" s="311" t="s">
        <v>686</v>
      </c>
      <c r="E279" s="328">
        <f>SUM(E280:E282)</f>
        <v>8901631</v>
      </c>
      <c r="F279" s="328">
        <f t="shared" ref="F279:P279" si="289">SUM(F280:F282)</f>
        <v>8901631</v>
      </c>
      <c r="G279" s="328">
        <f t="shared" si="289"/>
        <v>6736115</v>
      </c>
      <c r="H279" s="328">
        <f t="shared" si="289"/>
        <v>180204</v>
      </c>
      <c r="I279" s="328">
        <f t="shared" si="289"/>
        <v>0</v>
      </c>
      <c r="J279" s="328">
        <f t="shared" si="289"/>
        <v>39000</v>
      </c>
      <c r="K279" s="328">
        <f t="shared" si="289"/>
        <v>39000</v>
      </c>
      <c r="L279" s="328">
        <f t="shared" si="289"/>
        <v>0</v>
      </c>
      <c r="M279" s="328">
        <f t="shared" si="289"/>
        <v>0</v>
      </c>
      <c r="N279" s="328">
        <f t="shared" si="289"/>
        <v>0</v>
      </c>
      <c r="O279" s="328">
        <f t="shared" si="289"/>
        <v>39000</v>
      </c>
      <c r="P279" s="328">
        <f t="shared" si="289"/>
        <v>8940631</v>
      </c>
      <c r="Q279" s="47"/>
      <c r="R279" s="45"/>
    </row>
    <row r="280" spans="1:18" ht="93" thickTop="1" thickBot="1" x14ac:dyDescent="0.25">
      <c r="A280" s="103" t="s">
        <v>543</v>
      </c>
      <c r="B280" s="103" t="s">
        <v>236</v>
      </c>
      <c r="C280" s="103" t="s">
        <v>234</v>
      </c>
      <c r="D280" s="103" t="s">
        <v>235</v>
      </c>
      <c r="E280" s="312">
        <f>F280</f>
        <v>8901631</v>
      </c>
      <c r="F280" s="326">
        <v>8901631</v>
      </c>
      <c r="G280" s="326">
        <v>6736115</v>
      </c>
      <c r="H280" s="326">
        <v>180204</v>
      </c>
      <c r="I280" s="326"/>
      <c r="J280" s="328">
        <f t="shared" si="288"/>
        <v>39000</v>
      </c>
      <c r="K280" s="326">
        <v>39000</v>
      </c>
      <c r="L280" s="473"/>
      <c r="M280" s="473"/>
      <c r="N280" s="473"/>
      <c r="O280" s="474">
        <f t="shared" ref="O280:O299" si="290">K280</f>
        <v>39000</v>
      </c>
      <c r="P280" s="328">
        <f t="shared" ref="P280:P286" si="291">+J280+E280</f>
        <v>8940631</v>
      </c>
      <c r="Q280" s="20"/>
      <c r="R280" s="45"/>
    </row>
    <row r="281" spans="1:18" ht="93" hidden="1" thickTop="1" thickBot="1" x14ac:dyDescent="0.25">
      <c r="A281" s="128" t="s">
        <v>630</v>
      </c>
      <c r="B281" s="128" t="s">
        <v>362</v>
      </c>
      <c r="C281" s="128" t="s">
        <v>626</v>
      </c>
      <c r="D281" s="128" t="s">
        <v>627</v>
      </c>
      <c r="E281" s="152">
        <f>F281</f>
        <v>0</v>
      </c>
      <c r="F281" s="129"/>
      <c r="G281" s="129"/>
      <c r="H281" s="129"/>
      <c r="I281" s="129"/>
      <c r="J281" s="127">
        <f t="shared" ref="J281" si="292">L281+O281</f>
        <v>0</v>
      </c>
      <c r="K281" s="129"/>
      <c r="L281" s="130"/>
      <c r="M281" s="130"/>
      <c r="N281" s="130"/>
      <c r="O281" s="132">
        <f t="shared" ref="O281" si="293">K281</f>
        <v>0</v>
      </c>
      <c r="P281" s="127">
        <f t="shared" ref="P281" si="294">+J281+E281</f>
        <v>0</v>
      </c>
      <c r="Q281" s="20"/>
      <c r="R281" s="45"/>
    </row>
    <row r="282" spans="1:18" ht="48" hidden="1" thickTop="1" thickBot="1" x14ac:dyDescent="0.25">
      <c r="A282" s="128" t="s">
        <v>544</v>
      </c>
      <c r="B282" s="128" t="s">
        <v>43</v>
      </c>
      <c r="C282" s="128" t="s">
        <v>42</v>
      </c>
      <c r="D282" s="128" t="s">
        <v>248</v>
      </c>
      <c r="E282" s="152">
        <f>F282</f>
        <v>0</v>
      </c>
      <c r="F282" s="129">
        <v>0</v>
      </c>
      <c r="G282" s="129"/>
      <c r="H282" s="129"/>
      <c r="I282" s="129"/>
      <c r="J282" s="127">
        <f t="shared" si="288"/>
        <v>0</v>
      </c>
      <c r="K282" s="129"/>
      <c r="L282" s="130"/>
      <c r="M282" s="130"/>
      <c r="N282" s="130"/>
      <c r="O282" s="132">
        <f t="shared" si="290"/>
        <v>0</v>
      </c>
      <c r="P282" s="127">
        <f t="shared" si="291"/>
        <v>0</v>
      </c>
      <c r="Q282" s="20"/>
      <c r="R282" s="50"/>
    </row>
    <row r="283" spans="1:18" ht="47.25" thickTop="1" thickBot="1" x14ac:dyDescent="0.25">
      <c r="A283" s="311" t="s">
        <v>801</v>
      </c>
      <c r="B283" s="311" t="s">
        <v>743</v>
      </c>
      <c r="C283" s="311"/>
      <c r="D283" s="347" t="s">
        <v>744</v>
      </c>
      <c r="E283" s="312">
        <f>SUM(E284:E290)-E284</f>
        <v>296216811</v>
      </c>
      <c r="F283" s="312">
        <f t="shared" ref="F283:P283" si="295">SUM(F284:F290)-F284</f>
        <v>296216811</v>
      </c>
      <c r="G283" s="312">
        <f t="shared" si="295"/>
        <v>0</v>
      </c>
      <c r="H283" s="312">
        <f t="shared" si="295"/>
        <v>5000</v>
      </c>
      <c r="I283" s="312">
        <f t="shared" si="295"/>
        <v>0</v>
      </c>
      <c r="J283" s="312">
        <f t="shared" si="295"/>
        <v>185707</v>
      </c>
      <c r="K283" s="312">
        <f t="shared" si="295"/>
        <v>185707</v>
      </c>
      <c r="L283" s="312">
        <f t="shared" si="295"/>
        <v>0</v>
      </c>
      <c r="M283" s="312">
        <f t="shared" si="295"/>
        <v>0</v>
      </c>
      <c r="N283" s="312">
        <f t="shared" si="295"/>
        <v>0</v>
      </c>
      <c r="O283" s="312">
        <f t="shared" si="295"/>
        <v>185707</v>
      </c>
      <c r="P283" s="312">
        <f t="shared" si="295"/>
        <v>296402518</v>
      </c>
      <c r="Q283" s="20"/>
      <c r="R283" s="50"/>
    </row>
    <row r="284" spans="1:18" ht="93" thickTop="1" thickBot="1" x14ac:dyDescent="0.25">
      <c r="A284" s="329" t="s">
        <v>802</v>
      </c>
      <c r="B284" s="329" t="s">
        <v>793</v>
      </c>
      <c r="C284" s="329"/>
      <c r="D284" s="329" t="s">
        <v>794</v>
      </c>
      <c r="E284" s="481">
        <f>SUM(E285:E287)</f>
        <v>30550000</v>
      </c>
      <c r="F284" s="481">
        <f t="shared" ref="F284:P284" si="296">SUM(F285:F287)</f>
        <v>30550000</v>
      </c>
      <c r="G284" s="481">
        <f t="shared" si="296"/>
        <v>0</v>
      </c>
      <c r="H284" s="481">
        <f t="shared" si="296"/>
        <v>0</v>
      </c>
      <c r="I284" s="481">
        <f t="shared" si="296"/>
        <v>0</v>
      </c>
      <c r="J284" s="481">
        <f t="shared" si="296"/>
        <v>185707</v>
      </c>
      <c r="K284" s="481">
        <f t="shared" si="296"/>
        <v>185707</v>
      </c>
      <c r="L284" s="481">
        <f t="shared" si="296"/>
        <v>0</v>
      </c>
      <c r="M284" s="481">
        <f t="shared" si="296"/>
        <v>0</v>
      </c>
      <c r="N284" s="481">
        <f t="shared" si="296"/>
        <v>0</v>
      </c>
      <c r="O284" s="481">
        <f t="shared" si="296"/>
        <v>185707</v>
      </c>
      <c r="P284" s="481">
        <f t="shared" si="296"/>
        <v>30735707</v>
      </c>
      <c r="Q284" s="20"/>
      <c r="R284" s="50"/>
    </row>
    <row r="285" spans="1:18" ht="93" thickTop="1" thickBot="1" x14ac:dyDescent="0.25">
      <c r="A285" s="103" t="s">
        <v>545</v>
      </c>
      <c r="B285" s="103" t="s">
        <v>376</v>
      </c>
      <c r="C285" s="103" t="s">
        <v>283</v>
      </c>
      <c r="D285" s="103" t="s">
        <v>377</v>
      </c>
      <c r="E285" s="312">
        <f t="shared" ref="E285:E299" si="297">F285</f>
        <v>20000000</v>
      </c>
      <c r="F285" s="326">
        <v>20000000</v>
      </c>
      <c r="G285" s="326"/>
      <c r="H285" s="326"/>
      <c r="I285" s="326"/>
      <c r="J285" s="328">
        <f t="shared" si="288"/>
        <v>0</v>
      </c>
      <c r="K285" s="326"/>
      <c r="L285" s="473"/>
      <c r="M285" s="473"/>
      <c r="N285" s="473"/>
      <c r="O285" s="474">
        <f t="shared" si="290"/>
        <v>0</v>
      </c>
      <c r="P285" s="328">
        <f t="shared" si="291"/>
        <v>20000000</v>
      </c>
      <c r="Q285" s="20"/>
      <c r="R285" s="50"/>
    </row>
    <row r="286" spans="1:18" ht="48" thickTop="1" thickBot="1" x14ac:dyDescent="0.25">
      <c r="A286" s="103" t="s">
        <v>546</v>
      </c>
      <c r="B286" s="103" t="s">
        <v>286</v>
      </c>
      <c r="C286" s="103" t="s">
        <v>283</v>
      </c>
      <c r="D286" s="103" t="s">
        <v>287</v>
      </c>
      <c r="E286" s="312">
        <f t="shared" si="297"/>
        <v>10550000</v>
      </c>
      <c r="F286" s="326">
        <v>10550000</v>
      </c>
      <c r="G286" s="129"/>
      <c r="H286" s="129"/>
      <c r="I286" s="129"/>
      <c r="J286" s="328">
        <f t="shared" si="288"/>
        <v>185707</v>
      </c>
      <c r="K286" s="326">
        <v>185707</v>
      </c>
      <c r="L286" s="473"/>
      <c r="M286" s="473"/>
      <c r="N286" s="473"/>
      <c r="O286" s="474">
        <f t="shared" si="290"/>
        <v>185707</v>
      </c>
      <c r="P286" s="328">
        <f t="shared" si="291"/>
        <v>10735707</v>
      </c>
      <c r="Q286" s="20"/>
      <c r="R286" s="50"/>
    </row>
    <row r="287" spans="1:18" ht="93" hidden="1" thickTop="1" thickBot="1" x14ac:dyDescent="0.25">
      <c r="A287" s="128" t="s">
        <v>1442</v>
      </c>
      <c r="B287" s="128" t="s">
        <v>1443</v>
      </c>
      <c r="C287" s="128" t="s">
        <v>283</v>
      </c>
      <c r="D287" s="128" t="s">
        <v>1444</v>
      </c>
      <c r="E287" s="152">
        <f t="shared" ref="E287" si="298">F287</f>
        <v>0</v>
      </c>
      <c r="F287" s="129">
        <v>0</v>
      </c>
      <c r="G287" s="129"/>
      <c r="H287" s="129"/>
      <c r="I287" s="129"/>
      <c r="J287" s="328">
        <f t="shared" ref="J287" si="299">L287+O287</f>
        <v>0</v>
      </c>
      <c r="K287" s="326"/>
      <c r="L287" s="473"/>
      <c r="M287" s="473"/>
      <c r="N287" s="473"/>
      <c r="O287" s="474">
        <f t="shared" ref="O287" si="300">K287</f>
        <v>0</v>
      </c>
      <c r="P287" s="328">
        <f t="shared" ref="P287" si="301">+J287+E287</f>
        <v>0</v>
      </c>
      <c r="Q287" s="20"/>
      <c r="R287" s="50"/>
    </row>
    <row r="288" spans="1:18" ht="93" thickTop="1" thickBot="1" x14ac:dyDescent="0.25">
      <c r="A288" s="103" t="s">
        <v>547</v>
      </c>
      <c r="B288" s="103" t="s">
        <v>297</v>
      </c>
      <c r="C288" s="103" t="s">
        <v>283</v>
      </c>
      <c r="D288" s="103" t="s">
        <v>298</v>
      </c>
      <c r="E288" s="312">
        <f t="shared" si="297"/>
        <v>700000</v>
      </c>
      <c r="F288" s="326">
        <v>700000</v>
      </c>
      <c r="G288" s="129"/>
      <c r="H288" s="129"/>
      <c r="I288" s="129"/>
      <c r="J288" s="328">
        <f t="shared" si="288"/>
        <v>0</v>
      </c>
      <c r="K288" s="477"/>
      <c r="L288" s="326"/>
      <c r="M288" s="326"/>
      <c r="N288" s="326"/>
      <c r="O288" s="474">
        <f t="shared" si="290"/>
        <v>0</v>
      </c>
      <c r="P288" s="328">
        <f t="shared" ref="P288:P293" si="302">E288+J288</f>
        <v>700000</v>
      </c>
      <c r="Q288" s="20"/>
      <c r="R288" s="50"/>
    </row>
    <row r="289" spans="1:18" ht="48" thickTop="1" thickBot="1" x14ac:dyDescent="0.25">
      <c r="A289" s="103" t="s">
        <v>548</v>
      </c>
      <c r="B289" s="103" t="s">
        <v>289</v>
      </c>
      <c r="C289" s="103" t="s">
        <v>283</v>
      </c>
      <c r="D289" s="103" t="s">
        <v>290</v>
      </c>
      <c r="E289" s="312">
        <f t="shared" si="297"/>
        <v>264708011</v>
      </c>
      <c r="F289" s="326">
        <f>273808011-650000-8450000</f>
        <v>264708011</v>
      </c>
      <c r="G289" s="129"/>
      <c r="H289" s="326">
        <v>5000</v>
      </c>
      <c r="I289" s="129"/>
      <c r="J289" s="328">
        <f t="shared" si="288"/>
        <v>0</v>
      </c>
      <c r="K289" s="477">
        <v>0</v>
      </c>
      <c r="L289" s="326"/>
      <c r="M289" s="326"/>
      <c r="N289" s="326"/>
      <c r="O289" s="474">
        <f t="shared" si="290"/>
        <v>0</v>
      </c>
      <c r="P289" s="328">
        <f t="shared" si="302"/>
        <v>264708011</v>
      </c>
      <c r="Q289" s="20"/>
      <c r="R289" s="45"/>
    </row>
    <row r="290" spans="1:18" ht="48" thickTop="1" thickBot="1" x14ac:dyDescent="0.25">
      <c r="A290" s="103" t="s">
        <v>1156</v>
      </c>
      <c r="B290" s="103" t="s">
        <v>1157</v>
      </c>
      <c r="C290" s="103" t="s">
        <v>1158</v>
      </c>
      <c r="D290" s="103" t="s">
        <v>1155</v>
      </c>
      <c r="E290" s="312">
        <f t="shared" si="297"/>
        <v>258800</v>
      </c>
      <c r="F290" s="326">
        <v>258800</v>
      </c>
      <c r="G290" s="326"/>
      <c r="H290" s="326"/>
      <c r="I290" s="326"/>
      <c r="J290" s="328">
        <f t="shared" si="288"/>
        <v>0</v>
      </c>
      <c r="K290" s="477"/>
      <c r="L290" s="326"/>
      <c r="M290" s="326"/>
      <c r="N290" s="326"/>
      <c r="O290" s="474">
        <f t="shared" si="290"/>
        <v>0</v>
      </c>
      <c r="P290" s="328">
        <f t="shared" si="302"/>
        <v>258800</v>
      </c>
      <c r="Q290" s="20"/>
      <c r="R290" s="45"/>
    </row>
    <row r="291" spans="1:18" ht="47.25" thickTop="1" thickBot="1" x14ac:dyDescent="0.25">
      <c r="A291" s="311" t="s">
        <v>803</v>
      </c>
      <c r="B291" s="311" t="s">
        <v>749</v>
      </c>
      <c r="C291" s="311"/>
      <c r="D291" s="311" t="s">
        <v>750</v>
      </c>
      <c r="E291" s="312">
        <f>E292+E294+E297</f>
        <v>12000000</v>
      </c>
      <c r="F291" s="312">
        <f t="shared" ref="F291:P291" si="303">F292+F294+F297</f>
        <v>12000000</v>
      </c>
      <c r="G291" s="312">
        <f t="shared" si="303"/>
        <v>0</v>
      </c>
      <c r="H291" s="312">
        <f t="shared" si="303"/>
        <v>0</v>
      </c>
      <c r="I291" s="312">
        <f t="shared" si="303"/>
        <v>0</v>
      </c>
      <c r="J291" s="312">
        <f>J292+J294+J297</f>
        <v>11987840</v>
      </c>
      <c r="K291" s="312">
        <f t="shared" si="303"/>
        <v>11987840</v>
      </c>
      <c r="L291" s="312">
        <f t="shared" si="303"/>
        <v>0</v>
      </c>
      <c r="M291" s="312">
        <f t="shared" si="303"/>
        <v>0</v>
      </c>
      <c r="N291" s="312">
        <f t="shared" si="303"/>
        <v>0</v>
      </c>
      <c r="O291" s="312">
        <f t="shared" si="303"/>
        <v>11987840</v>
      </c>
      <c r="P291" s="312">
        <f t="shared" si="303"/>
        <v>23987840</v>
      </c>
      <c r="Q291" s="20"/>
      <c r="R291" s="50"/>
    </row>
    <row r="292" spans="1:18" ht="47.25" thickTop="1" thickBot="1" x14ac:dyDescent="0.25">
      <c r="A292" s="313" t="s">
        <v>804</v>
      </c>
      <c r="B292" s="313" t="s">
        <v>805</v>
      </c>
      <c r="C292" s="313"/>
      <c r="D292" s="313" t="s">
        <v>806</v>
      </c>
      <c r="E292" s="314">
        <f>E293</f>
        <v>0</v>
      </c>
      <c r="F292" s="314">
        <f t="shared" ref="F292:P292" si="304">F293</f>
        <v>0</v>
      </c>
      <c r="G292" s="314">
        <f t="shared" si="304"/>
        <v>0</v>
      </c>
      <c r="H292" s="314">
        <f t="shared" si="304"/>
        <v>0</v>
      </c>
      <c r="I292" s="314">
        <f t="shared" si="304"/>
        <v>0</v>
      </c>
      <c r="J292" s="314">
        <f t="shared" si="304"/>
        <v>131720</v>
      </c>
      <c r="K292" s="314">
        <f t="shared" si="304"/>
        <v>131720</v>
      </c>
      <c r="L292" s="314">
        <f t="shared" si="304"/>
        <v>0</v>
      </c>
      <c r="M292" s="314">
        <f t="shared" si="304"/>
        <v>0</v>
      </c>
      <c r="N292" s="314">
        <f t="shared" si="304"/>
        <v>0</v>
      </c>
      <c r="O292" s="314">
        <f t="shared" si="304"/>
        <v>131720</v>
      </c>
      <c r="P292" s="314">
        <f t="shared" si="304"/>
        <v>131720</v>
      </c>
      <c r="Q292" s="20"/>
      <c r="R292" s="50"/>
    </row>
    <row r="293" spans="1:18" ht="54" thickTop="1" thickBot="1" x14ac:dyDescent="0.25">
      <c r="A293" s="103" t="s">
        <v>549</v>
      </c>
      <c r="B293" s="103" t="s">
        <v>305</v>
      </c>
      <c r="C293" s="103" t="s">
        <v>304</v>
      </c>
      <c r="D293" s="103" t="s">
        <v>1541</v>
      </c>
      <c r="E293" s="312">
        <f t="shared" si="297"/>
        <v>0</v>
      </c>
      <c r="F293" s="326"/>
      <c r="G293" s="326"/>
      <c r="H293" s="326"/>
      <c r="I293" s="326"/>
      <c r="J293" s="328">
        <f>L293+O293</f>
        <v>131720</v>
      </c>
      <c r="K293" s="477">
        <v>131720</v>
      </c>
      <c r="L293" s="326"/>
      <c r="M293" s="326"/>
      <c r="N293" s="326"/>
      <c r="O293" s="474">
        <f>K293</f>
        <v>131720</v>
      </c>
      <c r="P293" s="328">
        <f t="shared" si="302"/>
        <v>131720</v>
      </c>
      <c r="Q293" s="20"/>
      <c r="R293" s="45"/>
    </row>
    <row r="294" spans="1:18" ht="47.25" thickTop="1" thickBot="1" x14ac:dyDescent="0.25">
      <c r="A294" s="313" t="s">
        <v>807</v>
      </c>
      <c r="B294" s="313" t="s">
        <v>808</v>
      </c>
      <c r="C294" s="313"/>
      <c r="D294" s="313" t="s">
        <v>809</v>
      </c>
      <c r="E294" s="314">
        <f t="shared" ref="E294:P295" si="305">E295</f>
        <v>12000000</v>
      </c>
      <c r="F294" s="314">
        <f t="shared" si="305"/>
        <v>12000000</v>
      </c>
      <c r="G294" s="314">
        <f t="shared" si="305"/>
        <v>0</v>
      </c>
      <c r="H294" s="314">
        <f t="shared" si="305"/>
        <v>0</v>
      </c>
      <c r="I294" s="314">
        <f t="shared" si="305"/>
        <v>0</v>
      </c>
      <c r="J294" s="314">
        <f t="shared" si="305"/>
        <v>2000000</v>
      </c>
      <c r="K294" s="314">
        <f t="shared" si="305"/>
        <v>2000000</v>
      </c>
      <c r="L294" s="314">
        <f t="shared" si="305"/>
        <v>0</v>
      </c>
      <c r="M294" s="314">
        <f t="shared" si="305"/>
        <v>0</v>
      </c>
      <c r="N294" s="314">
        <f t="shared" si="305"/>
        <v>0</v>
      </c>
      <c r="O294" s="314">
        <f t="shared" si="305"/>
        <v>2000000</v>
      </c>
      <c r="P294" s="314">
        <f t="shared" si="305"/>
        <v>14000000</v>
      </c>
      <c r="Q294" s="20"/>
      <c r="R294" s="50"/>
    </row>
    <row r="295" spans="1:18" ht="93" thickTop="1" thickBot="1" x14ac:dyDescent="0.25">
      <c r="A295" s="103" t="s">
        <v>962</v>
      </c>
      <c r="B295" s="329" t="s">
        <v>963</v>
      </c>
      <c r="C295" s="313"/>
      <c r="D295" s="329" t="s">
        <v>964</v>
      </c>
      <c r="E295" s="481">
        <f t="shared" si="305"/>
        <v>12000000</v>
      </c>
      <c r="F295" s="481">
        <f t="shared" si="305"/>
        <v>12000000</v>
      </c>
      <c r="G295" s="481">
        <f t="shared" si="305"/>
        <v>0</v>
      </c>
      <c r="H295" s="481">
        <f t="shared" si="305"/>
        <v>0</v>
      </c>
      <c r="I295" s="481">
        <f t="shared" si="305"/>
        <v>0</v>
      </c>
      <c r="J295" s="481">
        <f t="shared" si="305"/>
        <v>2000000</v>
      </c>
      <c r="K295" s="481">
        <f t="shared" si="305"/>
        <v>2000000</v>
      </c>
      <c r="L295" s="481">
        <f t="shared" si="305"/>
        <v>0</v>
      </c>
      <c r="M295" s="481">
        <f t="shared" si="305"/>
        <v>0</v>
      </c>
      <c r="N295" s="481">
        <f t="shared" si="305"/>
        <v>0</v>
      </c>
      <c r="O295" s="481">
        <f t="shared" si="305"/>
        <v>2000000</v>
      </c>
      <c r="P295" s="481">
        <f t="shared" si="305"/>
        <v>14000000</v>
      </c>
      <c r="Q295" s="20"/>
      <c r="R295" s="50"/>
    </row>
    <row r="296" spans="1:18" ht="93" thickTop="1" thickBot="1" x14ac:dyDescent="0.25">
      <c r="A296" s="103" t="s">
        <v>550</v>
      </c>
      <c r="B296" s="103" t="s">
        <v>293</v>
      </c>
      <c r="C296" s="103" t="s">
        <v>295</v>
      </c>
      <c r="D296" s="103" t="s">
        <v>294</v>
      </c>
      <c r="E296" s="312">
        <f t="shared" si="297"/>
        <v>12000000</v>
      </c>
      <c r="F296" s="326">
        <f>18000000-3000000-3000000</f>
        <v>12000000</v>
      </c>
      <c r="G296" s="326"/>
      <c r="H296" s="326"/>
      <c r="I296" s="326"/>
      <c r="J296" s="328">
        <f t="shared" si="288"/>
        <v>2000000</v>
      </c>
      <c r="K296" s="326">
        <v>2000000</v>
      </c>
      <c r="L296" s="473"/>
      <c r="M296" s="473"/>
      <c r="N296" s="473"/>
      <c r="O296" s="474">
        <f>K296</f>
        <v>2000000</v>
      </c>
      <c r="P296" s="328">
        <f>+J296+E296</f>
        <v>14000000</v>
      </c>
      <c r="Q296" s="20"/>
      <c r="R296" s="45"/>
    </row>
    <row r="297" spans="1:18" ht="47.25" thickTop="1" thickBot="1" x14ac:dyDescent="0.25">
      <c r="A297" s="313" t="s">
        <v>810</v>
      </c>
      <c r="B297" s="313" t="s">
        <v>692</v>
      </c>
      <c r="C297" s="313"/>
      <c r="D297" s="313" t="s">
        <v>690</v>
      </c>
      <c r="E297" s="314">
        <f>SUM(E298:E303)-E300</f>
        <v>0</v>
      </c>
      <c r="F297" s="314">
        <f t="shared" ref="F297:P297" si="306">SUM(F298:F303)-F300</f>
        <v>0</v>
      </c>
      <c r="G297" s="314">
        <f t="shared" si="306"/>
        <v>0</v>
      </c>
      <c r="H297" s="314">
        <f t="shared" si="306"/>
        <v>0</v>
      </c>
      <c r="I297" s="314">
        <f t="shared" si="306"/>
        <v>0</v>
      </c>
      <c r="J297" s="314">
        <f t="shared" si="306"/>
        <v>9856120</v>
      </c>
      <c r="K297" s="314">
        <f t="shared" si="306"/>
        <v>9856120</v>
      </c>
      <c r="L297" s="314">
        <f t="shared" si="306"/>
        <v>0</v>
      </c>
      <c r="M297" s="314">
        <f t="shared" si="306"/>
        <v>0</v>
      </c>
      <c r="N297" s="314">
        <f t="shared" si="306"/>
        <v>0</v>
      </c>
      <c r="O297" s="314">
        <f t="shared" si="306"/>
        <v>9856120</v>
      </c>
      <c r="P297" s="314">
        <f t="shared" si="306"/>
        <v>9856120</v>
      </c>
      <c r="Q297" s="20"/>
      <c r="R297" s="45"/>
    </row>
    <row r="298" spans="1:18" ht="48" thickTop="1" thickBot="1" x14ac:dyDescent="0.25">
      <c r="A298" s="103" t="s">
        <v>551</v>
      </c>
      <c r="B298" s="103" t="s">
        <v>212</v>
      </c>
      <c r="C298" s="103" t="s">
        <v>213</v>
      </c>
      <c r="D298" s="103" t="s">
        <v>41</v>
      </c>
      <c r="E298" s="312">
        <f t="shared" si="297"/>
        <v>0</v>
      </c>
      <c r="F298" s="326"/>
      <c r="G298" s="326"/>
      <c r="H298" s="326"/>
      <c r="I298" s="326"/>
      <c r="J298" s="328">
        <f t="shared" si="288"/>
        <v>9760000</v>
      </c>
      <c r="K298" s="477">
        <v>9760000</v>
      </c>
      <c r="L298" s="326"/>
      <c r="M298" s="326"/>
      <c r="N298" s="326"/>
      <c r="O298" s="474">
        <f t="shared" si="290"/>
        <v>9760000</v>
      </c>
      <c r="P298" s="328">
        <f>E298+J298</f>
        <v>9760000</v>
      </c>
      <c r="Q298" s="20"/>
      <c r="R298" s="45"/>
    </row>
    <row r="299" spans="1:18" ht="48" thickTop="1" thickBot="1" x14ac:dyDescent="0.25">
      <c r="A299" s="103" t="s">
        <v>552</v>
      </c>
      <c r="B299" s="103" t="s">
        <v>197</v>
      </c>
      <c r="C299" s="103" t="s">
        <v>170</v>
      </c>
      <c r="D299" s="103" t="s">
        <v>34</v>
      </c>
      <c r="E299" s="312">
        <f t="shared" si="297"/>
        <v>0</v>
      </c>
      <c r="F299" s="326"/>
      <c r="G299" s="326"/>
      <c r="H299" s="326"/>
      <c r="I299" s="326"/>
      <c r="J299" s="328">
        <f t="shared" si="288"/>
        <v>96120</v>
      </c>
      <c r="K299" s="477">
        <v>96120</v>
      </c>
      <c r="L299" s="326"/>
      <c r="M299" s="326"/>
      <c r="N299" s="326"/>
      <c r="O299" s="474">
        <f t="shared" si="290"/>
        <v>96120</v>
      </c>
      <c r="P299" s="328">
        <f>E299+J299</f>
        <v>96120</v>
      </c>
      <c r="Q299" s="20"/>
      <c r="R299" s="45"/>
    </row>
    <row r="300" spans="1:18" ht="48" hidden="1" thickTop="1" thickBot="1" x14ac:dyDescent="0.25">
      <c r="A300" s="329" t="s">
        <v>811</v>
      </c>
      <c r="B300" s="329" t="s">
        <v>695</v>
      </c>
      <c r="C300" s="140"/>
      <c r="D300" s="140" t="s">
        <v>799</v>
      </c>
      <c r="E300" s="158">
        <f t="shared" ref="E300:P300" si="307">E301+E303</f>
        <v>0</v>
      </c>
      <c r="F300" s="158">
        <f t="shared" si="307"/>
        <v>0</v>
      </c>
      <c r="G300" s="158">
        <f t="shared" si="307"/>
        <v>0</v>
      </c>
      <c r="H300" s="158">
        <f t="shared" si="307"/>
        <v>0</v>
      </c>
      <c r="I300" s="158">
        <f t="shared" si="307"/>
        <v>0</v>
      </c>
      <c r="J300" s="158">
        <f t="shared" si="307"/>
        <v>0</v>
      </c>
      <c r="K300" s="158">
        <f t="shared" si="307"/>
        <v>0</v>
      </c>
      <c r="L300" s="158">
        <f t="shared" si="307"/>
        <v>0</v>
      </c>
      <c r="M300" s="158">
        <f t="shared" si="307"/>
        <v>0</v>
      </c>
      <c r="N300" s="158">
        <f t="shared" si="307"/>
        <v>0</v>
      </c>
      <c r="O300" s="158">
        <f t="shared" si="307"/>
        <v>0</v>
      </c>
      <c r="P300" s="158">
        <f t="shared" si="307"/>
        <v>0</v>
      </c>
      <c r="Q300" s="20"/>
      <c r="R300" s="50"/>
    </row>
    <row r="301" spans="1:18" ht="211.5" hidden="1" customHeight="1" thickTop="1" thickBot="1" x14ac:dyDescent="0.7">
      <c r="A301" s="730" t="s">
        <v>553</v>
      </c>
      <c r="B301" s="730" t="s">
        <v>338</v>
      </c>
      <c r="C301" s="753" t="s">
        <v>170</v>
      </c>
      <c r="D301" s="155" t="s">
        <v>440</v>
      </c>
      <c r="E301" s="728"/>
      <c r="F301" s="729"/>
      <c r="G301" s="729"/>
      <c r="H301" s="729"/>
      <c r="I301" s="729"/>
      <c r="J301" s="728">
        <f t="shared" si="288"/>
        <v>0</v>
      </c>
      <c r="K301" s="729"/>
      <c r="L301" s="729">
        <v>0</v>
      </c>
      <c r="M301" s="729"/>
      <c r="N301" s="729"/>
      <c r="O301" s="751"/>
      <c r="P301" s="765">
        <f>E301+J301</f>
        <v>0</v>
      </c>
      <c r="Q301" s="20"/>
      <c r="R301" s="50"/>
    </row>
    <row r="302" spans="1:18" ht="130.5" hidden="1" customHeight="1" thickTop="1" thickBot="1" x14ac:dyDescent="0.25">
      <c r="A302" s="730"/>
      <c r="B302" s="730"/>
      <c r="C302" s="753"/>
      <c r="D302" s="156" t="s">
        <v>441</v>
      </c>
      <c r="E302" s="728"/>
      <c r="F302" s="729"/>
      <c r="G302" s="729"/>
      <c r="H302" s="729"/>
      <c r="I302" s="729"/>
      <c r="J302" s="728"/>
      <c r="K302" s="729"/>
      <c r="L302" s="729"/>
      <c r="M302" s="729"/>
      <c r="N302" s="729"/>
      <c r="O302" s="751"/>
      <c r="P302" s="765"/>
      <c r="Q302" s="20"/>
      <c r="R302" s="50"/>
    </row>
    <row r="303" spans="1:18" ht="39" hidden="1" customHeight="1" thickTop="1" thickBot="1" x14ac:dyDescent="0.25">
      <c r="A303" s="103" t="s">
        <v>1192</v>
      </c>
      <c r="B303" s="103" t="s">
        <v>257</v>
      </c>
      <c r="C303" s="128" t="s">
        <v>170</v>
      </c>
      <c r="D303" s="156" t="s">
        <v>255</v>
      </c>
      <c r="E303" s="152">
        <f t="shared" ref="E303" si="308">F303</f>
        <v>0</v>
      </c>
      <c r="F303" s="129"/>
      <c r="G303" s="129"/>
      <c r="H303" s="129"/>
      <c r="I303" s="129"/>
      <c r="J303" s="127">
        <f t="shared" ref="J303" si="309">L303+O303</f>
        <v>0</v>
      </c>
      <c r="K303" s="134"/>
      <c r="L303" s="129"/>
      <c r="M303" s="129"/>
      <c r="N303" s="129"/>
      <c r="O303" s="132">
        <f t="shared" ref="O303" si="310">K303</f>
        <v>0</v>
      </c>
      <c r="P303" s="127">
        <f>E303+J303</f>
        <v>0</v>
      </c>
      <c r="Q303" s="20"/>
      <c r="R303" s="50"/>
    </row>
    <row r="304" spans="1:18" ht="47.25" thickTop="1" thickBot="1" x14ac:dyDescent="0.25">
      <c r="A304" s="311" t="s">
        <v>812</v>
      </c>
      <c r="B304" s="311" t="s">
        <v>697</v>
      </c>
      <c r="C304" s="311"/>
      <c r="D304" s="490" t="s">
        <v>698</v>
      </c>
      <c r="E304" s="328">
        <f>E305</f>
        <v>4515145</v>
      </c>
      <c r="F304" s="328">
        <f t="shared" ref="F304:P304" si="311">F305</f>
        <v>4515145</v>
      </c>
      <c r="G304" s="328">
        <f t="shared" si="311"/>
        <v>1953964</v>
      </c>
      <c r="H304" s="328">
        <f t="shared" si="311"/>
        <v>53880</v>
      </c>
      <c r="I304" s="328">
        <f t="shared" si="311"/>
        <v>0</v>
      </c>
      <c r="J304" s="328">
        <f t="shared" si="311"/>
        <v>0</v>
      </c>
      <c r="K304" s="328">
        <f t="shared" si="311"/>
        <v>0</v>
      </c>
      <c r="L304" s="328">
        <f t="shared" si="311"/>
        <v>0</v>
      </c>
      <c r="M304" s="328">
        <f t="shared" si="311"/>
        <v>0</v>
      </c>
      <c r="N304" s="328">
        <f t="shared" si="311"/>
        <v>0</v>
      </c>
      <c r="O304" s="328">
        <f t="shared" si="311"/>
        <v>0</v>
      </c>
      <c r="P304" s="328">
        <f t="shared" si="311"/>
        <v>4515145</v>
      </c>
      <c r="Q304" s="20"/>
      <c r="R304" s="50"/>
    </row>
    <row r="305" spans="1:18" ht="47.25" thickTop="1" thickBot="1" x14ac:dyDescent="0.25">
      <c r="A305" s="313" t="s">
        <v>813</v>
      </c>
      <c r="B305" s="313" t="s">
        <v>814</v>
      </c>
      <c r="C305" s="313"/>
      <c r="D305" s="357" t="s">
        <v>1293</v>
      </c>
      <c r="E305" s="315">
        <f>SUM(E306:E308)</f>
        <v>4515145</v>
      </c>
      <c r="F305" s="315">
        <f t="shared" ref="F305:P305" si="312">SUM(F306:F308)</f>
        <v>4515145</v>
      </c>
      <c r="G305" s="315">
        <f t="shared" si="312"/>
        <v>1953964</v>
      </c>
      <c r="H305" s="315">
        <f t="shared" si="312"/>
        <v>53880</v>
      </c>
      <c r="I305" s="315">
        <f t="shared" si="312"/>
        <v>0</v>
      </c>
      <c r="J305" s="315">
        <f t="shared" si="312"/>
        <v>0</v>
      </c>
      <c r="K305" s="315">
        <f t="shared" si="312"/>
        <v>0</v>
      </c>
      <c r="L305" s="315">
        <f t="shared" si="312"/>
        <v>0</v>
      </c>
      <c r="M305" s="315">
        <f t="shared" si="312"/>
        <v>0</v>
      </c>
      <c r="N305" s="315">
        <f t="shared" si="312"/>
        <v>0</v>
      </c>
      <c r="O305" s="315">
        <f t="shared" si="312"/>
        <v>0</v>
      </c>
      <c r="P305" s="315">
        <f t="shared" si="312"/>
        <v>4515145</v>
      </c>
      <c r="Q305" s="20"/>
      <c r="R305" s="50"/>
    </row>
    <row r="306" spans="1:18" ht="93" thickTop="1" thickBot="1" x14ac:dyDescent="0.25">
      <c r="A306" s="103" t="s">
        <v>554</v>
      </c>
      <c r="B306" s="103" t="s">
        <v>518</v>
      </c>
      <c r="C306" s="103" t="s">
        <v>251</v>
      </c>
      <c r="D306" s="103" t="s">
        <v>519</v>
      </c>
      <c r="E306" s="312">
        <f>F306</f>
        <v>2000000</v>
      </c>
      <c r="F306" s="326">
        <v>2000000</v>
      </c>
      <c r="G306" s="326"/>
      <c r="H306" s="326"/>
      <c r="I306" s="326"/>
      <c r="J306" s="328">
        <f>L306+O306</f>
        <v>0</v>
      </c>
      <c r="K306" s="477">
        <v>0</v>
      </c>
      <c r="L306" s="326"/>
      <c r="M306" s="326"/>
      <c r="N306" s="326"/>
      <c r="O306" s="474">
        <f>K306</f>
        <v>0</v>
      </c>
      <c r="P306" s="328">
        <f>E306+J306</f>
        <v>2000000</v>
      </c>
      <c r="Q306" s="20"/>
      <c r="R306" s="50"/>
    </row>
    <row r="307" spans="1:18" ht="48" thickTop="1" thickBot="1" x14ac:dyDescent="0.25">
      <c r="A307" s="103" t="s">
        <v>555</v>
      </c>
      <c r="B307" s="103" t="s">
        <v>250</v>
      </c>
      <c r="C307" s="103" t="s">
        <v>251</v>
      </c>
      <c r="D307" s="103" t="s">
        <v>249</v>
      </c>
      <c r="E307" s="312">
        <f t="shared" ref="E307:E308" si="313">F307</f>
        <v>2515145</v>
      </c>
      <c r="F307" s="326">
        <v>2515145</v>
      </c>
      <c r="G307" s="326">
        <v>1953964</v>
      </c>
      <c r="H307" s="326">
        <f>2500+35000+16380</f>
        <v>53880</v>
      </c>
      <c r="I307" s="326"/>
      <c r="J307" s="328">
        <f>L307+O307</f>
        <v>0</v>
      </c>
      <c r="K307" s="477">
        <v>0</v>
      </c>
      <c r="L307" s="326"/>
      <c r="M307" s="326"/>
      <c r="N307" s="326"/>
      <c r="O307" s="474">
        <f>K307</f>
        <v>0</v>
      </c>
      <c r="P307" s="328">
        <f>E307+J307</f>
        <v>2515145</v>
      </c>
      <c r="Q307" s="20"/>
      <c r="R307" s="46"/>
    </row>
    <row r="308" spans="1:18" ht="48" hidden="1" thickTop="1" thickBot="1" x14ac:dyDescent="0.25">
      <c r="A308" s="41" t="s">
        <v>556</v>
      </c>
      <c r="B308" s="41" t="s">
        <v>557</v>
      </c>
      <c r="C308" s="41" t="s">
        <v>251</v>
      </c>
      <c r="D308" s="41" t="s">
        <v>558</v>
      </c>
      <c r="E308" s="160">
        <f t="shared" si="313"/>
        <v>0</v>
      </c>
      <c r="F308" s="161">
        <f>(1219000)-1219000</f>
        <v>0</v>
      </c>
      <c r="G308" s="161">
        <f>(354000+540000)-894000</f>
        <v>0</v>
      </c>
      <c r="H308" s="161">
        <f>(6000+3000)-9000</f>
        <v>0</v>
      </c>
      <c r="I308" s="161"/>
      <c r="J308" s="42">
        <f>L308+O308</f>
        <v>0</v>
      </c>
      <c r="K308" s="43"/>
      <c r="L308" s="161"/>
      <c r="M308" s="161"/>
      <c r="N308" s="161"/>
      <c r="O308" s="44">
        <f>K308</f>
        <v>0</v>
      </c>
      <c r="P308" s="42">
        <f>E308+J308</f>
        <v>0</v>
      </c>
      <c r="Q308" s="20"/>
      <c r="R308" s="50"/>
    </row>
    <row r="309" spans="1:18" ht="47.25" hidden="1" thickTop="1" thickBot="1" x14ac:dyDescent="0.25">
      <c r="A309" s="125" t="s">
        <v>1518</v>
      </c>
      <c r="B309" s="125" t="s">
        <v>703</v>
      </c>
      <c r="C309" s="125"/>
      <c r="D309" s="125" t="s">
        <v>704</v>
      </c>
      <c r="E309" s="127">
        <f>E310</f>
        <v>0</v>
      </c>
      <c r="F309" s="127">
        <f t="shared" ref="F309:P310" si="314">F310</f>
        <v>0</v>
      </c>
      <c r="G309" s="127">
        <f t="shared" si="314"/>
        <v>0</v>
      </c>
      <c r="H309" s="127">
        <f t="shared" si="314"/>
        <v>0</v>
      </c>
      <c r="I309" s="127">
        <f t="shared" si="314"/>
        <v>0</v>
      </c>
      <c r="J309" s="127">
        <f t="shared" si="314"/>
        <v>0</v>
      </c>
      <c r="K309" s="127">
        <f t="shared" si="314"/>
        <v>0</v>
      </c>
      <c r="L309" s="127">
        <f t="shared" si="314"/>
        <v>0</v>
      </c>
      <c r="M309" s="127">
        <f t="shared" si="314"/>
        <v>0</v>
      </c>
      <c r="N309" s="127">
        <f t="shared" si="314"/>
        <v>0</v>
      </c>
      <c r="O309" s="127">
        <f t="shared" si="314"/>
        <v>0</v>
      </c>
      <c r="P309" s="127">
        <f t="shared" si="314"/>
        <v>0</v>
      </c>
      <c r="Q309" s="20"/>
      <c r="R309" s="50"/>
    </row>
    <row r="310" spans="1:18" ht="91.5" hidden="1" thickTop="1" thickBot="1" x14ac:dyDescent="0.25">
      <c r="A310" s="136" t="s">
        <v>1519</v>
      </c>
      <c r="B310" s="136" t="s">
        <v>706</v>
      </c>
      <c r="C310" s="136"/>
      <c r="D310" s="136" t="s">
        <v>707</v>
      </c>
      <c r="E310" s="137">
        <f>E311</f>
        <v>0</v>
      </c>
      <c r="F310" s="137">
        <f t="shared" si="314"/>
        <v>0</v>
      </c>
      <c r="G310" s="137">
        <f t="shared" si="314"/>
        <v>0</v>
      </c>
      <c r="H310" s="137">
        <f t="shared" si="314"/>
        <v>0</v>
      </c>
      <c r="I310" s="137">
        <f t="shared" si="314"/>
        <v>0</v>
      </c>
      <c r="J310" s="137">
        <f t="shared" si="314"/>
        <v>0</v>
      </c>
      <c r="K310" s="137">
        <f t="shared" si="314"/>
        <v>0</v>
      </c>
      <c r="L310" s="137">
        <f t="shared" si="314"/>
        <v>0</v>
      </c>
      <c r="M310" s="137">
        <f t="shared" si="314"/>
        <v>0</v>
      </c>
      <c r="N310" s="137">
        <f t="shared" si="314"/>
        <v>0</v>
      </c>
      <c r="O310" s="137">
        <f t="shared" si="314"/>
        <v>0</v>
      </c>
      <c r="P310" s="137">
        <f t="shared" si="314"/>
        <v>0</v>
      </c>
      <c r="Q310" s="20"/>
      <c r="R310" s="50"/>
    </row>
    <row r="311" spans="1:18" ht="48" hidden="1" thickTop="1" thickBot="1" x14ac:dyDescent="0.25">
      <c r="A311" s="128" t="s">
        <v>1520</v>
      </c>
      <c r="B311" s="128" t="s">
        <v>363</v>
      </c>
      <c r="C311" s="128" t="s">
        <v>43</v>
      </c>
      <c r="D311" s="128" t="s">
        <v>364</v>
      </c>
      <c r="E311" s="127">
        <f t="shared" ref="E311" si="315">F311</f>
        <v>0</v>
      </c>
      <c r="F311" s="134"/>
      <c r="G311" s="134"/>
      <c r="H311" s="134"/>
      <c r="I311" s="134"/>
      <c r="J311" s="127">
        <f>L311+O311</f>
        <v>0</v>
      </c>
      <c r="K311" s="134">
        <v>0</v>
      </c>
      <c r="L311" s="134"/>
      <c r="M311" s="134"/>
      <c r="N311" s="134"/>
      <c r="O311" s="132">
        <f>K311</f>
        <v>0</v>
      </c>
      <c r="P311" s="127">
        <f>E311+J311</f>
        <v>0</v>
      </c>
      <c r="Q311" s="20"/>
      <c r="R311" s="50"/>
    </row>
    <row r="312" spans="1:18" ht="91.5" thickTop="1" thickBot="1" x14ac:dyDescent="0.25">
      <c r="A312" s="508" t="s">
        <v>25</v>
      </c>
      <c r="B312" s="508"/>
      <c r="C312" s="508"/>
      <c r="D312" s="509" t="s">
        <v>1375</v>
      </c>
      <c r="E312" s="535">
        <f>E313</f>
        <v>3767165</v>
      </c>
      <c r="F312" s="510">
        <f t="shared" ref="F312:G312" si="316">F313</f>
        <v>3767165</v>
      </c>
      <c r="G312" s="510">
        <f t="shared" si="316"/>
        <v>2744545</v>
      </c>
      <c r="H312" s="510">
        <f>H313</f>
        <v>129800</v>
      </c>
      <c r="I312" s="510">
        <f t="shared" ref="I312" si="317">I313</f>
        <v>0</v>
      </c>
      <c r="J312" s="535">
        <f>J313</f>
        <v>16000000</v>
      </c>
      <c r="K312" s="510">
        <f>K313</f>
        <v>16000000</v>
      </c>
      <c r="L312" s="510">
        <f>L313</f>
        <v>0</v>
      </c>
      <c r="M312" s="510">
        <f t="shared" ref="M312" si="318">M313</f>
        <v>0</v>
      </c>
      <c r="N312" s="510">
        <f>N313</f>
        <v>0</v>
      </c>
      <c r="O312" s="535">
        <f>O313</f>
        <v>16000000</v>
      </c>
      <c r="P312" s="510">
        <f t="shared" ref="P312" si="319">P313</f>
        <v>19767165</v>
      </c>
      <c r="Q312" s="20"/>
    </row>
    <row r="313" spans="1:18" ht="91.5" thickTop="1" thickBot="1" x14ac:dyDescent="0.25">
      <c r="A313" s="511" t="s">
        <v>26</v>
      </c>
      <c r="B313" s="511"/>
      <c r="C313" s="511"/>
      <c r="D313" s="512" t="s">
        <v>894</v>
      </c>
      <c r="E313" s="513">
        <f>E314+E320+E323+E318</f>
        <v>3767165</v>
      </c>
      <c r="F313" s="513">
        <f>F314+F320+F323+F318</f>
        <v>3767165</v>
      </c>
      <c r="G313" s="513">
        <f>G314+G320+G323+G318</f>
        <v>2744545</v>
      </c>
      <c r="H313" s="513">
        <f>H314+H320+H323+H318</f>
        <v>129800</v>
      </c>
      <c r="I313" s="513">
        <f>I314+I320+I323+I318</f>
        <v>0</v>
      </c>
      <c r="J313" s="513">
        <f>L313+O313</f>
        <v>16000000</v>
      </c>
      <c r="K313" s="513">
        <f>K314+K320+K323+K318</f>
        <v>16000000</v>
      </c>
      <c r="L313" s="513">
        <f>L314+L320+L323+L318</f>
        <v>0</v>
      </c>
      <c r="M313" s="513">
        <f>M314+M320+M323+M318</f>
        <v>0</v>
      </c>
      <c r="N313" s="513">
        <f>N314+N320+N323+N318</f>
        <v>0</v>
      </c>
      <c r="O313" s="513">
        <f>O314+O320+O323+O318</f>
        <v>16000000</v>
      </c>
      <c r="P313" s="513">
        <f>E313+J313</f>
        <v>19767165</v>
      </c>
      <c r="Q313" s="536" t="b">
        <f>P313=P315+P327+P330</f>
        <v>1</v>
      </c>
      <c r="R313" s="46"/>
    </row>
    <row r="314" spans="1:18" ht="47.25" thickTop="1" thickBot="1" x14ac:dyDescent="0.25">
      <c r="A314" s="311" t="s">
        <v>815</v>
      </c>
      <c r="B314" s="311" t="s">
        <v>685</v>
      </c>
      <c r="C314" s="311"/>
      <c r="D314" s="311" t="s">
        <v>686</v>
      </c>
      <c r="E314" s="328">
        <f t="shared" ref="E314:P314" si="320">SUM(E315:E317)</f>
        <v>3767165</v>
      </c>
      <c r="F314" s="328">
        <f t="shared" si="320"/>
        <v>3767165</v>
      </c>
      <c r="G314" s="328">
        <f t="shared" si="320"/>
        <v>2744545</v>
      </c>
      <c r="H314" s="328">
        <f t="shared" si="320"/>
        <v>129800</v>
      </c>
      <c r="I314" s="328">
        <f t="shared" si="320"/>
        <v>0</v>
      </c>
      <c r="J314" s="328">
        <f t="shared" si="320"/>
        <v>0</v>
      </c>
      <c r="K314" s="328">
        <f t="shared" si="320"/>
        <v>0</v>
      </c>
      <c r="L314" s="328">
        <f t="shared" si="320"/>
        <v>0</v>
      </c>
      <c r="M314" s="328">
        <f t="shared" si="320"/>
        <v>0</v>
      </c>
      <c r="N314" s="328">
        <f t="shared" si="320"/>
        <v>0</v>
      </c>
      <c r="O314" s="328">
        <f t="shared" si="320"/>
        <v>0</v>
      </c>
      <c r="P314" s="328">
        <f t="shared" si="320"/>
        <v>3767165</v>
      </c>
      <c r="Q314" s="47"/>
      <c r="R314" s="46"/>
    </row>
    <row r="315" spans="1:18" ht="93" thickTop="1" thickBot="1" x14ac:dyDescent="0.25">
      <c r="A315" s="103" t="s">
        <v>417</v>
      </c>
      <c r="B315" s="103" t="s">
        <v>236</v>
      </c>
      <c r="C315" s="103" t="s">
        <v>234</v>
      </c>
      <c r="D315" s="103" t="s">
        <v>235</v>
      </c>
      <c r="E315" s="328">
        <f>F315</f>
        <v>3767165</v>
      </c>
      <c r="F315" s="477">
        <v>3767165</v>
      </c>
      <c r="G315" s="477">
        <v>2744545</v>
      </c>
      <c r="H315" s="477">
        <v>129800</v>
      </c>
      <c r="I315" s="477"/>
      <c r="J315" s="328">
        <f t="shared" ref="J315:J331" si="321">L315+O315</f>
        <v>0</v>
      </c>
      <c r="K315" s="477"/>
      <c r="L315" s="477"/>
      <c r="M315" s="477"/>
      <c r="N315" s="477"/>
      <c r="O315" s="474">
        <f>K315</f>
        <v>0</v>
      </c>
      <c r="P315" s="328">
        <f t="shared" ref="P315:P331" si="322">E315+J315</f>
        <v>3767165</v>
      </c>
      <c r="Q315" s="47"/>
      <c r="R315" s="50"/>
    </row>
    <row r="316" spans="1:18" ht="93" hidden="1" thickTop="1" thickBot="1" x14ac:dyDescent="0.25">
      <c r="A316" s="128" t="s">
        <v>631</v>
      </c>
      <c r="B316" s="128" t="s">
        <v>362</v>
      </c>
      <c r="C316" s="128" t="s">
        <v>626</v>
      </c>
      <c r="D316" s="128" t="s">
        <v>627</v>
      </c>
      <c r="E316" s="152">
        <f>F316</f>
        <v>0</v>
      </c>
      <c r="F316" s="129">
        <v>0</v>
      </c>
      <c r="G316" s="129"/>
      <c r="H316" s="129"/>
      <c r="I316" s="129"/>
      <c r="J316" s="127">
        <f t="shared" si="321"/>
        <v>0</v>
      </c>
      <c r="K316" s="129"/>
      <c r="L316" s="130"/>
      <c r="M316" s="130"/>
      <c r="N316" s="130"/>
      <c r="O316" s="132">
        <f t="shared" ref="O316" si="323">K316</f>
        <v>0</v>
      </c>
      <c r="P316" s="127">
        <f t="shared" ref="P316" si="324">+J316+E316</f>
        <v>0</v>
      </c>
      <c r="Q316" s="47"/>
      <c r="R316" s="50"/>
    </row>
    <row r="317" spans="1:18" ht="48" hidden="1" thickTop="1" thickBot="1" x14ac:dyDescent="0.25">
      <c r="A317" s="128" t="s">
        <v>930</v>
      </c>
      <c r="B317" s="128" t="s">
        <v>43</v>
      </c>
      <c r="C317" s="128" t="s">
        <v>42</v>
      </c>
      <c r="D317" s="128" t="s">
        <v>248</v>
      </c>
      <c r="E317" s="127">
        <f>F317</f>
        <v>0</v>
      </c>
      <c r="F317" s="134">
        <v>0</v>
      </c>
      <c r="G317" s="134"/>
      <c r="H317" s="134"/>
      <c r="I317" s="134"/>
      <c r="J317" s="127">
        <f t="shared" ref="J317" si="325">L317+O317</f>
        <v>0</v>
      </c>
      <c r="K317" s="129"/>
      <c r="L317" s="130"/>
      <c r="M317" s="130"/>
      <c r="N317" s="130"/>
      <c r="O317" s="132">
        <f t="shared" ref="O317" si="326">K317</f>
        <v>0</v>
      </c>
      <c r="P317" s="127">
        <f t="shared" ref="P317" si="327">+J317+E317</f>
        <v>0</v>
      </c>
      <c r="Q317" s="47"/>
      <c r="R317" s="50"/>
    </row>
    <row r="318" spans="1:18" ht="47.25" hidden="1" thickTop="1" thickBot="1" x14ac:dyDescent="0.25">
      <c r="A318" s="125" t="s">
        <v>1245</v>
      </c>
      <c r="B318" s="125" t="s">
        <v>712</v>
      </c>
      <c r="C318" s="125"/>
      <c r="D318" s="125" t="s">
        <v>713</v>
      </c>
      <c r="E318" s="127">
        <f t="shared" ref="E318:P318" si="328">SUM(E319:E319)</f>
        <v>0</v>
      </c>
      <c r="F318" s="127">
        <f t="shared" si="328"/>
        <v>0</v>
      </c>
      <c r="G318" s="127">
        <f t="shared" si="328"/>
        <v>0</v>
      </c>
      <c r="H318" s="127">
        <f t="shared" si="328"/>
        <v>0</v>
      </c>
      <c r="I318" s="127">
        <f t="shared" si="328"/>
        <v>0</v>
      </c>
      <c r="J318" s="127">
        <f t="shared" si="328"/>
        <v>0</v>
      </c>
      <c r="K318" s="127">
        <f t="shared" si="328"/>
        <v>0</v>
      </c>
      <c r="L318" s="127">
        <f t="shared" si="328"/>
        <v>0</v>
      </c>
      <c r="M318" s="127">
        <f t="shared" si="328"/>
        <v>0</v>
      </c>
      <c r="N318" s="127">
        <f t="shared" si="328"/>
        <v>0</v>
      </c>
      <c r="O318" s="127">
        <f t="shared" si="328"/>
        <v>0</v>
      </c>
      <c r="P318" s="127">
        <f t="shared" si="328"/>
        <v>0</v>
      </c>
      <c r="Q318" s="47"/>
      <c r="R318" s="50"/>
    </row>
    <row r="319" spans="1:18" ht="93" hidden="1" thickTop="1" thickBot="1" x14ac:dyDescent="0.25">
      <c r="A319" s="128" t="s">
        <v>1246</v>
      </c>
      <c r="B319" s="128" t="s">
        <v>1210</v>
      </c>
      <c r="C319" s="128" t="s">
        <v>206</v>
      </c>
      <c r="D319" s="414" t="s">
        <v>1211</v>
      </c>
      <c r="E319" s="127">
        <f t="shared" ref="E319" si="329">F319</f>
        <v>0</v>
      </c>
      <c r="F319" s="134">
        <v>0</v>
      </c>
      <c r="G319" s="134"/>
      <c r="H319" s="134"/>
      <c r="I319" s="134"/>
      <c r="J319" s="127">
        <f>L319+O319</f>
        <v>0</v>
      </c>
      <c r="K319" s="134">
        <v>0</v>
      </c>
      <c r="L319" s="134"/>
      <c r="M319" s="134"/>
      <c r="N319" s="134"/>
      <c r="O319" s="132">
        <f>K319</f>
        <v>0</v>
      </c>
      <c r="P319" s="127">
        <f>E319+J319</f>
        <v>0</v>
      </c>
      <c r="Q319" s="47"/>
      <c r="R319" s="50"/>
    </row>
    <row r="320" spans="1:18" ht="47.25" hidden="1" thickTop="1" thickBot="1" x14ac:dyDescent="0.25">
      <c r="A320" s="125" t="s">
        <v>816</v>
      </c>
      <c r="B320" s="125" t="s">
        <v>772</v>
      </c>
      <c r="C320" s="128"/>
      <c r="D320" s="125" t="s">
        <v>773</v>
      </c>
      <c r="E320" s="152">
        <f>E321</f>
        <v>0</v>
      </c>
      <c r="F320" s="152">
        <f t="shared" ref="F320:P321" si="330">F321</f>
        <v>0</v>
      </c>
      <c r="G320" s="152">
        <f t="shared" si="330"/>
        <v>0</v>
      </c>
      <c r="H320" s="152">
        <f t="shared" si="330"/>
        <v>0</v>
      </c>
      <c r="I320" s="152">
        <f t="shared" si="330"/>
        <v>0</v>
      </c>
      <c r="J320" s="152">
        <f t="shared" si="330"/>
        <v>0</v>
      </c>
      <c r="K320" s="152">
        <f t="shared" si="330"/>
        <v>0</v>
      </c>
      <c r="L320" s="152">
        <f t="shared" si="330"/>
        <v>0</v>
      </c>
      <c r="M320" s="152">
        <f t="shared" si="330"/>
        <v>0</v>
      </c>
      <c r="N320" s="152">
        <f t="shared" si="330"/>
        <v>0</v>
      </c>
      <c r="O320" s="152">
        <f t="shared" si="330"/>
        <v>0</v>
      </c>
      <c r="P320" s="152">
        <f t="shared" si="330"/>
        <v>0</v>
      </c>
      <c r="Q320" s="47"/>
      <c r="R320" s="50"/>
    </row>
    <row r="321" spans="1:18" ht="48" hidden="1" thickTop="1" thickBot="1" x14ac:dyDescent="0.25">
      <c r="A321" s="140" t="s">
        <v>817</v>
      </c>
      <c r="B321" s="140" t="s">
        <v>818</v>
      </c>
      <c r="C321" s="140"/>
      <c r="D321" s="140" t="s">
        <v>819</v>
      </c>
      <c r="E321" s="158">
        <f>E322</f>
        <v>0</v>
      </c>
      <c r="F321" s="158">
        <f t="shared" si="330"/>
        <v>0</v>
      </c>
      <c r="G321" s="158">
        <f t="shared" si="330"/>
        <v>0</v>
      </c>
      <c r="H321" s="158">
        <f t="shared" si="330"/>
        <v>0</v>
      </c>
      <c r="I321" s="158">
        <f t="shared" si="330"/>
        <v>0</v>
      </c>
      <c r="J321" s="158">
        <f t="shared" si="330"/>
        <v>0</v>
      </c>
      <c r="K321" s="158">
        <f t="shared" si="330"/>
        <v>0</v>
      </c>
      <c r="L321" s="158">
        <f t="shared" si="330"/>
        <v>0</v>
      </c>
      <c r="M321" s="158">
        <f t="shared" si="330"/>
        <v>0</v>
      </c>
      <c r="N321" s="158">
        <f t="shared" si="330"/>
        <v>0</v>
      </c>
      <c r="O321" s="158">
        <f t="shared" si="330"/>
        <v>0</v>
      </c>
      <c r="P321" s="158">
        <f t="shared" si="330"/>
        <v>0</v>
      </c>
      <c r="Q321" s="47"/>
      <c r="R321" s="50"/>
    </row>
    <row r="322" spans="1:18" ht="283.5" hidden="1" customHeight="1" thickTop="1" thickBot="1" x14ac:dyDescent="0.25">
      <c r="A322" s="128" t="s">
        <v>433</v>
      </c>
      <c r="B322" s="128" t="s">
        <v>434</v>
      </c>
      <c r="C322" s="128" t="s">
        <v>195</v>
      </c>
      <c r="D322" s="128" t="s">
        <v>1187</v>
      </c>
      <c r="E322" s="127">
        <f t="shared" ref="E322:E329" si="331">F322</f>
        <v>0</v>
      </c>
      <c r="F322" s="134"/>
      <c r="G322" s="134"/>
      <c r="H322" s="134"/>
      <c r="I322" s="134"/>
      <c r="J322" s="127">
        <f t="shared" si="321"/>
        <v>0</v>
      </c>
      <c r="K322" s="134">
        <v>0</v>
      </c>
      <c r="L322" s="134"/>
      <c r="M322" s="134"/>
      <c r="N322" s="134"/>
      <c r="O322" s="132">
        <f t="shared" ref="O322" si="332">K322</f>
        <v>0</v>
      </c>
      <c r="P322" s="127">
        <f t="shared" si="322"/>
        <v>0</v>
      </c>
      <c r="Q322" s="47"/>
      <c r="R322" s="46"/>
    </row>
    <row r="323" spans="1:18" ht="47.25" thickTop="1" thickBot="1" x14ac:dyDescent="0.25">
      <c r="A323" s="311" t="s">
        <v>820</v>
      </c>
      <c r="B323" s="311" t="s">
        <v>749</v>
      </c>
      <c r="C323" s="103"/>
      <c r="D323" s="311" t="s">
        <v>796</v>
      </c>
      <c r="E323" s="328">
        <f>E324+E332</f>
        <v>0</v>
      </c>
      <c r="F323" s="328">
        <f t="shared" ref="F323:I323" si="333">F324+F332</f>
        <v>0</v>
      </c>
      <c r="G323" s="328">
        <f t="shared" si="333"/>
        <v>0</v>
      </c>
      <c r="H323" s="328">
        <f t="shared" si="333"/>
        <v>0</v>
      </c>
      <c r="I323" s="328">
        <f t="shared" si="333"/>
        <v>0</v>
      </c>
      <c r="J323" s="328">
        <f t="shared" ref="J323" si="334">J324+J332</f>
        <v>16000000</v>
      </c>
      <c r="K323" s="328">
        <f t="shared" ref="K323" si="335">K324+K332</f>
        <v>16000000</v>
      </c>
      <c r="L323" s="328">
        <f t="shared" ref="L323" si="336">L324+L332</f>
        <v>0</v>
      </c>
      <c r="M323" s="328">
        <f t="shared" ref="M323" si="337">M324+M332</f>
        <v>0</v>
      </c>
      <c r="N323" s="328">
        <f t="shared" ref="N323" si="338">N324+N332</f>
        <v>0</v>
      </c>
      <c r="O323" s="328">
        <f t="shared" ref="O323" si="339">O324+O332</f>
        <v>16000000</v>
      </c>
      <c r="P323" s="328">
        <f t="shared" ref="P323" si="340">P324+P332</f>
        <v>16000000</v>
      </c>
      <c r="Q323" s="45"/>
      <c r="R323" s="46"/>
    </row>
    <row r="324" spans="1:18" ht="47.25" thickTop="1" thickBot="1" x14ac:dyDescent="0.25">
      <c r="A324" s="313" t="s">
        <v>821</v>
      </c>
      <c r="B324" s="313" t="s">
        <v>805</v>
      </c>
      <c r="C324" s="313"/>
      <c r="D324" s="313" t="s">
        <v>806</v>
      </c>
      <c r="E324" s="315">
        <f t="shared" ref="E324:P324" si="341">SUM(E325:E331)-E326</f>
        <v>0</v>
      </c>
      <c r="F324" s="315">
        <f t="shared" si="341"/>
        <v>0</v>
      </c>
      <c r="G324" s="315">
        <f t="shared" si="341"/>
        <v>0</v>
      </c>
      <c r="H324" s="315">
        <f t="shared" si="341"/>
        <v>0</v>
      </c>
      <c r="I324" s="315">
        <f t="shared" si="341"/>
        <v>0</v>
      </c>
      <c r="J324" s="315">
        <f t="shared" si="341"/>
        <v>16000000</v>
      </c>
      <c r="K324" s="315">
        <f t="shared" si="341"/>
        <v>16000000</v>
      </c>
      <c r="L324" s="315">
        <f t="shared" si="341"/>
        <v>0</v>
      </c>
      <c r="M324" s="315">
        <f t="shared" si="341"/>
        <v>0</v>
      </c>
      <c r="N324" s="315">
        <f t="shared" si="341"/>
        <v>0</v>
      </c>
      <c r="O324" s="315">
        <f t="shared" si="341"/>
        <v>16000000</v>
      </c>
      <c r="P324" s="315">
        <f t="shared" si="341"/>
        <v>16000000</v>
      </c>
      <c r="Q324" s="45"/>
      <c r="R324" s="46"/>
    </row>
    <row r="325" spans="1:18" ht="54" hidden="1" thickTop="1" thickBot="1" x14ac:dyDescent="0.25">
      <c r="A325" s="103" t="s">
        <v>929</v>
      </c>
      <c r="B325" s="103" t="s">
        <v>305</v>
      </c>
      <c r="C325" s="103" t="s">
        <v>304</v>
      </c>
      <c r="D325" s="103" t="s">
        <v>1541</v>
      </c>
      <c r="E325" s="328">
        <f t="shared" ref="E325" si="342">F325</f>
        <v>0</v>
      </c>
      <c r="F325" s="477"/>
      <c r="G325" s="477"/>
      <c r="H325" s="477"/>
      <c r="I325" s="477"/>
      <c r="J325" s="328">
        <f t="shared" ref="J325" si="343">L325+O325</f>
        <v>0</v>
      </c>
      <c r="K325" s="477">
        <v>0</v>
      </c>
      <c r="L325" s="477"/>
      <c r="M325" s="477"/>
      <c r="N325" s="477"/>
      <c r="O325" s="474">
        <f>K325</f>
        <v>0</v>
      </c>
      <c r="P325" s="328">
        <f t="shared" ref="P325" si="344">E325+J325</f>
        <v>0</v>
      </c>
      <c r="Q325" s="45"/>
      <c r="R325" s="46"/>
    </row>
    <row r="326" spans="1:18" ht="54.75" thickTop="1" thickBot="1" x14ac:dyDescent="0.25">
      <c r="A326" s="329" t="s">
        <v>822</v>
      </c>
      <c r="B326" s="329" t="s">
        <v>823</v>
      </c>
      <c r="C326" s="329"/>
      <c r="D326" s="329" t="s">
        <v>1551</v>
      </c>
      <c r="E326" s="325">
        <f>SUM(E327:E328)</f>
        <v>0</v>
      </c>
      <c r="F326" s="325">
        <f t="shared" ref="F326:P326" si="345">SUM(F327:F328)</f>
        <v>0</v>
      </c>
      <c r="G326" s="325">
        <f t="shared" si="345"/>
        <v>0</v>
      </c>
      <c r="H326" s="325">
        <f t="shared" si="345"/>
        <v>0</v>
      </c>
      <c r="I326" s="325">
        <f t="shared" si="345"/>
        <v>0</v>
      </c>
      <c r="J326" s="325">
        <f t="shared" si="345"/>
        <v>13000000</v>
      </c>
      <c r="K326" s="325">
        <f t="shared" si="345"/>
        <v>13000000</v>
      </c>
      <c r="L326" s="325">
        <f t="shared" si="345"/>
        <v>0</v>
      </c>
      <c r="M326" s="325">
        <f t="shared" si="345"/>
        <v>0</v>
      </c>
      <c r="N326" s="325">
        <f t="shared" si="345"/>
        <v>0</v>
      </c>
      <c r="O326" s="325">
        <f t="shared" si="345"/>
        <v>13000000</v>
      </c>
      <c r="P326" s="325">
        <f t="shared" si="345"/>
        <v>13000000</v>
      </c>
      <c r="Q326" s="45"/>
      <c r="R326" s="46"/>
    </row>
    <row r="327" spans="1:18" ht="54" thickTop="1" thickBot="1" x14ac:dyDescent="0.25">
      <c r="A327" s="103" t="s">
        <v>310</v>
      </c>
      <c r="B327" s="103" t="s">
        <v>311</v>
      </c>
      <c r="C327" s="103" t="s">
        <v>304</v>
      </c>
      <c r="D327" s="103" t="s">
        <v>1543</v>
      </c>
      <c r="E327" s="328">
        <f t="shared" si="331"/>
        <v>0</v>
      </c>
      <c r="F327" s="477"/>
      <c r="G327" s="477"/>
      <c r="H327" s="477"/>
      <c r="I327" s="477"/>
      <c r="J327" s="328">
        <f t="shared" si="321"/>
        <v>13000000</v>
      </c>
      <c r="K327" s="477">
        <v>13000000</v>
      </c>
      <c r="L327" s="477"/>
      <c r="M327" s="477"/>
      <c r="N327" s="477"/>
      <c r="O327" s="474">
        <f>K327</f>
        <v>13000000</v>
      </c>
      <c r="P327" s="328">
        <f t="shared" si="322"/>
        <v>13000000</v>
      </c>
      <c r="Q327" s="499"/>
      <c r="R327" s="46"/>
    </row>
    <row r="328" spans="1:18" ht="54" hidden="1" thickTop="1" thickBot="1" x14ac:dyDescent="0.25">
      <c r="A328" s="103" t="s">
        <v>516</v>
      </c>
      <c r="B328" s="103" t="s">
        <v>517</v>
      </c>
      <c r="C328" s="103" t="s">
        <v>304</v>
      </c>
      <c r="D328" s="103" t="s">
        <v>1552</v>
      </c>
      <c r="E328" s="328">
        <f t="shared" si="331"/>
        <v>0</v>
      </c>
      <c r="F328" s="477"/>
      <c r="G328" s="477"/>
      <c r="H328" s="477"/>
      <c r="I328" s="477"/>
      <c r="J328" s="328">
        <f t="shared" si="321"/>
        <v>0</v>
      </c>
      <c r="K328" s="477">
        <v>0</v>
      </c>
      <c r="L328" s="477"/>
      <c r="M328" s="477"/>
      <c r="N328" s="477"/>
      <c r="O328" s="474">
        <f>K328</f>
        <v>0</v>
      </c>
      <c r="P328" s="328">
        <f t="shared" si="322"/>
        <v>0</v>
      </c>
      <c r="Q328" s="126"/>
      <c r="R328" s="46"/>
    </row>
    <row r="329" spans="1:18" ht="54" hidden="1" thickTop="1" thickBot="1" x14ac:dyDescent="0.25">
      <c r="A329" s="103" t="s">
        <v>312</v>
      </c>
      <c r="B329" s="103" t="s">
        <v>313</v>
      </c>
      <c r="C329" s="103" t="s">
        <v>304</v>
      </c>
      <c r="D329" s="103" t="s">
        <v>1553</v>
      </c>
      <c r="E329" s="328">
        <f t="shared" si="331"/>
        <v>0</v>
      </c>
      <c r="F329" s="477"/>
      <c r="G329" s="477"/>
      <c r="H329" s="477"/>
      <c r="I329" s="477"/>
      <c r="J329" s="328">
        <f t="shared" si="321"/>
        <v>0</v>
      </c>
      <c r="K329" s="477"/>
      <c r="L329" s="477"/>
      <c r="M329" s="477"/>
      <c r="N329" s="477"/>
      <c r="O329" s="474">
        <f>K329</f>
        <v>0</v>
      </c>
      <c r="P329" s="328">
        <f t="shared" si="322"/>
        <v>0</v>
      </c>
      <c r="Q329" s="126"/>
    </row>
    <row r="330" spans="1:18" ht="54" thickTop="1" thickBot="1" x14ac:dyDescent="0.3">
      <c r="A330" s="103" t="s">
        <v>314</v>
      </c>
      <c r="B330" s="103" t="s">
        <v>315</v>
      </c>
      <c r="C330" s="103" t="s">
        <v>304</v>
      </c>
      <c r="D330" s="103" t="s">
        <v>1548</v>
      </c>
      <c r="E330" s="328">
        <f>F330</f>
        <v>0</v>
      </c>
      <c r="F330" s="477"/>
      <c r="G330" s="477"/>
      <c r="H330" s="477"/>
      <c r="I330" s="477"/>
      <c r="J330" s="328">
        <f t="shared" si="321"/>
        <v>3000000</v>
      </c>
      <c r="K330" s="477">
        <v>3000000</v>
      </c>
      <c r="L330" s="477"/>
      <c r="M330" s="477"/>
      <c r="N330" s="477"/>
      <c r="O330" s="474">
        <f>K330</f>
        <v>3000000</v>
      </c>
      <c r="P330" s="328">
        <f t="shared" si="322"/>
        <v>3000000</v>
      </c>
      <c r="Q330" s="162"/>
      <c r="R330" s="46"/>
    </row>
    <row r="331" spans="1:18" ht="48" hidden="1" thickTop="1" thickBot="1" x14ac:dyDescent="0.25">
      <c r="A331" s="41" t="s">
        <v>437</v>
      </c>
      <c r="B331" s="41" t="s">
        <v>350</v>
      </c>
      <c r="C331" s="41" t="s">
        <v>170</v>
      </c>
      <c r="D331" s="41" t="s">
        <v>262</v>
      </c>
      <c r="E331" s="42">
        <f>F331</f>
        <v>0</v>
      </c>
      <c r="F331" s="43"/>
      <c r="G331" s="43"/>
      <c r="H331" s="43"/>
      <c r="I331" s="43"/>
      <c r="J331" s="42">
        <f t="shared" si="321"/>
        <v>0</v>
      </c>
      <c r="K331" s="43">
        <v>0</v>
      </c>
      <c r="L331" s="43"/>
      <c r="M331" s="43"/>
      <c r="N331" s="43"/>
      <c r="O331" s="44">
        <f>K331</f>
        <v>0</v>
      </c>
      <c r="P331" s="42">
        <f t="shared" si="322"/>
        <v>0</v>
      </c>
      <c r="Q331" s="20"/>
      <c r="R331" s="46"/>
    </row>
    <row r="332" spans="1:18" ht="47.25" hidden="1" thickTop="1" thickBot="1" x14ac:dyDescent="0.25">
      <c r="A332" s="136" t="s">
        <v>994</v>
      </c>
      <c r="B332" s="136" t="s">
        <v>692</v>
      </c>
      <c r="C332" s="136"/>
      <c r="D332" s="136" t="s">
        <v>690</v>
      </c>
      <c r="E332" s="159">
        <f>E333</f>
        <v>0</v>
      </c>
      <c r="F332" s="159">
        <f>F333</f>
        <v>0</v>
      </c>
      <c r="G332" s="159">
        <f>G333</f>
        <v>0</v>
      </c>
      <c r="H332" s="159">
        <f>H333</f>
        <v>0</v>
      </c>
      <c r="I332" s="159">
        <f>I333</f>
        <v>0</v>
      </c>
      <c r="J332" s="159">
        <f t="shared" ref="J332:O332" si="346">J333</f>
        <v>0</v>
      </c>
      <c r="K332" s="159">
        <f t="shared" si="346"/>
        <v>0</v>
      </c>
      <c r="L332" s="159">
        <f t="shared" si="346"/>
        <v>0</v>
      </c>
      <c r="M332" s="159">
        <f t="shared" si="346"/>
        <v>0</v>
      </c>
      <c r="N332" s="159">
        <f t="shared" si="346"/>
        <v>0</v>
      </c>
      <c r="O332" s="159">
        <f t="shared" si="346"/>
        <v>0</v>
      </c>
      <c r="P332" s="159">
        <f>P333</f>
        <v>0</v>
      </c>
      <c r="Q332" s="20"/>
      <c r="R332" s="46"/>
    </row>
    <row r="333" spans="1:18" ht="48" hidden="1" thickTop="1" thickBot="1" x14ac:dyDescent="0.25">
      <c r="A333" s="140" t="s">
        <v>995</v>
      </c>
      <c r="B333" s="140" t="s">
        <v>695</v>
      </c>
      <c r="C333" s="140"/>
      <c r="D333" s="140" t="s">
        <v>799</v>
      </c>
      <c r="E333" s="158">
        <f>E334+E336</f>
        <v>0</v>
      </c>
      <c r="F333" s="158">
        <f t="shared" ref="F333:P333" si="347">F334+F336</f>
        <v>0</v>
      </c>
      <c r="G333" s="158">
        <f t="shared" si="347"/>
        <v>0</v>
      </c>
      <c r="H333" s="158">
        <f t="shared" si="347"/>
        <v>0</v>
      </c>
      <c r="I333" s="158">
        <f t="shared" si="347"/>
        <v>0</v>
      </c>
      <c r="J333" s="158">
        <f t="shared" si="347"/>
        <v>0</v>
      </c>
      <c r="K333" s="158">
        <f t="shared" si="347"/>
        <v>0</v>
      </c>
      <c r="L333" s="158">
        <f t="shared" si="347"/>
        <v>0</v>
      </c>
      <c r="M333" s="158">
        <f t="shared" si="347"/>
        <v>0</v>
      </c>
      <c r="N333" s="158">
        <f t="shared" si="347"/>
        <v>0</v>
      </c>
      <c r="O333" s="158">
        <f t="shared" si="347"/>
        <v>0</v>
      </c>
      <c r="P333" s="158">
        <f t="shared" si="347"/>
        <v>0</v>
      </c>
      <c r="Q333" s="20"/>
      <c r="R333" s="46"/>
    </row>
    <row r="334" spans="1:18" ht="184.5" hidden="1" thickTop="1" thickBot="1" x14ac:dyDescent="0.7">
      <c r="A334" s="771" t="s">
        <v>996</v>
      </c>
      <c r="B334" s="771" t="s">
        <v>338</v>
      </c>
      <c r="C334" s="771" t="s">
        <v>170</v>
      </c>
      <c r="D334" s="163" t="s">
        <v>440</v>
      </c>
      <c r="E334" s="772">
        <f t="shared" ref="E334" si="348">F334</f>
        <v>0</v>
      </c>
      <c r="F334" s="766"/>
      <c r="G334" s="766"/>
      <c r="H334" s="766"/>
      <c r="I334" s="766"/>
      <c r="J334" s="772">
        <f t="shared" ref="J334" si="349">L334+O334</f>
        <v>0</v>
      </c>
      <c r="K334" s="766"/>
      <c r="L334" s="766"/>
      <c r="M334" s="766"/>
      <c r="N334" s="766"/>
      <c r="O334" s="767">
        <f>K334</f>
        <v>0</v>
      </c>
      <c r="P334" s="769">
        <f>E334+J334</f>
        <v>0</v>
      </c>
      <c r="Q334" s="20"/>
      <c r="R334" s="46"/>
    </row>
    <row r="335" spans="1:18" ht="93" hidden="1" thickTop="1" thickBot="1" x14ac:dyDescent="0.25">
      <c r="A335" s="771"/>
      <c r="B335" s="771"/>
      <c r="C335" s="771"/>
      <c r="D335" s="164" t="s">
        <v>441</v>
      </c>
      <c r="E335" s="772"/>
      <c r="F335" s="766"/>
      <c r="G335" s="766"/>
      <c r="H335" s="766"/>
      <c r="I335" s="766"/>
      <c r="J335" s="772"/>
      <c r="K335" s="766"/>
      <c r="L335" s="766"/>
      <c r="M335" s="766"/>
      <c r="N335" s="766"/>
      <c r="O335" s="767"/>
      <c r="P335" s="769"/>
      <c r="Q335" s="20"/>
      <c r="R335" s="46"/>
    </row>
    <row r="336" spans="1:18" ht="48" hidden="1" thickTop="1" thickBot="1" x14ac:dyDescent="0.25">
      <c r="A336" s="128" t="s">
        <v>1203</v>
      </c>
      <c r="B336" s="128" t="s">
        <v>257</v>
      </c>
      <c r="C336" s="128" t="s">
        <v>170</v>
      </c>
      <c r="D336" s="156" t="s">
        <v>255</v>
      </c>
      <c r="E336" s="127">
        <f>F336</f>
        <v>0</v>
      </c>
      <c r="F336" s="134"/>
      <c r="G336" s="134"/>
      <c r="H336" s="134"/>
      <c r="I336" s="134"/>
      <c r="J336" s="127">
        <f t="shared" ref="J336" si="350">L336+O336</f>
        <v>0</v>
      </c>
      <c r="K336" s="134"/>
      <c r="L336" s="134"/>
      <c r="M336" s="134"/>
      <c r="N336" s="134"/>
      <c r="O336" s="132">
        <f>K336</f>
        <v>0</v>
      </c>
      <c r="P336" s="127">
        <f t="shared" ref="P336" si="351">E336+J336</f>
        <v>0</v>
      </c>
      <c r="Q336" s="20"/>
      <c r="R336" s="46"/>
    </row>
    <row r="337" spans="1:18" ht="91.5" thickTop="1" thickBot="1" x14ac:dyDescent="0.25">
      <c r="A337" s="508" t="s">
        <v>160</v>
      </c>
      <c r="B337" s="508"/>
      <c r="C337" s="508"/>
      <c r="D337" s="509" t="s">
        <v>895</v>
      </c>
      <c r="E337" s="535">
        <f>E338</f>
        <v>8209936</v>
      </c>
      <c r="F337" s="510">
        <f t="shared" ref="F337:G337" si="352">F338</f>
        <v>8209936</v>
      </c>
      <c r="G337" s="510">
        <f t="shared" si="352"/>
        <v>6132550</v>
      </c>
      <c r="H337" s="510">
        <f>H338</f>
        <v>245635</v>
      </c>
      <c r="I337" s="510">
        <f t="shared" ref="I337" si="353">I338</f>
        <v>0</v>
      </c>
      <c r="J337" s="535">
        <f>J338</f>
        <v>0</v>
      </c>
      <c r="K337" s="510">
        <f>K338</f>
        <v>0</v>
      </c>
      <c r="L337" s="510">
        <f>L338</f>
        <v>0</v>
      </c>
      <c r="M337" s="510">
        <f t="shared" ref="M337" si="354">M338</f>
        <v>0</v>
      </c>
      <c r="N337" s="510">
        <f>N338</f>
        <v>0</v>
      </c>
      <c r="O337" s="535">
        <f>O338</f>
        <v>0</v>
      </c>
      <c r="P337" s="510">
        <f t="shared" ref="P337" si="355">P338</f>
        <v>8209936</v>
      </c>
      <c r="Q337" s="20"/>
    </row>
    <row r="338" spans="1:18" ht="91.5" thickTop="1" thickBot="1" x14ac:dyDescent="0.25">
      <c r="A338" s="511" t="s">
        <v>161</v>
      </c>
      <c r="B338" s="511"/>
      <c r="C338" s="511"/>
      <c r="D338" s="512" t="s">
        <v>896</v>
      </c>
      <c r="E338" s="513">
        <f>E339+E343</f>
        <v>8209936</v>
      </c>
      <c r="F338" s="513">
        <f>F339+F343</f>
        <v>8209936</v>
      </c>
      <c r="G338" s="513">
        <f>G339+G343</f>
        <v>6132550</v>
      </c>
      <c r="H338" s="513">
        <f>H339+H343</f>
        <v>245635</v>
      </c>
      <c r="I338" s="513">
        <f>I339+I343</f>
        <v>0</v>
      </c>
      <c r="J338" s="513">
        <f>L338+O338</f>
        <v>0</v>
      </c>
      <c r="K338" s="513">
        <f>K339+K343</f>
        <v>0</v>
      </c>
      <c r="L338" s="513">
        <f>L339+L343</f>
        <v>0</v>
      </c>
      <c r="M338" s="513">
        <f>M339+M343</f>
        <v>0</v>
      </c>
      <c r="N338" s="513">
        <f>N339+N343</f>
        <v>0</v>
      </c>
      <c r="O338" s="513">
        <f>O339+O343</f>
        <v>0</v>
      </c>
      <c r="P338" s="513">
        <f>E338+J338</f>
        <v>8209936</v>
      </c>
      <c r="Q338" s="536" t="b">
        <f>P338=P340</f>
        <v>1</v>
      </c>
      <c r="R338" s="46"/>
    </row>
    <row r="339" spans="1:18" ht="47.25" thickTop="1" thickBot="1" x14ac:dyDescent="0.25">
      <c r="A339" s="311" t="s">
        <v>824</v>
      </c>
      <c r="B339" s="311" t="s">
        <v>685</v>
      </c>
      <c r="C339" s="311"/>
      <c r="D339" s="311" t="s">
        <v>686</v>
      </c>
      <c r="E339" s="328">
        <f>SUM(E340:E342)</f>
        <v>8209936</v>
      </c>
      <c r="F339" s="328">
        <f t="shared" ref="F339:N339" si="356">SUM(F340:F342)</f>
        <v>8209936</v>
      </c>
      <c r="G339" s="328">
        <f t="shared" si="356"/>
        <v>6132550</v>
      </c>
      <c r="H339" s="328">
        <f t="shared" si="356"/>
        <v>245635</v>
      </c>
      <c r="I339" s="328">
        <f t="shared" si="356"/>
        <v>0</v>
      </c>
      <c r="J339" s="328">
        <f t="shared" si="356"/>
        <v>0</v>
      </c>
      <c r="K339" s="328">
        <f t="shared" si="356"/>
        <v>0</v>
      </c>
      <c r="L339" s="328">
        <f t="shared" si="356"/>
        <v>0</v>
      </c>
      <c r="M339" s="328">
        <f t="shared" si="356"/>
        <v>0</v>
      </c>
      <c r="N339" s="328">
        <f t="shared" si="356"/>
        <v>0</v>
      </c>
      <c r="O339" s="328">
        <f>SUM(O340:O342)</f>
        <v>0</v>
      </c>
      <c r="P339" s="328">
        <f>SUM(P340:P342)</f>
        <v>8209936</v>
      </c>
      <c r="Q339" s="47"/>
      <c r="R339" s="46"/>
    </row>
    <row r="340" spans="1:18" ht="93" thickTop="1" thickBot="1" x14ac:dyDescent="0.25">
      <c r="A340" s="103" t="s">
        <v>419</v>
      </c>
      <c r="B340" s="103" t="s">
        <v>236</v>
      </c>
      <c r="C340" s="103" t="s">
        <v>234</v>
      </c>
      <c r="D340" s="103" t="s">
        <v>235</v>
      </c>
      <c r="E340" s="328">
        <f>F340</f>
        <v>8209936</v>
      </c>
      <c r="F340" s="477">
        <v>8209936</v>
      </c>
      <c r="G340" s="477">
        <v>6132550</v>
      </c>
      <c r="H340" s="477">
        <v>245635</v>
      </c>
      <c r="I340" s="477"/>
      <c r="J340" s="328">
        <f>L340+O340</f>
        <v>0</v>
      </c>
      <c r="K340" s="477">
        <v>0</v>
      </c>
      <c r="L340" s="477"/>
      <c r="M340" s="477"/>
      <c r="N340" s="477"/>
      <c r="O340" s="474">
        <f>K340</f>
        <v>0</v>
      </c>
      <c r="P340" s="328">
        <f>E340+J340</f>
        <v>8209936</v>
      </c>
      <c r="Q340" s="47"/>
      <c r="R340" s="46"/>
    </row>
    <row r="341" spans="1:18" ht="93" hidden="1" thickTop="1" thickBot="1" x14ac:dyDescent="0.25">
      <c r="A341" s="128" t="s">
        <v>632</v>
      </c>
      <c r="B341" s="128" t="s">
        <v>362</v>
      </c>
      <c r="C341" s="128" t="s">
        <v>626</v>
      </c>
      <c r="D341" s="128" t="s">
        <v>627</v>
      </c>
      <c r="E341" s="152">
        <f>F341</f>
        <v>0</v>
      </c>
      <c r="F341" s="129">
        <v>0</v>
      </c>
      <c r="G341" s="129"/>
      <c r="H341" s="129"/>
      <c r="I341" s="129"/>
      <c r="J341" s="127">
        <f t="shared" ref="J341:J342" si="357">L341+O341</f>
        <v>0</v>
      </c>
      <c r="K341" s="129"/>
      <c r="L341" s="130"/>
      <c r="M341" s="130"/>
      <c r="N341" s="130"/>
      <c r="O341" s="132">
        <f t="shared" ref="O341:O342" si="358">K341</f>
        <v>0</v>
      </c>
      <c r="P341" s="127">
        <f t="shared" ref="P341" si="359">+J341+E341</f>
        <v>0</v>
      </c>
      <c r="Q341" s="47"/>
      <c r="R341" s="46"/>
    </row>
    <row r="342" spans="1:18" ht="48" hidden="1" thickTop="1" thickBot="1" x14ac:dyDescent="0.25">
      <c r="A342" s="128" t="s">
        <v>1272</v>
      </c>
      <c r="B342" s="128" t="s">
        <v>43</v>
      </c>
      <c r="C342" s="128" t="s">
        <v>42</v>
      </c>
      <c r="D342" s="128" t="s">
        <v>248</v>
      </c>
      <c r="E342" s="127">
        <f t="shared" ref="E342" si="360">F342</f>
        <v>0</v>
      </c>
      <c r="F342" s="134">
        <v>0</v>
      </c>
      <c r="G342" s="134"/>
      <c r="H342" s="134"/>
      <c r="I342" s="134"/>
      <c r="J342" s="127">
        <f t="shared" si="357"/>
        <v>0</v>
      </c>
      <c r="K342" s="134"/>
      <c r="L342" s="134"/>
      <c r="M342" s="134"/>
      <c r="N342" s="134"/>
      <c r="O342" s="132">
        <f t="shared" si="358"/>
        <v>0</v>
      </c>
      <c r="P342" s="127">
        <f>E342+J342</f>
        <v>0</v>
      </c>
      <c r="Q342" s="47"/>
      <c r="R342" s="46"/>
    </row>
    <row r="343" spans="1:18" ht="47.25" hidden="1" thickTop="1" thickBot="1" x14ac:dyDescent="0.25">
      <c r="A343" s="125" t="s">
        <v>911</v>
      </c>
      <c r="B343" s="125" t="s">
        <v>749</v>
      </c>
      <c r="C343" s="128"/>
      <c r="D343" s="125" t="s">
        <v>796</v>
      </c>
      <c r="E343" s="127">
        <f>E344</f>
        <v>0</v>
      </c>
      <c r="F343" s="127">
        <f t="shared" ref="F343:P344" si="361">F344</f>
        <v>0</v>
      </c>
      <c r="G343" s="127">
        <f t="shared" si="361"/>
        <v>0</v>
      </c>
      <c r="H343" s="127">
        <f t="shared" si="361"/>
        <v>0</v>
      </c>
      <c r="I343" s="127">
        <f t="shared" si="361"/>
        <v>0</v>
      </c>
      <c r="J343" s="127">
        <f t="shared" si="361"/>
        <v>0</v>
      </c>
      <c r="K343" s="127">
        <f t="shared" si="361"/>
        <v>0</v>
      </c>
      <c r="L343" s="127">
        <f t="shared" si="361"/>
        <v>0</v>
      </c>
      <c r="M343" s="127">
        <f t="shared" si="361"/>
        <v>0</v>
      </c>
      <c r="N343" s="127">
        <f t="shared" si="361"/>
        <v>0</v>
      </c>
      <c r="O343" s="127">
        <f t="shared" si="361"/>
        <v>0</v>
      </c>
      <c r="P343" s="127">
        <f t="shared" si="361"/>
        <v>0</v>
      </c>
      <c r="Q343" s="47"/>
      <c r="R343" s="46"/>
    </row>
    <row r="344" spans="1:18" ht="47.25" hidden="1" thickTop="1" thickBot="1" x14ac:dyDescent="0.25">
      <c r="A344" s="136" t="s">
        <v>912</v>
      </c>
      <c r="B344" s="136" t="s">
        <v>805</v>
      </c>
      <c r="C344" s="136"/>
      <c r="D344" s="136" t="s">
        <v>806</v>
      </c>
      <c r="E344" s="137">
        <f>E345</f>
        <v>0</v>
      </c>
      <c r="F344" s="137">
        <f t="shared" si="361"/>
        <v>0</v>
      </c>
      <c r="G344" s="137">
        <f t="shared" si="361"/>
        <v>0</v>
      </c>
      <c r="H344" s="137">
        <f t="shared" si="361"/>
        <v>0</v>
      </c>
      <c r="I344" s="137">
        <f t="shared" si="361"/>
        <v>0</v>
      </c>
      <c r="J344" s="137">
        <f t="shared" si="361"/>
        <v>0</v>
      </c>
      <c r="K344" s="137">
        <f t="shared" si="361"/>
        <v>0</v>
      </c>
      <c r="L344" s="137">
        <f t="shared" si="361"/>
        <v>0</v>
      </c>
      <c r="M344" s="137">
        <f t="shared" si="361"/>
        <v>0</v>
      </c>
      <c r="N344" s="137">
        <f t="shared" si="361"/>
        <v>0</v>
      </c>
      <c r="O344" s="137">
        <f t="shared" si="361"/>
        <v>0</v>
      </c>
      <c r="P344" s="137">
        <f t="shared" si="361"/>
        <v>0</v>
      </c>
      <c r="Q344" s="47"/>
      <c r="R344" s="46"/>
    </row>
    <row r="345" spans="1:18" ht="93" hidden="1" thickTop="1" thickBot="1" x14ac:dyDescent="0.25">
      <c r="A345" s="128" t="s">
        <v>913</v>
      </c>
      <c r="B345" s="128" t="s">
        <v>914</v>
      </c>
      <c r="C345" s="128" t="s">
        <v>304</v>
      </c>
      <c r="D345" s="128" t="s">
        <v>915</v>
      </c>
      <c r="E345" s="152">
        <f>F345</f>
        <v>0</v>
      </c>
      <c r="F345" s="129"/>
      <c r="G345" s="129"/>
      <c r="H345" s="129"/>
      <c r="I345" s="129"/>
      <c r="J345" s="127">
        <f t="shared" ref="J345" si="362">L345+O345</f>
        <v>0</v>
      </c>
      <c r="K345" s="129">
        <v>0</v>
      </c>
      <c r="L345" s="130"/>
      <c r="M345" s="130"/>
      <c r="N345" s="130"/>
      <c r="O345" s="132">
        <f t="shared" ref="O345" si="363">K345</f>
        <v>0</v>
      </c>
      <c r="P345" s="127">
        <f t="shared" ref="P345" si="364">+J345+E345</f>
        <v>0</v>
      </c>
      <c r="Q345" s="47"/>
      <c r="R345" s="46"/>
    </row>
    <row r="346" spans="1:18" ht="91.5" thickTop="1" thickBot="1" x14ac:dyDescent="0.25">
      <c r="A346" s="508" t="s">
        <v>444</v>
      </c>
      <c r="B346" s="508"/>
      <c r="C346" s="508"/>
      <c r="D346" s="509" t="s">
        <v>446</v>
      </c>
      <c r="E346" s="535">
        <f>E347</f>
        <v>170804882</v>
      </c>
      <c r="F346" s="510">
        <f t="shared" ref="F346:G346" si="365">F347</f>
        <v>170804882</v>
      </c>
      <c r="G346" s="510">
        <f t="shared" si="365"/>
        <v>4332271</v>
      </c>
      <c r="H346" s="510">
        <f>H347</f>
        <v>189628</v>
      </c>
      <c r="I346" s="510">
        <f t="shared" ref="I346" si="366">I347</f>
        <v>0</v>
      </c>
      <c r="J346" s="535">
        <f>J347</f>
        <v>0</v>
      </c>
      <c r="K346" s="510">
        <f>K347</f>
        <v>0</v>
      </c>
      <c r="L346" s="510">
        <f>L347</f>
        <v>0</v>
      </c>
      <c r="M346" s="510">
        <f t="shared" ref="M346" si="367">M347</f>
        <v>0</v>
      </c>
      <c r="N346" s="510">
        <f>N347</f>
        <v>0</v>
      </c>
      <c r="O346" s="535">
        <f>O347</f>
        <v>0</v>
      </c>
      <c r="P346" s="510">
        <f t="shared" ref="P346" si="368">P347</f>
        <v>170804882</v>
      </c>
      <c r="Q346" s="20"/>
    </row>
    <row r="347" spans="1:18" ht="91.5" thickTop="1" thickBot="1" x14ac:dyDescent="0.25">
      <c r="A347" s="511" t="s">
        <v>445</v>
      </c>
      <c r="B347" s="511"/>
      <c r="C347" s="511"/>
      <c r="D347" s="512" t="s">
        <v>447</v>
      </c>
      <c r="E347" s="513">
        <f t="shared" ref="E347:O347" si="369">E348+E351+E360+E363</f>
        <v>170804882</v>
      </c>
      <c r="F347" s="513">
        <f t="shared" si="369"/>
        <v>170804882</v>
      </c>
      <c r="G347" s="513">
        <f t="shared" si="369"/>
        <v>4332271</v>
      </c>
      <c r="H347" s="513">
        <f t="shared" si="369"/>
        <v>189628</v>
      </c>
      <c r="I347" s="513">
        <f t="shared" si="369"/>
        <v>0</v>
      </c>
      <c r="J347" s="513">
        <f t="shared" si="369"/>
        <v>0</v>
      </c>
      <c r="K347" s="513">
        <f t="shared" si="369"/>
        <v>0</v>
      </c>
      <c r="L347" s="513">
        <f t="shared" si="369"/>
        <v>0</v>
      </c>
      <c r="M347" s="513">
        <f t="shared" si="369"/>
        <v>0</v>
      </c>
      <c r="N347" s="513">
        <f t="shared" si="369"/>
        <v>0</v>
      </c>
      <c r="O347" s="513">
        <f t="shared" si="369"/>
        <v>0</v>
      </c>
      <c r="P347" s="513">
        <f>E347+J347</f>
        <v>170804882</v>
      </c>
      <c r="Q347" s="536" t="b">
        <f>P347=P349+P354+P356+P362</f>
        <v>1</v>
      </c>
      <c r="R347" s="46"/>
    </row>
    <row r="348" spans="1:18" ht="47.25" thickTop="1" thickBot="1" x14ac:dyDescent="0.25">
      <c r="A348" s="311" t="s">
        <v>825</v>
      </c>
      <c r="B348" s="311" t="s">
        <v>685</v>
      </c>
      <c r="C348" s="311"/>
      <c r="D348" s="311" t="s">
        <v>686</v>
      </c>
      <c r="E348" s="328">
        <f>SUM(E349:E350)</f>
        <v>9955335</v>
      </c>
      <c r="F348" s="328">
        <f t="shared" ref="F348" si="370">SUM(F349:F350)</f>
        <v>9955335</v>
      </c>
      <c r="G348" s="328">
        <f t="shared" ref="G348" si="371">SUM(G349:G350)</f>
        <v>4332271</v>
      </c>
      <c r="H348" s="328">
        <f t="shared" ref="H348" si="372">SUM(H349:H350)</f>
        <v>189628</v>
      </c>
      <c r="I348" s="328">
        <f t="shared" ref="I348" si="373">SUM(I349:I350)</f>
        <v>0</v>
      </c>
      <c r="J348" s="328">
        <f t="shared" ref="J348" si="374">SUM(J349:J350)</f>
        <v>0</v>
      </c>
      <c r="K348" s="328">
        <f t="shared" ref="K348" si="375">SUM(K349:K350)</f>
        <v>0</v>
      </c>
      <c r="L348" s="328">
        <f t="shared" ref="L348" si="376">SUM(L349:L350)</f>
        <v>0</v>
      </c>
      <c r="M348" s="328">
        <f t="shared" ref="M348" si="377">SUM(M349:M350)</f>
        <v>0</v>
      </c>
      <c r="N348" s="328">
        <f t="shared" ref="N348" si="378">SUM(N349:N350)</f>
        <v>0</v>
      </c>
      <c r="O348" s="328">
        <f t="shared" ref="O348" si="379">SUM(O349:O350)</f>
        <v>0</v>
      </c>
      <c r="P348" s="328">
        <f t="shared" ref="P348" si="380">SUM(P349:P350)</f>
        <v>9955335</v>
      </c>
      <c r="Q348" s="47"/>
      <c r="R348" s="46"/>
    </row>
    <row r="349" spans="1:18" ht="93" thickTop="1" thickBot="1" x14ac:dyDescent="0.25">
      <c r="A349" s="103" t="s">
        <v>448</v>
      </c>
      <c r="B349" s="103" t="s">
        <v>236</v>
      </c>
      <c r="C349" s="103" t="s">
        <v>234</v>
      </c>
      <c r="D349" s="103" t="s">
        <v>235</v>
      </c>
      <c r="E349" s="328">
        <f>F349</f>
        <v>9955335</v>
      </c>
      <c r="F349" s="477">
        <v>9955335</v>
      </c>
      <c r="G349" s="477">
        <v>4332271</v>
      </c>
      <c r="H349" s="477">
        <v>189628</v>
      </c>
      <c r="I349" s="477"/>
      <c r="J349" s="328">
        <f>L349+O349</f>
        <v>0</v>
      </c>
      <c r="K349" s="477">
        <v>0</v>
      </c>
      <c r="L349" s="477"/>
      <c r="M349" s="477"/>
      <c r="N349" s="477"/>
      <c r="O349" s="474">
        <f>K349</f>
        <v>0</v>
      </c>
      <c r="P349" s="328">
        <f>E349+J349</f>
        <v>9955335</v>
      </c>
      <c r="Q349" s="47"/>
      <c r="R349" s="46"/>
    </row>
    <row r="350" spans="1:18" ht="93" hidden="1" thickTop="1" thickBot="1" x14ac:dyDescent="0.25">
      <c r="A350" s="128" t="s">
        <v>633</v>
      </c>
      <c r="B350" s="128" t="s">
        <v>362</v>
      </c>
      <c r="C350" s="128" t="s">
        <v>626</v>
      </c>
      <c r="D350" s="128" t="s">
        <v>627</v>
      </c>
      <c r="E350" s="127">
        <f>F350</f>
        <v>0</v>
      </c>
      <c r="F350" s="134">
        <v>0</v>
      </c>
      <c r="G350" s="134"/>
      <c r="H350" s="134"/>
      <c r="I350" s="134"/>
      <c r="J350" s="127">
        <f t="shared" ref="J350" si="381">L350+O350</f>
        <v>0</v>
      </c>
      <c r="K350" s="134"/>
      <c r="L350" s="134"/>
      <c r="M350" s="134"/>
      <c r="N350" s="134"/>
      <c r="O350" s="132">
        <f t="shared" ref="O350" si="382">K350</f>
        <v>0</v>
      </c>
      <c r="P350" s="127">
        <f t="shared" ref="P350" si="383">+J350+E350</f>
        <v>0</v>
      </c>
      <c r="Q350" s="47"/>
      <c r="R350" s="46"/>
    </row>
    <row r="351" spans="1:18" ht="47.25" thickTop="1" thickBot="1" x14ac:dyDescent="0.25">
      <c r="A351" s="311" t="s">
        <v>826</v>
      </c>
      <c r="B351" s="311" t="s">
        <v>749</v>
      </c>
      <c r="C351" s="103"/>
      <c r="D351" s="311" t="s">
        <v>796</v>
      </c>
      <c r="E351" s="328">
        <f>E352+E358</f>
        <v>158660533</v>
      </c>
      <c r="F351" s="328">
        <f t="shared" ref="F351:P351" si="384">F352+F358</f>
        <v>158660533</v>
      </c>
      <c r="G351" s="328">
        <f t="shared" si="384"/>
        <v>0</v>
      </c>
      <c r="H351" s="328">
        <f t="shared" si="384"/>
        <v>0</v>
      </c>
      <c r="I351" s="328">
        <f t="shared" si="384"/>
        <v>0</v>
      </c>
      <c r="J351" s="328">
        <f t="shared" si="384"/>
        <v>0</v>
      </c>
      <c r="K351" s="328">
        <f t="shared" si="384"/>
        <v>0</v>
      </c>
      <c r="L351" s="328">
        <f t="shared" si="384"/>
        <v>0</v>
      </c>
      <c r="M351" s="328">
        <f t="shared" si="384"/>
        <v>0</v>
      </c>
      <c r="N351" s="328">
        <f t="shared" si="384"/>
        <v>0</v>
      </c>
      <c r="O351" s="328">
        <f t="shared" si="384"/>
        <v>0</v>
      </c>
      <c r="P351" s="328">
        <f t="shared" si="384"/>
        <v>158660533</v>
      </c>
      <c r="Q351" s="47"/>
      <c r="R351" s="50"/>
    </row>
    <row r="352" spans="1:18" ht="47.25" thickTop="1" thickBot="1" x14ac:dyDescent="0.25">
      <c r="A352" s="313" t="s">
        <v>827</v>
      </c>
      <c r="B352" s="313" t="s">
        <v>808</v>
      </c>
      <c r="C352" s="313"/>
      <c r="D352" s="313" t="s">
        <v>809</v>
      </c>
      <c r="E352" s="315">
        <f>E355+E357+E353</f>
        <v>158660533</v>
      </c>
      <c r="F352" s="315">
        <f t="shared" ref="F352:P352" si="385">F355+F357+F353</f>
        <v>158660533</v>
      </c>
      <c r="G352" s="315">
        <f t="shared" si="385"/>
        <v>0</v>
      </c>
      <c r="H352" s="315">
        <f t="shared" si="385"/>
        <v>0</v>
      </c>
      <c r="I352" s="315">
        <f t="shared" si="385"/>
        <v>0</v>
      </c>
      <c r="J352" s="315">
        <f t="shared" si="385"/>
        <v>0</v>
      </c>
      <c r="K352" s="315">
        <f t="shared" si="385"/>
        <v>0</v>
      </c>
      <c r="L352" s="315">
        <f t="shared" si="385"/>
        <v>0</v>
      </c>
      <c r="M352" s="315">
        <f t="shared" si="385"/>
        <v>0</v>
      </c>
      <c r="N352" s="315">
        <f t="shared" si="385"/>
        <v>0</v>
      </c>
      <c r="O352" s="315">
        <f t="shared" si="385"/>
        <v>0</v>
      </c>
      <c r="P352" s="315">
        <f t="shared" si="385"/>
        <v>158660533</v>
      </c>
      <c r="Q352" s="47"/>
      <c r="R352" s="50"/>
    </row>
    <row r="353" spans="1:18" ht="93" thickTop="1" thickBot="1" x14ac:dyDescent="0.25">
      <c r="A353" s="329" t="s">
        <v>1021</v>
      </c>
      <c r="B353" s="329" t="s">
        <v>1022</v>
      </c>
      <c r="C353" s="329"/>
      <c r="D353" s="329" t="s">
        <v>1020</v>
      </c>
      <c r="E353" s="325">
        <f>E354</f>
        <v>300000</v>
      </c>
      <c r="F353" s="325">
        <f t="shared" ref="F353:O353" si="386">F354</f>
        <v>300000</v>
      </c>
      <c r="G353" s="325">
        <f t="shared" si="386"/>
        <v>0</v>
      </c>
      <c r="H353" s="325">
        <f t="shared" si="386"/>
        <v>0</v>
      </c>
      <c r="I353" s="325">
        <f t="shared" si="386"/>
        <v>0</v>
      </c>
      <c r="J353" s="325">
        <f t="shared" si="386"/>
        <v>0</v>
      </c>
      <c r="K353" s="325">
        <f t="shared" si="386"/>
        <v>0</v>
      </c>
      <c r="L353" s="325">
        <f t="shared" si="386"/>
        <v>0</v>
      </c>
      <c r="M353" s="325">
        <f t="shared" si="386"/>
        <v>0</v>
      </c>
      <c r="N353" s="325">
        <f t="shared" si="386"/>
        <v>0</v>
      </c>
      <c r="O353" s="325">
        <f t="shared" si="386"/>
        <v>0</v>
      </c>
      <c r="P353" s="325">
        <f t="shared" ref="F353:P355" si="387">P354</f>
        <v>300000</v>
      </c>
      <c r="Q353" s="47"/>
      <c r="R353" s="50"/>
    </row>
    <row r="354" spans="1:18" ht="48" thickTop="1" thickBot="1" x14ac:dyDescent="0.25">
      <c r="A354" s="103" t="s">
        <v>467</v>
      </c>
      <c r="B354" s="103" t="s">
        <v>412</v>
      </c>
      <c r="C354" s="103" t="s">
        <v>413</v>
      </c>
      <c r="D354" s="103" t="s">
        <v>414</v>
      </c>
      <c r="E354" s="328">
        <f>F354</f>
        <v>300000</v>
      </c>
      <c r="F354" s="477">
        <v>300000</v>
      </c>
      <c r="G354" s="477"/>
      <c r="H354" s="477"/>
      <c r="I354" s="477"/>
      <c r="J354" s="328">
        <f>L354+O354</f>
        <v>0</v>
      </c>
      <c r="K354" s="477"/>
      <c r="L354" s="477"/>
      <c r="M354" s="477"/>
      <c r="N354" s="477"/>
      <c r="O354" s="474">
        <f>K354</f>
        <v>0</v>
      </c>
      <c r="P354" s="328">
        <f>E354+J354</f>
        <v>300000</v>
      </c>
      <c r="Q354" s="47"/>
      <c r="R354" s="50"/>
    </row>
    <row r="355" spans="1:18" ht="93" thickTop="1" thickBot="1" x14ac:dyDescent="0.25">
      <c r="A355" s="329" t="s">
        <v>828</v>
      </c>
      <c r="B355" s="329" t="s">
        <v>829</v>
      </c>
      <c r="C355" s="329"/>
      <c r="D355" s="329" t="s">
        <v>830</v>
      </c>
      <c r="E355" s="325">
        <f>E356</f>
        <v>158360533</v>
      </c>
      <c r="F355" s="325">
        <f t="shared" si="387"/>
        <v>158360533</v>
      </c>
      <c r="G355" s="325">
        <f t="shared" si="387"/>
        <v>0</v>
      </c>
      <c r="H355" s="325">
        <f t="shared" si="387"/>
        <v>0</v>
      </c>
      <c r="I355" s="325">
        <f t="shared" si="387"/>
        <v>0</v>
      </c>
      <c r="J355" s="325">
        <f t="shared" si="387"/>
        <v>0</v>
      </c>
      <c r="K355" s="325">
        <f t="shared" si="387"/>
        <v>0</v>
      </c>
      <c r="L355" s="325">
        <f t="shared" si="387"/>
        <v>0</v>
      </c>
      <c r="M355" s="325">
        <f t="shared" si="387"/>
        <v>0</v>
      </c>
      <c r="N355" s="325">
        <f t="shared" si="387"/>
        <v>0</v>
      </c>
      <c r="O355" s="325">
        <f t="shared" si="387"/>
        <v>0</v>
      </c>
      <c r="P355" s="325">
        <f t="shared" si="387"/>
        <v>158360533</v>
      </c>
      <c r="Q355" s="47"/>
      <c r="R355" s="50"/>
    </row>
    <row r="356" spans="1:18" ht="48" thickTop="1" thickBot="1" x14ac:dyDescent="0.25">
      <c r="A356" s="103" t="s">
        <v>468</v>
      </c>
      <c r="B356" s="103" t="s">
        <v>291</v>
      </c>
      <c r="C356" s="103" t="s">
        <v>1396</v>
      </c>
      <c r="D356" s="103" t="s">
        <v>292</v>
      </c>
      <c r="E356" s="328">
        <f>F356</f>
        <v>158360533</v>
      </c>
      <c r="F356" s="477">
        <v>158360533</v>
      </c>
      <c r="G356" s="477"/>
      <c r="H356" s="477"/>
      <c r="I356" s="477"/>
      <c r="J356" s="328">
        <f>L356+O356</f>
        <v>0</v>
      </c>
      <c r="K356" s="477"/>
      <c r="L356" s="477"/>
      <c r="M356" s="477"/>
      <c r="N356" s="477"/>
      <c r="O356" s="474">
        <f>K356</f>
        <v>0</v>
      </c>
      <c r="P356" s="328">
        <f>E356+J356</f>
        <v>158360533</v>
      </c>
      <c r="Q356" s="47"/>
      <c r="R356" s="50"/>
    </row>
    <row r="357" spans="1:18" ht="48" hidden="1" thickTop="1" thickBot="1" x14ac:dyDescent="0.25">
      <c r="A357" s="128" t="s">
        <v>1105</v>
      </c>
      <c r="B357" s="128" t="s">
        <v>1106</v>
      </c>
      <c r="C357" s="128" t="s">
        <v>295</v>
      </c>
      <c r="D357" s="128" t="s">
        <v>1104</v>
      </c>
      <c r="E357" s="127">
        <f>F357</f>
        <v>0</v>
      </c>
      <c r="F357" s="134"/>
      <c r="G357" s="134"/>
      <c r="H357" s="134"/>
      <c r="I357" s="134"/>
      <c r="J357" s="127">
        <f>L357+O357</f>
        <v>0</v>
      </c>
      <c r="K357" s="134"/>
      <c r="L357" s="134"/>
      <c r="M357" s="134"/>
      <c r="N357" s="134"/>
      <c r="O357" s="132">
        <f>K357</f>
        <v>0</v>
      </c>
      <c r="P357" s="127">
        <f>E357+J357</f>
        <v>0</v>
      </c>
      <c r="Q357" s="47"/>
      <c r="R357" s="50"/>
    </row>
    <row r="358" spans="1:18" ht="47.25" hidden="1" thickTop="1" thickBot="1" x14ac:dyDescent="0.25">
      <c r="A358" s="136" t="s">
        <v>1182</v>
      </c>
      <c r="B358" s="136" t="s">
        <v>692</v>
      </c>
      <c r="C358" s="136"/>
      <c r="D358" s="136" t="s">
        <v>690</v>
      </c>
      <c r="E358" s="137">
        <f>E359</f>
        <v>0</v>
      </c>
      <c r="F358" s="137">
        <f t="shared" ref="F358:P358" si="388">F359</f>
        <v>0</v>
      </c>
      <c r="G358" s="137">
        <f t="shared" si="388"/>
        <v>0</v>
      </c>
      <c r="H358" s="137">
        <f t="shared" si="388"/>
        <v>0</v>
      </c>
      <c r="I358" s="137">
        <f t="shared" si="388"/>
        <v>0</v>
      </c>
      <c r="J358" s="137">
        <f t="shared" si="388"/>
        <v>0</v>
      </c>
      <c r="K358" s="137">
        <f t="shared" si="388"/>
        <v>0</v>
      </c>
      <c r="L358" s="137">
        <f t="shared" si="388"/>
        <v>0</v>
      </c>
      <c r="M358" s="137">
        <f t="shared" si="388"/>
        <v>0</v>
      </c>
      <c r="N358" s="137">
        <f t="shared" si="388"/>
        <v>0</v>
      </c>
      <c r="O358" s="137">
        <f t="shared" si="388"/>
        <v>0</v>
      </c>
      <c r="P358" s="137">
        <f t="shared" si="388"/>
        <v>0</v>
      </c>
      <c r="Q358" s="47"/>
      <c r="R358" s="50"/>
    </row>
    <row r="359" spans="1:18" ht="48" hidden="1" thickTop="1" thickBot="1" x14ac:dyDescent="0.25">
      <c r="A359" s="128" t="s">
        <v>1183</v>
      </c>
      <c r="B359" s="128" t="s">
        <v>197</v>
      </c>
      <c r="C359" s="128" t="s">
        <v>170</v>
      </c>
      <c r="D359" s="128" t="s">
        <v>1184</v>
      </c>
      <c r="E359" s="127">
        <f>F359</f>
        <v>0</v>
      </c>
      <c r="F359" s="134">
        <v>0</v>
      </c>
      <c r="G359" s="134"/>
      <c r="H359" s="134"/>
      <c r="I359" s="134"/>
      <c r="J359" s="127">
        <f>L359+O359</f>
        <v>0</v>
      </c>
      <c r="K359" s="134">
        <v>0</v>
      </c>
      <c r="L359" s="134"/>
      <c r="M359" s="134"/>
      <c r="N359" s="134"/>
      <c r="O359" s="132">
        <f>K359</f>
        <v>0</v>
      </c>
      <c r="P359" s="127">
        <f>E359+J359</f>
        <v>0</v>
      </c>
      <c r="Q359" s="47"/>
      <c r="R359" s="50"/>
    </row>
    <row r="360" spans="1:18" ht="47.25" thickTop="1" thickBot="1" x14ac:dyDescent="0.25">
      <c r="A360" s="311" t="s">
        <v>1229</v>
      </c>
      <c r="B360" s="311" t="s">
        <v>697</v>
      </c>
      <c r="C360" s="311"/>
      <c r="D360" s="311" t="s">
        <v>698</v>
      </c>
      <c r="E360" s="328">
        <f>E361</f>
        <v>2189014</v>
      </c>
      <c r="F360" s="328">
        <f t="shared" ref="F360:P360" si="389">F361</f>
        <v>2189014</v>
      </c>
      <c r="G360" s="328">
        <f t="shared" si="389"/>
        <v>0</v>
      </c>
      <c r="H360" s="328">
        <f t="shared" si="389"/>
        <v>0</v>
      </c>
      <c r="I360" s="328">
        <f t="shared" si="389"/>
        <v>0</v>
      </c>
      <c r="J360" s="328">
        <f t="shared" si="389"/>
        <v>0</v>
      </c>
      <c r="K360" s="328">
        <f t="shared" si="389"/>
        <v>0</v>
      </c>
      <c r="L360" s="328">
        <f t="shared" si="389"/>
        <v>0</v>
      </c>
      <c r="M360" s="328">
        <f t="shared" si="389"/>
        <v>0</v>
      </c>
      <c r="N360" s="328">
        <f t="shared" si="389"/>
        <v>0</v>
      </c>
      <c r="O360" s="328">
        <f t="shared" si="389"/>
        <v>0</v>
      </c>
      <c r="P360" s="328">
        <f t="shared" si="389"/>
        <v>2189014</v>
      </c>
      <c r="Q360" s="47"/>
      <c r="R360" s="50"/>
    </row>
    <row r="361" spans="1:18" ht="47.25" thickTop="1" thickBot="1" x14ac:dyDescent="0.25">
      <c r="A361" s="313" t="s">
        <v>1230</v>
      </c>
      <c r="B361" s="313" t="s">
        <v>1195</v>
      </c>
      <c r="C361" s="313"/>
      <c r="D361" s="313" t="s">
        <v>1193</v>
      </c>
      <c r="E361" s="315">
        <f>E362</f>
        <v>2189014</v>
      </c>
      <c r="F361" s="315">
        <f>F362</f>
        <v>2189014</v>
      </c>
      <c r="G361" s="315">
        <f t="shared" ref="G361:O361" si="390">G362</f>
        <v>0</v>
      </c>
      <c r="H361" s="315">
        <f t="shared" si="390"/>
        <v>0</v>
      </c>
      <c r="I361" s="315">
        <f t="shared" si="390"/>
        <v>0</v>
      </c>
      <c r="J361" s="315">
        <f t="shared" si="390"/>
        <v>0</v>
      </c>
      <c r="K361" s="315">
        <f t="shared" si="390"/>
        <v>0</v>
      </c>
      <c r="L361" s="315">
        <f t="shared" si="390"/>
        <v>0</v>
      </c>
      <c r="M361" s="315">
        <f t="shared" si="390"/>
        <v>0</v>
      </c>
      <c r="N361" s="315">
        <f t="shared" si="390"/>
        <v>0</v>
      </c>
      <c r="O361" s="315">
        <f t="shared" si="390"/>
        <v>0</v>
      </c>
      <c r="P361" s="315">
        <f>P362</f>
        <v>2189014</v>
      </c>
      <c r="Q361" s="47"/>
      <c r="R361" s="50"/>
    </row>
    <row r="362" spans="1:18" ht="48" thickTop="1" thickBot="1" x14ac:dyDescent="0.25">
      <c r="A362" s="103" t="s">
        <v>1231</v>
      </c>
      <c r="B362" s="103" t="s">
        <v>1232</v>
      </c>
      <c r="C362" s="103" t="s">
        <v>1197</v>
      </c>
      <c r="D362" s="103" t="s">
        <v>1233</v>
      </c>
      <c r="E362" s="328">
        <f>F362</f>
        <v>2189014</v>
      </c>
      <c r="F362" s="477">
        <v>2189014</v>
      </c>
      <c r="G362" s="477"/>
      <c r="H362" s="477"/>
      <c r="I362" s="477"/>
      <c r="J362" s="328">
        <f>L362+O362</f>
        <v>0</v>
      </c>
      <c r="K362" s="477"/>
      <c r="L362" s="477"/>
      <c r="M362" s="477"/>
      <c r="N362" s="477"/>
      <c r="O362" s="474">
        <f>K362</f>
        <v>0</v>
      </c>
      <c r="P362" s="328">
        <f>E362+J362</f>
        <v>2189014</v>
      </c>
      <c r="Q362" s="47"/>
      <c r="R362" s="50"/>
    </row>
    <row r="363" spans="1:18" ht="47.25" hidden="1" thickTop="1" thickBot="1" x14ac:dyDescent="0.25">
      <c r="A363" s="125" t="s">
        <v>1362</v>
      </c>
      <c r="B363" s="125" t="s">
        <v>703</v>
      </c>
      <c r="C363" s="125"/>
      <c r="D363" s="125" t="s">
        <v>704</v>
      </c>
      <c r="E363" s="127">
        <f t="shared" ref="E363:P363" si="391">E364</f>
        <v>0</v>
      </c>
      <c r="F363" s="127">
        <f t="shared" si="391"/>
        <v>0</v>
      </c>
      <c r="G363" s="127">
        <f t="shared" si="391"/>
        <v>0</v>
      </c>
      <c r="H363" s="127">
        <f t="shared" si="391"/>
        <v>0</v>
      </c>
      <c r="I363" s="127">
        <f t="shared" si="391"/>
        <v>0</v>
      </c>
      <c r="J363" s="127">
        <f t="shared" si="391"/>
        <v>0</v>
      </c>
      <c r="K363" s="127">
        <f t="shared" si="391"/>
        <v>0</v>
      </c>
      <c r="L363" s="127">
        <f t="shared" si="391"/>
        <v>0</v>
      </c>
      <c r="M363" s="127">
        <f t="shared" si="391"/>
        <v>0</v>
      </c>
      <c r="N363" s="127">
        <f t="shared" si="391"/>
        <v>0</v>
      </c>
      <c r="O363" s="127">
        <f t="shared" si="391"/>
        <v>0</v>
      </c>
      <c r="P363" s="127">
        <f t="shared" si="391"/>
        <v>0</v>
      </c>
      <c r="Q363" s="47"/>
      <c r="R363" s="50"/>
    </row>
    <row r="364" spans="1:18" ht="91.5" hidden="1" thickTop="1" thickBot="1" x14ac:dyDescent="0.25">
      <c r="A364" s="136" t="s">
        <v>1363</v>
      </c>
      <c r="B364" s="136" t="s">
        <v>514</v>
      </c>
      <c r="C364" s="136" t="s">
        <v>43</v>
      </c>
      <c r="D364" s="136" t="s">
        <v>515</v>
      </c>
      <c r="E364" s="137">
        <f t="shared" ref="E364" si="392">F364</f>
        <v>0</v>
      </c>
      <c r="F364" s="137">
        <v>0</v>
      </c>
      <c r="G364" s="137"/>
      <c r="H364" s="137"/>
      <c r="I364" s="137"/>
      <c r="J364" s="137">
        <f>L364+O364</f>
        <v>0</v>
      </c>
      <c r="K364" s="134"/>
      <c r="L364" s="137"/>
      <c r="M364" s="137"/>
      <c r="N364" s="137"/>
      <c r="O364" s="137">
        <f>(K364+0)</f>
        <v>0</v>
      </c>
      <c r="P364" s="137">
        <f>E364+J364</f>
        <v>0</v>
      </c>
      <c r="Q364" s="47"/>
      <c r="R364" s="50"/>
    </row>
    <row r="365" spans="1:18" ht="46.5" thickTop="1" thickBot="1" x14ac:dyDescent="0.25">
      <c r="A365" s="508" t="s">
        <v>166</v>
      </c>
      <c r="B365" s="508"/>
      <c r="C365" s="508"/>
      <c r="D365" s="509" t="s">
        <v>354</v>
      </c>
      <c r="E365" s="535">
        <f>E366</f>
        <v>2600000</v>
      </c>
      <c r="F365" s="510">
        <f t="shared" ref="F365:G365" si="393">F366</f>
        <v>2600000</v>
      </c>
      <c r="G365" s="510">
        <f t="shared" si="393"/>
        <v>0</v>
      </c>
      <c r="H365" s="510">
        <f>H366</f>
        <v>0</v>
      </c>
      <c r="I365" s="510">
        <f t="shared" ref="I365" si="394">I366</f>
        <v>0</v>
      </c>
      <c r="J365" s="535">
        <f>J366</f>
        <v>0</v>
      </c>
      <c r="K365" s="510">
        <f>K366</f>
        <v>0</v>
      </c>
      <c r="L365" s="510">
        <f>L366</f>
        <v>0</v>
      </c>
      <c r="M365" s="510">
        <f t="shared" ref="M365" si="395">M366</f>
        <v>0</v>
      </c>
      <c r="N365" s="510">
        <f>N366</f>
        <v>0</v>
      </c>
      <c r="O365" s="535">
        <f>O366</f>
        <v>0</v>
      </c>
      <c r="P365" s="510">
        <f t="shared" ref="P365" si="396">P366</f>
        <v>2600000</v>
      </c>
      <c r="Q365" s="20"/>
    </row>
    <row r="366" spans="1:18" ht="91.5" thickTop="1" thickBot="1" x14ac:dyDescent="0.25">
      <c r="A366" s="511" t="s">
        <v>167</v>
      </c>
      <c r="B366" s="511"/>
      <c r="C366" s="511"/>
      <c r="D366" s="512" t="s">
        <v>355</v>
      </c>
      <c r="E366" s="513">
        <f>E369+E381+E378+E367</f>
        <v>2600000</v>
      </c>
      <c r="F366" s="513">
        <f>F369+F381+F378+F367</f>
        <v>2600000</v>
      </c>
      <c r="G366" s="513">
        <f>G369+G381+G378+G367</f>
        <v>0</v>
      </c>
      <c r="H366" s="513">
        <f>H369+H381+H378+H367</f>
        <v>0</v>
      </c>
      <c r="I366" s="513">
        <f>I369+I381+I378+I367</f>
        <v>0</v>
      </c>
      <c r="J366" s="513">
        <f>L366+O366</f>
        <v>0</v>
      </c>
      <c r="K366" s="513">
        <f>K369+K381+K378+K367</f>
        <v>0</v>
      </c>
      <c r="L366" s="513">
        <f>L369+L381+L378+L367</f>
        <v>0</v>
      </c>
      <c r="M366" s="513">
        <f>M369+M381+M378+M367</f>
        <v>0</v>
      </c>
      <c r="N366" s="513">
        <f>N369+N381+N378+N367</f>
        <v>0</v>
      </c>
      <c r="O366" s="513">
        <f>O369+O381+O378+O367</f>
        <v>0</v>
      </c>
      <c r="P366" s="513">
        <f>E366+J366</f>
        <v>2600000</v>
      </c>
      <c r="Q366" s="536" t="b">
        <f>P366=P371+P373+P374</f>
        <v>1</v>
      </c>
      <c r="R366" s="46"/>
    </row>
    <row r="367" spans="1:18" ht="47.25" hidden="1" thickTop="1" thickBot="1" x14ac:dyDescent="0.25">
      <c r="A367" s="125" t="s">
        <v>1329</v>
      </c>
      <c r="B367" s="125" t="s">
        <v>712</v>
      </c>
      <c r="C367" s="125"/>
      <c r="D367" s="125" t="s">
        <v>713</v>
      </c>
      <c r="E367" s="127">
        <f t="shared" ref="E367:P367" si="397">SUM(E368:E368)</f>
        <v>0</v>
      </c>
      <c r="F367" s="127">
        <f t="shared" si="397"/>
        <v>0</v>
      </c>
      <c r="G367" s="127">
        <f t="shared" si="397"/>
        <v>0</v>
      </c>
      <c r="H367" s="127">
        <f t="shared" si="397"/>
        <v>0</v>
      </c>
      <c r="I367" s="127">
        <f t="shared" si="397"/>
        <v>0</v>
      </c>
      <c r="J367" s="127">
        <f t="shared" si="397"/>
        <v>0</v>
      </c>
      <c r="K367" s="127">
        <f t="shared" si="397"/>
        <v>0</v>
      </c>
      <c r="L367" s="127">
        <f t="shared" si="397"/>
        <v>0</v>
      </c>
      <c r="M367" s="127">
        <f t="shared" si="397"/>
        <v>0</v>
      </c>
      <c r="N367" s="127">
        <f t="shared" si="397"/>
        <v>0</v>
      </c>
      <c r="O367" s="127">
        <f t="shared" si="397"/>
        <v>0</v>
      </c>
      <c r="P367" s="127">
        <f t="shared" si="397"/>
        <v>0</v>
      </c>
      <c r="Q367" s="47"/>
      <c r="R367" s="46"/>
    </row>
    <row r="368" spans="1:18" ht="93" hidden="1" thickTop="1" thickBot="1" x14ac:dyDescent="0.25">
      <c r="A368" s="128" t="s">
        <v>1330</v>
      </c>
      <c r="B368" s="128" t="s">
        <v>1210</v>
      </c>
      <c r="C368" s="128" t="s">
        <v>206</v>
      </c>
      <c r="D368" s="414" t="s">
        <v>1211</v>
      </c>
      <c r="E368" s="127">
        <f t="shared" ref="E368" si="398">F368</f>
        <v>0</v>
      </c>
      <c r="F368" s="134"/>
      <c r="G368" s="134"/>
      <c r="H368" s="134"/>
      <c r="I368" s="134"/>
      <c r="J368" s="127">
        <f>L368+O368</f>
        <v>0</v>
      </c>
      <c r="K368" s="134"/>
      <c r="L368" s="134"/>
      <c r="M368" s="134"/>
      <c r="N368" s="134"/>
      <c r="O368" s="132">
        <f>K368</f>
        <v>0</v>
      </c>
      <c r="P368" s="127">
        <f>E368+J368</f>
        <v>0</v>
      </c>
      <c r="Q368" s="47"/>
      <c r="R368" s="46"/>
    </row>
    <row r="369" spans="1:18" ht="44.25" customHeight="1" thickTop="1" thickBot="1" x14ac:dyDescent="0.25">
      <c r="A369" s="311" t="s">
        <v>831</v>
      </c>
      <c r="B369" s="311" t="s">
        <v>749</v>
      </c>
      <c r="C369" s="103"/>
      <c r="D369" s="311" t="s">
        <v>796</v>
      </c>
      <c r="E369" s="632">
        <f t="shared" ref="E369:P369" si="399">E372+E370</f>
        <v>2600000</v>
      </c>
      <c r="F369" s="632">
        <f t="shared" si="399"/>
        <v>2600000</v>
      </c>
      <c r="G369" s="632">
        <f t="shared" si="399"/>
        <v>0</v>
      </c>
      <c r="H369" s="632">
        <f t="shared" si="399"/>
        <v>0</v>
      </c>
      <c r="I369" s="632">
        <f t="shared" si="399"/>
        <v>0</v>
      </c>
      <c r="J369" s="632">
        <f t="shared" si="399"/>
        <v>0</v>
      </c>
      <c r="K369" s="632">
        <f t="shared" si="399"/>
        <v>0</v>
      </c>
      <c r="L369" s="632">
        <f t="shared" si="399"/>
        <v>0</v>
      </c>
      <c r="M369" s="632">
        <f t="shared" si="399"/>
        <v>0</v>
      </c>
      <c r="N369" s="632">
        <f t="shared" si="399"/>
        <v>0</v>
      </c>
      <c r="O369" s="632">
        <f t="shared" si="399"/>
        <v>0</v>
      </c>
      <c r="P369" s="632">
        <f t="shared" si="399"/>
        <v>2600000</v>
      </c>
      <c r="Q369" s="47"/>
      <c r="R369" s="46"/>
    </row>
    <row r="370" spans="1:18" ht="47.25" thickTop="1" thickBot="1" x14ac:dyDescent="0.25">
      <c r="A370" s="313" t="s">
        <v>1018</v>
      </c>
      <c r="B370" s="313" t="s">
        <v>805</v>
      </c>
      <c r="C370" s="313"/>
      <c r="D370" s="313" t="s">
        <v>806</v>
      </c>
      <c r="E370" s="631">
        <f>E371</f>
        <v>50000</v>
      </c>
      <c r="F370" s="631">
        <f>F371</f>
        <v>50000</v>
      </c>
      <c r="G370" s="631">
        <f t="shared" ref="G370:O370" si="400">G371</f>
        <v>0</v>
      </c>
      <c r="H370" s="631">
        <f t="shared" si="400"/>
        <v>0</v>
      </c>
      <c r="I370" s="631">
        <f t="shared" si="400"/>
        <v>0</v>
      </c>
      <c r="J370" s="631">
        <f t="shared" si="400"/>
        <v>0</v>
      </c>
      <c r="K370" s="631">
        <f t="shared" si="400"/>
        <v>0</v>
      </c>
      <c r="L370" s="631">
        <f t="shared" si="400"/>
        <v>0</v>
      </c>
      <c r="M370" s="631">
        <f t="shared" si="400"/>
        <v>0</v>
      </c>
      <c r="N370" s="631">
        <f t="shared" si="400"/>
        <v>0</v>
      </c>
      <c r="O370" s="631">
        <f t="shared" si="400"/>
        <v>0</v>
      </c>
      <c r="P370" s="631">
        <f>P371</f>
        <v>50000</v>
      </c>
      <c r="Q370" s="47"/>
      <c r="R370" s="46"/>
    </row>
    <row r="371" spans="1:18" ht="48" thickTop="1" thickBot="1" x14ac:dyDescent="0.25">
      <c r="A371" s="103" t="s">
        <v>1019</v>
      </c>
      <c r="B371" s="103" t="s">
        <v>350</v>
      </c>
      <c r="C371" s="103" t="s">
        <v>170</v>
      </c>
      <c r="D371" s="103" t="s">
        <v>262</v>
      </c>
      <c r="E371" s="328">
        <f t="shared" ref="E371" si="401">F371</f>
        <v>50000</v>
      </c>
      <c r="F371" s="477">
        <v>50000</v>
      </c>
      <c r="G371" s="477"/>
      <c r="H371" s="477"/>
      <c r="I371" s="477"/>
      <c r="J371" s="328">
        <f t="shared" ref="J371" si="402">L371+O371</f>
        <v>0</v>
      </c>
      <c r="K371" s="477"/>
      <c r="L371" s="477"/>
      <c r="M371" s="477"/>
      <c r="N371" s="477"/>
      <c r="O371" s="474">
        <f>K371</f>
        <v>0</v>
      </c>
      <c r="P371" s="328">
        <f t="shared" ref="P371" si="403">E371+J371</f>
        <v>50000</v>
      </c>
      <c r="Q371" s="47"/>
      <c r="R371" s="46"/>
    </row>
    <row r="372" spans="1:18" ht="47.25" thickTop="1" thickBot="1" x14ac:dyDescent="0.25">
      <c r="A372" s="313" t="s">
        <v>832</v>
      </c>
      <c r="B372" s="313" t="s">
        <v>692</v>
      </c>
      <c r="C372" s="313"/>
      <c r="D372" s="313" t="s">
        <v>690</v>
      </c>
      <c r="E372" s="631">
        <f>SUM(E373:E377)-E376</f>
        <v>2550000</v>
      </c>
      <c r="F372" s="631">
        <f t="shared" ref="F372:P372" si="404">SUM(F373:F377)-F376</f>
        <v>2550000</v>
      </c>
      <c r="G372" s="631">
        <f t="shared" si="404"/>
        <v>0</v>
      </c>
      <c r="H372" s="631">
        <f t="shared" si="404"/>
        <v>0</v>
      </c>
      <c r="I372" s="631">
        <f t="shared" si="404"/>
        <v>0</v>
      </c>
      <c r="J372" s="631">
        <f>SUM(J373:J377)-J376</f>
        <v>0</v>
      </c>
      <c r="K372" s="631">
        <f t="shared" si="404"/>
        <v>0</v>
      </c>
      <c r="L372" s="631">
        <f t="shared" si="404"/>
        <v>0</v>
      </c>
      <c r="M372" s="631">
        <f t="shared" si="404"/>
        <v>0</v>
      </c>
      <c r="N372" s="631">
        <f t="shared" si="404"/>
        <v>0</v>
      </c>
      <c r="O372" s="631">
        <f t="shared" si="404"/>
        <v>0</v>
      </c>
      <c r="P372" s="631">
        <f t="shared" si="404"/>
        <v>2550000</v>
      </c>
      <c r="Q372" s="47"/>
      <c r="R372" s="46"/>
    </row>
    <row r="373" spans="1:18" ht="48" thickTop="1" thickBot="1" x14ac:dyDescent="0.25">
      <c r="A373" s="103" t="s">
        <v>260</v>
      </c>
      <c r="B373" s="103" t="s">
        <v>261</v>
      </c>
      <c r="C373" s="103" t="s">
        <v>259</v>
      </c>
      <c r="D373" s="103" t="s">
        <v>258</v>
      </c>
      <c r="E373" s="328">
        <f t="shared" ref="E373:E377" si="405">F373</f>
        <v>2045000</v>
      </c>
      <c r="F373" s="477">
        <v>2045000</v>
      </c>
      <c r="G373" s="477"/>
      <c r="H373" s="477"/>
      <c r="I373" s="477"/>
      <c r="J373" s="328">
        <f t="shared" ref="J373:J377" si="406">L373+O373</f>
        <v>0</v>
      </c>
      <c r="K373" s="477"/>
      <c r="L373" s="477"/>
      <c r="M373" s="477"/>
      <c r="N373" s="477"/>
      <c r="O373" s="474">
        <f>K373</f>
        <v>0</v>
      </c>
      <c r="P373" s="328">
        <f t="shared" ref="P373:P377" si="407">E373+J373</f>
        <v>2045000</v>
      </c>
      <c r="Q373" s="20"/>
      <c r="R373" s="46"/>
    </row>
    <row r="374" spans="1:18" ht="48" thickTop="1" thickBot="1" x14ac:dyDescent="0.25">
      <c r="A374" s="103" t="s">
        <v>252</v>
      </c>
      <c r="B374" s="103" t="s">
        <v>254</v>
      </c>
      <c r="C374" s="103" t="s">
        <v>213</v>
      </c>
      <c r="D374" s="103" t="s">
        <v>253</v>
      </c>
      <c r="E374" s="328">
        <f t="shared" si="405"/>
        <v>505000</v>
      </c>
      <c r="F374" s="477">
        <v>505000</v>
      </c>
      <c r="G374" s="477"/>
      <c r="H374" s="477"/>
      <c r="I374" s="477"/>
      <c r="J374" s="328">
        <f t="shared" si="406"/>
        <v>0</v>
      </c>
      <c r="K374" s="477"/>
      <c r="L374" s="477"/>
      <c r="M374" s="477"/>
      <c r="N374" s="477"/>
      <c r="O374" s="474">
        <f>K374</f>
        <v>0</v>
      </c>
      <c r="P374" s="328">
        <f t="shared" si="407"/>
        <v>505000</v>
      </c>
      <c r="Q374" s="20"/>
      <c r="R374" s="46"/>
    </row>
    <row r="375" spans="1:18" ht="48" hidden="1" thickTop="1" thickBot="1" x14ac:dyDescent="0.25">
      <c r="A375" s="128" t="s">
        <v>1324</v>
      </c>
      <c r="B375" s="128" t="s">
        <v>212</v>
      </c>
      <c r="C375" s="128" t="s">
        <v>213</v>
      </c>
      <c r="D375" s="128" t="s">
        <v>41</v>
      </c>
      <c r="E375" s="127">
        <f t="shared" ref="E375" si="408">F375</f>
        <v>0</v>
      </c>
      <c r="F375" s="134"/>
      <c r="G375" s="134"/>
      <c r="H375" s="134"/>
      <c r="I375" s="134"/>
      <c r="J375" s="127">
        <f t="shared" ref="J375" si="409">L375+O375</f>
        <v>0</v>
      </c>
      <c r="K375" s="134"/>
      <c r="L375" s="134"/>
      <c r="M375" s="134"/>
      <c r="N375" s="134"/>
      <c r="O375" s="132">
        <f>K375</f>
        <v>0</v>
      </c>
      <c r="P375" s="127">
        <f t="shared" ref="P375" si="410">E375+J375</f>
        <v>0</v>
      </c>
      <c r="Q375" s="20"/>
      <c r="R375" s="46"/>
    </row>
    <row r="376" spans="1:18" ht="48" hidden="1" thickTop="1" thickBot="1" x14ac:dyDescent="0.25">
      <c r="A376" s="140" t="s">
        <v>833</v>
      </c>
      <c r="B376" s="140" t="s">
        <v>695</v>
      </c>
      <c r="C376" s="140"/>
      <c r="D376" s="140" t="s">
        <v>693</v>
      </c>
      <c r="E376" s="141">
        <f>E377</f>
        <v>0</v>
      </c>
      <c r="F376" s="141">
        <f t="shared" ref="F376:P376" si="411">F377</f>
        <v>0</v>
      </c>
      <c r="G376" s="141">
        <f t="shared" si="411"/>
        <v>0</v>
      </c>
      <c r="H376" s="141">
        <f t="shared" si="411"/>
        <v>0</v>
      </c>
      <c r="I376" s="141">
        <f t="shared" si="411"/>
        <v>0</v>
      </c>
      <c r="J376" s="141">
        <f t="shared" si="411"/>
        <v>0</v>
      </c>
      <c r="K376" s="141">
        <f t="shared" si="411"/>
        <v>0</v>
      </c>
      <c r="L376" s="141">
        <f t="shared" si="411"/>
        <v>0</v>
      </c>
      <c r="M376" s="141">
        <f t="shared" si="411"/>
        <v>0</v>
      </c>
      <c r="N376" s="141">
        <f t="shared" si="411"/>
        <v>0</v>
      </c>
      <c r="O376" s="141">
        <f t="shared" si="411"/>
        <v>0</v>
      </c>
      <c r="P376" s="141">
        <f t="shared" si="411"/>
        <v>0</v>
      </c>
      <c r="Q376" s="20"/>
      <c r="R376" s="46"/>
    </row>
    <row r="377" spans="1:18" ht="48" hidden="1" thickTop="1" thickBot="1" x14ac:dyDescent="0.25">
      <c r="A377" s="128" t="s">
        <v>256</v>
      </c>
      <c r="B377" s="128" t="s">
        <v>257</v>
      </c>
      <c r="C377" s="128" t="s">
        <v>170</v>
      </c>
      <c r="D377" s="128" t="s">
        <v>255</v>
      </c>
      <c r="E377" s="127">
        <f t="shared" si="405"/>
        <v>0</v>
      </c>
      <c r="F377" s="134"/>
      <c r="G377" s="134"/>
      <c r="H377" s="134"/>
      <c r="I377" s="134"/>
      <c r="J377" s="127">
        <f t="shared" si="406"/>
        <v>0</v>
      </c>
      <c r="K377" s="134"/>
      <c r="L377" s="134"/>
      <c r="M377" s="134"/>
      <c r="N377" s="134"/>
      <c r="O377" s="132">
        <f>K377</f>
        <v>0</v>
      </c>
      <c r="P377" s="127">
        <f t="shared" si="407"/>
        <v>0</v>
      </c>
      <c r="Q377" s="20"/>
      <c r="R377" s="46"/>
    </row>
    <row r="378" spans="1:18" ht="47.25" hidden="1" thickTop="1" thickBot="1" x14ac:dyDescent="0.25">
      <c r="A378" s="125" t="s">
        <v>1326</v>
      </c>
      <c r="B378" s="125" t="s">
        <v>697</v>
      </c>
      <c r="C378" s="125"/>
      <c r="D378" s="125" t="s">
        <v>698</v>
      </c>
      <c r="E378" s="127">
        <f t="shared" ref="E378:P379" si="412">E379</f>
        <v>0</v>
      </c>
      <c r="F378" s="127">
        <f t="shared" si="412"/>
        <v>0</v>
      </c>
      <c r="G378" s="127">
        <f t="shared" si="412"/>
        <v>0</v>
      </c>
      <c r="H378" s="127">
        <f t="shared" si="412"/>
        <v>0</v>
      </c>
      <c r="I378" s="127">
        <f t="shared" si="412"/>
        <v>0</v>
      </c>
      <c r="J378" s="127">
        <f t="shared" si="412"/>
        <v>0</v>
      </c>
      <c r="K378" s="127">
        <f t="shared" si="412"/>
        <v>0</v>
      </c>
      <c r="L378" s="127">
        <f t="shared" si="412"/>
        <v>0</v>
      </c>
      <c r="M378" s="127">
        <f t="shared" si="412"/>
        <v>0</v>
      </c>
      <c r="N378" s="127">
        <f t="shared" si="412"/>
        <v>0</v>
      </c>
      <c r="O378" s="127">
        <f t="shared" si="412"/>
        <v>0</v>
      </c>
      <c r="P378" s="127">
        <f t="shared" si="412"/>
        <v>0</v>
      </c>
      <c r="Q378" s="20"/>
      <c r="R378" s="46"/>
    </row>
    <row r="379" spans="1:18" ht="47.25" hidden="1" thickTop="1" thickBot="1" x14ac:dyDescent="0.25">
      <c r="A379" s="136" t="s">
        <v>1327</v>
      </c>
      <c r="B379" s="136" t="s">
        <v>1195</v>
      </c>
      <c r="C379" s="136"/>
      <c r="D379" s="136" t="s">
        <v>1193</v>
      </c>
      <c r="E379" s="137">
        <f t="shared" si="412"/>
        <v>0</v>
      </c>
      <c r="F379" s="137">
        <f t="shared" si="412"/>
        <v>0</v>
      </c>
      <c r="G379" s="137">
        <f t="shared" si="412"/>
        <v>0</v>
      </c>
      <c r="H379" s="137">
        <f t="shared" si="412"/>
        <v>0</v>
      </c>
      <c r="I379" s="137">
        <f t="shared" si="412"/>
        <v>0</v>
      </c>
      <c r="J379" s="137">
        <f t="shared" si="412"/>
        <v>0</v>
      </c>
      <c r="K379" s="137">
        <f t="shared" si="412"/>
        <v>0</v>
      </c>
      <c r="L379" s="137">
        <f t="shared" si="412"/>
        <v>0</v>
      </c>
      <c r="M379" s="137">
        <f t="shared" si="412"/>
        <v>0</v>
      </c>
      <c r="N379" s="137">
        <f t="shared" si="412"/>
        <v>0</v>
      </c>
      <c r="O379" s="137">
        <f t="shared" si="412"/>
        <v>0</v>
      </c>
      <c r="P379" s="137">
        <f t="shared" si="412"/>
        <v>0</v>
      </c>
      <c r="Q379" s="20"/>
      <c r="R379" s="46"/>
    </row>
    <row r="380" spans="1:18" ht="48" hidden="1" thickTop="1" thickBot="1" x14ac:dyDescent="0.25">
      <c r="A380" s="128" t="s">
        <v>1328</v>
      </c>
      <c r="B380" s="128" t="s">
        <v>1199</v>
      </c>
      <c r="C380" s="128" t="s">
        <v>1197</v>
      </c>
      <c r="D380" s="128" t="s">
        <v>1196</v>
      </c>
      <c r="E380" s="127">
        <f>F380</f>
        <v>0</v>
      </c>
      <c r="F380" s="134"/>
      <c r="G380" s="134"/>
      <c r="H380" s="134"/>
      <c r="I380" s="134"/>
      <c r="J380" s="127">
        <f>L380+O380</f>
        <v>0</v>
      </c>
      <c r="K380" s="134"/>
      <c r="L380" s="134"/>
      <c r="M380" s="134"/>
      <c r="N380" s="134"/>
      <c r="O380" s="132">
        <f>K380</f>
        <v>0</v>
      </c>
      <c r="P380" s="127">
        <f>E380+J380</f>
        <v>0</v>
      </c>
      <c r="Q380" s="20"/>
      <c r="R380" s="46"/>
    </row>
    <row r="381" spans="1:18" ht="47.25" hidden="1" thickTop="1" thickBot="1" x14ac:dyDescent="0.25">
      <c r="A381" s="125" t="s">
        <v>908</v>
      </c>
      <c r="B381" s="125" t="s">
        <v>703</v>
      </c>
      <c r="C381" s="125"/>
      <c r="D381" s="125" t="s">
        <v>704</v>
      </c>
      <c r="E381" s="127">
        <f>E382</f>
        <v>0</v>
      </c>
      <c r="F381" s="127">
        <f t="shared" ref="F381:P382" si="413">F382</f>
        <v>0</v>
      </c>
      <c r="G381" s="127">
        <f t="shared" si="413"/>
        <v>0</v>
      </c>
      <c r="H381" s="127">
        <f t="shared" si="413"/>
        <v>0</v>
      </c>
      <c r="I381" s="127">
        <f t="shared" si="413"/>
        <v>0</v>
      </c>
      <c r="J381" s="127">
        <f t="shared" si="413"/>
        <v>0</v>
      </c>
      <c r="K381" s="127">
        <f t="shared" si="413"/>
        <v>0</v>
      </c>
      <c r="L381" s="127">
        <f t="shared" si="413"/>
        <v>0</v>
      </c>
      <c r="M381" s="127">
        <f t="shared" si="413"/>
        <v>0</v>
      </c>
      <c r="N381" s="127">
        <f t="shared" si="413"/>
        <v>0</v>
      </c>
      <c r="O381" s="127">
        <f t="shared" si="413"/>
        <v>0</v>
      </c>
      <c r="P381" s="127">
        <f t="shared" si="413"/>
        <v>0</v>
      </c>
      <c r="Q381" s="20"/>
      <c r="R381" s="46"/>
    </row>
    <row r="382" spans="1:18" ht="91.5" hidden="1" thickTop="1" thickBot="1" x14ac:dyDescent="0.25">
      <c r="A382" s="136" t="s">
        <v>909</v>
      </c>
      <c r="B382" s="136" t="s">
        <v>706</v>
      </c>
      <c r="C382" s="136"/>
      <c r="D382" s="136" t="s">
        <v>707</v>
      </c>
      <c r="E382" s="137">
        <f>E383</f>
        <v>0</v>
      </c>
      <c r="F382" s="137">
        <f t="shared" si="413"/>
        <v>0</v>
      </c>
      <c r="G382" s="137">
        <f t="shared" si="413"/>
        <v>0</v>
      </c>
      <c r="H382" s="137">
        <f t="shared" si="413"/>
        <v>0</v>
      </c>
      <c r="I382" s="137">
        <f t="shared" si="413"/>
        <v>0</v>
      </c>
      <c r="J382" s="137">
        <f t="shared" si="413"/>
        <v>0</v>
      </c>
      <c r="K382" s="137">
        <f t="shared" si="413"/>
        <v>0</v>
      </c>
      <c r="L382" s="137">
        <f t="shared" si="413"/>
        <v>0</v>
      </c>
      <c r="M382" s="137">
        <f t="shared" si="413"/>
        <v>0</v>
      </c>
      <c r="N382" s="137">
        <f t="shared" si="413"/>
        <v>0</v>
      </c>
      <c r="O382" s="137">
        <f t="shared" si="413"/>
        <v>0</v>
      </c>
      <c r="P382" s="137">
        <f t="shared" si="413"/>
        <v>0</v>
      </c>
      <c r="Q382" s="20"/>
      <c r="R382" s="46"/>
    </row>
    <row r="383" spans="1:18" ht="48" hidden="1" thickTop="1" thickBot="1" x14ac:dyDescent="0.25">
      <c r="A383" s="128" t="s">
        <v>910</v>
      </c>
      <c r="B383" s="128" t="s">
        <v>363</v>
      </c>
      <c r="C383" s="128" t="s">
        <v>43</v>
      </c>
      <c r="D383" s="128" t="s">
        <v>364</v>
      </c>
      <c r="E383" s="127">
        <f t="shared" ref="E383" si="414">F383</f>
        <v>0</v>
      </c>
      <c r="F383" s="134"/>
      <c r="G383" s="134"/>
      <c r="H383" s="134"/>
      <c r="I383" s="134"/>
      <c r="J383" s="127">
        <f>L383+O383</f>
        <v>0</v>
      </c>
      <c r="K383" s="134"/>
      <c r="L383" s="134"/>
      <c r="M383" s="134"/>
      <c r="N383" s="134"/>
      <c r="O383" s="132">
        <f>K383</f>
        <v>0</v>
      </c>
      <c r="P383" s="127">
        <f>E383+J383</f>
        <v>0</v>
      </c>
      <c r="Q383" s="20"/>
      <c r="R383" s="46"/>
    </row>
    <row r="384" spans="1:18" ht="91.5" thickTop="1" thickBot="1" x14ac:dyDescent="0.25">
      <c r="A384" s="508" t="s">
        <v>164</v>
      </c>
      <c r="B384" s="508"/>
      <c r="C384" s="508"/>
      <c r="D384" s="509" t="s">
        <v>889</v>
      </c>
      <c r="E384" s="535">
        <f>E385</f>
        <v>7070528</v>
      </c>
      <c r="F384" s="510">
        <f t="shared" ref="F384:G384" si="415">F385</f>
        <v>7070528</v>
      </c>
      <c r="G384" s="510">
        <f t="shared" si="415"/>
        <v>5498880</v>
      </c>
      <c r="H384" s="510">
        <f>H385</f>
        <v>121573</v>
      </c>
      <c r="I384" s="510">
        <f t="shared" ref="I384" si="416">I385</f>
        <v>0</v>
      </c>
      <c r="J384" s="535">
        <f>J385</f>
        <v>1200000</v>
      </c>
      <c r="K384" s="510">
        <f>K385</f>
        <v>0</v>
      </c>
      <c r="L384" s="510">
        <f>L385</f>
        <v>1200000</v>
      </c>
      <c r="M384" s="510">
        <f t="shared" ref="M384" si="417">M385</f>
        <v>0</v>
      </c>
      <c r="N384" s="510">
        <f>N385</f>
        <v>0</v>
      </c>
      <c r="O384" s="535">
        <f>O385</f>
        <v>0</v>
      </c>
      <c r="P384" s="510">
        <f t="shared" ref="P384" si="418">P385</f>
        <v>8270528</v>
      </c>
      <c r="Q384" s="20"/>
    </row>
    <row r="385" spans="1:18" ht="91.5" thickTop="1" thickBot="1" x14ac:dyDescent="0.25">
      <c r="A385" s="511" t="s">
        <v>165</v>
      </c>
      <c r="B385" s="511"/>
      <c r="C385" s="511"/>
      <c r="D385" s="512" t="s">
        <v>888</v>
      </c>
      <c r="E385" s="513">
        <f>E386+E389+E392</f>
        <v>7070528</v>
      </c>
      <c r="F385" s="513">
        <f t="shared" ref="F385:P385" si="419">F386+F389+F392</f>
        <v>7070528</v>
      </c>
      <c r="G385" s="513">
        <f>G386+G389+G392</f>
        <v>5498880</v>
      </c>
      <c r="H385" s="513">
        <f t="shared" si="419"/>
        <v>121573</v>
      </c>
      <c r="I385" s="513">
        <f t="shared" si="419"/>
        <v>0</v>
      </c>
      <c r="J385" s="513">
        <f>J386+J389+J392</f>
        <v>1200000</v>
      </c>
      <c r="K385" s="513">
        <f t="shared" si="419"/>
        <v>0</v>
      </c>
      <c r="L385" s="513">
        <f>L386+L389+L392</f>
        <v>1200000</v>
      </c>
      <c r="M385" s="513">
        <f t="shared" si="419"/>
        <v>0</v>
      </c>
      <c r="N385" s="513">
        <f t="shared" si="419"/>
        <v>0</v>
      </c>
      <c r="O385" s="513">
        <f t="shared" si="419"/>
        <v>0</v>
      </c>
      <c r="P385" s="513">
        <f t="shared" si="419"/>
        <v>8270528</v>
      </c>
      <c r="Q385" s="536" t="b">
        <f>P385=P387+P391</f>
        <v>1</v>
      </c>
      <c r="R385" s="46"/>
    </row>
    <row r="386" spans="1:18" ht="47.25" thickTop="1" thickBot="1" x14ac:dyDescent="0.25">
      <c r="A386" s="311" t="s">
        <v>834</v>
      </c>
      <c r="B386" s="311" t="s">
        <v>685</v>
      </c>
      <c r="C386" s="311"/>
      <c r="D386" s="311" t="s">
        <v>686</v>
      </c>
      <c r="E386" s="328">
        <f>SUM(E387:E388)</f>
        <v>7070528</v>
      </c>
      <c r="F386" s="328">
        <f t="shared" ref="F386" si="420">SUM(F387:F388)</f>
        <v>7070528</v>
      </c>
      <c r="G386" s="328">
        <f t="shared" ref="G386" si="421">SUM(G387:G388)</f>
        <v>5498880</v>
      </c>
      <c r="H386" s="328">
        <f t="shared" ref="H386" si="422">SUM(H387:H388)</f>
        <v>121573</v>
      </c>
      <c r="I386" s="328">
        <f t="shared" ref="I386" si="423">SUM(I387:I388)</f>
        <v>0</v>
      </c>
      <c r="J386" s="328">
        <f t="shared" ref="J386" si="424">SUM(J387:J388)</f>
        <v>0</v>
      </c>
      <c r="K386" s="328">
        <f t="shared" ref="K386" si="425">SUM(K387:K388)</f>
        <v>0</v>
      </c>
      <c r="L386" s="328">
        <f t="shared" ref="L386" si="426">SUM(L387:L388)</f>
        <v>0</v>
      </c>
      <c r="M386" s="328">
        <f t="shared" ref="M386" si="427">SUM(M387:M388)</f>
        <v>0</v>
      </c>
      <c r="N386" s="328">
        <f t="shared" ref="N386" si="428">SUM(N387:N388)</f>
        <v>0</v>
      </c>
      <c r="O386" s="328">
        <f>SUM(O387:O388)</f>
        <v>0</v>
      </c>
      <c r="P386" s="328">
        <f t="shared" ref="P386" si="429">SUM(P387:P388)</f>
        <v>7070528</v>
      </c>
      <c r="Q386" s="47"/>
      <c r="R386" s="46"/>
    </row>
    <row r="387" spans="1:18" ht="93" thickTop="1" thickBot="1" x14ac:dyDescent="0.25">
      <c r="A387" s="103" t="s">
        <v>422</v>
      </c>
      <c r="B387" s="103" t="s">
        <v>236</v>
      </c>
      <c r="C387" s="103" t="s">
        <v>234</v>
      </c>
      <c r="D387" s="103" t="s">
        <v>235</v>
      </c>
      <c r="E387" s="328">
        <f>F387</f>
        <v>7070528</v>
      </c>
      <c r="F387" s="477">
        <v>7070528</v>
      </c>
      <c r="G387" s="477">
        <v>5498880</v>
      </c>
      <c r="H387" s="477">
        <v>121573</v>
      </c>
      <c r="I387" s="477"/>
      <c r="J387" s="328">
        <f t="shared" ref="J387:J391" si="430">L387+O387</f>
        <v>0</v>
      </c>
      <c r="K387" s="477"/>
      <c r="L387" s="477"/>
      <c r="M387" s="477"/>
      <c r="N387" s="477"/>
      <c r="O387" s="474">
        <f>K387</f>
        <v>0</v>
      </c>
      <c r="P387" s="328">
        <f t="shared" ref="P387:P391" si="431">E387+J387</f>
        <v>7070528</v>
      </c>
      <c r="Q387" s="47"/>
      <c r="R387" s="46"/>
    </row>
    <row r="388" spans="1:18" ht="93" hidden="1" thickTop="1" thickBot="1" x14ac:dyDescent="0.25">
      <c r="A388" s="41" t="s">
        <v>634</v>
      </c>
      <c r="B388" s="41" t="s">
        <v>362</v>
      </c>
      <c r="C388" s="41" t="s">
        <v>626</v>
      </c>
      <c r="D388" s="41" t="s">
        <v>627</v>
      </c>
      <c r="E388" s="152">
        <f>F388</f>
        <v>0</v>
      </c>
      <c r="F388" s="129">
        <v>0</v>
      </c>
      <c r="G388" s="129"/>
      <c r="H388" s="129"/>
      <c r="I388" s="129"/>
      <c r="J388" s="127">
        <f t="shared" si="430"/>
        <v>0</v>
      </c>
      <c r="K388" s="129"/>
      <c r="L388" s="130"/>
      <c r="M388" s="130"/>
      <c r="N388" s="130"/>
      <c r="O388" s="132">
        <f t="shared" ref="O388" si="432">K388</f>
        <v>0</v>
      </c>
      <c r="P388" s="127">
        <f t="shared" ref="P388" si="433">+J388+E388</f>
        <v>0</v>
      </c>
      <c r="Q388" s="47"/>
      <c r="R388" s="46"/>
    </row>
    <row r="389" spans="1:18" ht="47.25" thickTop="1" thickBot="1" x14ac:dyDescent="0.25">
      <c r="A389" s="311" t="s">
        <v>835</v>
      </c>
      <c r="B389" s="311" t="s">
        <v>697</v>
      </c>
      <c r="C389" s="311"/>
      <c r="D389" s="311" t="s">
        <v>698</v>
      </c>
      <c r="E389" s="312">
        <f>E390</f>
        <v>0</v>
      </c>
      <c r="F389" s="312">
        <f t="shared" ref="F389:P390" si="434">F390</f>
        <v>0</v>
      </c>
      <c r="G389" s="312">
        <f t="shared" si="434"/>
        <v>0</v>
      </c>
      <c r="H389" s="312">
        <f t="shared" si="434"/>
        <v>0</v>
      </c>
      <c r="I389" s="312">
        <f t="shared" si="434"/>
        <v>0</v>
      </c>
      <c r="J389" s="312">
        <f t="shared" si="434"/>
        <v>1200000</v>
      </c>
      <c r="K389" s="312">
        <f t="shared" si="434"/>
        <v>0</v>
      </c>
      <c r="L389" s="312">
        <f t="shared" si="434"/>
        <v>1200000</v>
      </c>
      <c r="M389" s="312">
        <f t="shared" si="434"/>
        <v>0</v>
      </c>
      <c r="N389" s="312">
        <f t="shared" si="434"/>
        <v>0</v>
      </c>
      <c r="O389" s="312">
        <f t="shared" si="434"/>
        <v>0</v>
      </c>
      <c r="P389" s="312">
        <f t="shared" si="434"/>
        <v>1200000</v>
      </c>
      <c r="Q389" s="47"/>
      <c r="R389" s="46"/>
    </row>
    <row r="390" spans="1:18" ht="47.25" thickTop="1" thickBot="1" x14ac:dyDescent="0.25">
      <c r="A390" s="313" t="s">
        <v>836</v>
      </c>
      <c r="B390" s="313" t="s">
        <v>837</v>
      </c>
      <c r="C390" s="313"/>
      <c r="D390" s="313" t="s">
        <v>838</v>
      </c>
      <c r="E390" s="314">
        <f>E391</f>
        <v>0</v>
      </c>
      <c r="F390" s="314">
        <f t="shared" si="434"/>
        <v>0</v>
      </c>
      <c r="G390" s="314">
        <f t="shared" si="434"/>
        <v>0</v>
      </c>
      <c r="H390" s="314">
        <f t="shared" si="434"/>
        <v>0</v>
      </c>
      <c r="I390" s="314">
        <f t="shared" si="434"/>
        <v>0</v>
      </c>
      <c r="J390" s="314">
        <f t="shared" si="434"/>
        <v>1200000</v>
      </c>
      <c r="K390" s="314">
        <f t="shared" ref="K390:P390" si="435">K391</f>
        <v>0</v>
      </c>
      <c r="L390" s="314">
        <f t="shared" si="435"/>
        <v>1200000</v>
      </c>
      <c r="M390" s="314">
        <f t="shared" si="435"/>
        <v>0</v>
      </c>
      <c r="N390" s="314">
        <f t="shared" si="435"/>
        <v>0</v>
      </c>
      <c r="O390" s="314">
        <f t="shared" si="435"/>
        <v>0</v>
      </c>
      <c r="P390" s="314">
        <f t="shared" si="435"/>
        <v>1200000</v>
      </c>
      <c r="Q390" s="47"/>
      <c r="R390" s="46"/>
    </row>
    <row r="391" spans="1:18" ht="48" thickTop="1" thickBot="1" x14ac:dyDescent="0.25">
      <c r="A391" s="103" t="s">
        <v>1135</v>
      </c>
      <c r="B391" s="103" t="s">
        <v>1136</v>
      </c>
      <c r="C391" s="103" t="s">
        <v>51</v>
      </c>
      <c r="D391" s="103" t="s">
        <v>1137</v>
      </c>
      <c r="E391" s="328">
        <v>0</v>
      </c>
      <c r="F391" s="477"/>
      <c r="G391" s="477"/>
      <c r="H391" s="477"/>
      <c r="I391" s="477"/>
      <c r="J391" s="328">
        <f t="shared" si="430"/>
        <v>1200000</v>
      </c>
      <c r="K391" s="328"/>
      <c r="L391" s="477">
        <f>80000+60000+60000+80000+20000+100000+500000+300000</f>
        <v>1200000</v>
      </c>
      <c r="M391" s="477"/>
      <c r="N391" s="477"/>
      <c r="O391" s="474">
        <f>K391</f>
        <v>0</v>
      </c>
      <c r="P391" s="328">
        <f t="shared" si="431"/>
        <v>1200000</v>
      </c>
      <c r="Q391" s="536" t="b">
        <f>J391='d9'!F18</f>
        <v>1</v>
      </c>
    </row>
    <row r="392" spans="1:18" ht="47.25" hidden="1" thickTop="1" thickBot="1" x14ac:dyDescent="0.25">
      <c r="A392" s="125" t="s">
        <v>1259</v>
      </c>
      <c r="B392" s="125" t="s">
        <v>703</v>
      </c>
      <c r="C392" s="125"/>
      <c r="D392" s="125" t="s">
        <v>704</v>
      </c>
      <c r="E392" s="127">
        <f t="shared" ref="E392:L392" si="436">E393</f>
        <v>0</v>
      </c>
      <c r="F392" s="127">
        <f t="shared" si="436"/>
        <v>0</v>
      </c>
      <c r="G392" s="127">
        <f t="shared" si="436"/>
        <v>0</v>
      </c>
      <c r="H392" s="127">
        <f t="shared" si="436"/>
        <v>0</v>
      </c>
      <c r="I392" s="127">
        <f t="shared" si="436"/>
        <v>0</v>
      </c>
      <c r="J392" s="127">
        <f t="shared" si="436"/>
        <v>0</v>
      </c>
      <c r="K392" s="127">
        <f t="shared" si="436"/>
        <v>0</v>
      </c>
      <c r="L392" s="127">
        <f t="shared" si="436"/>
        <v>0</v>
      </c>
      <c r="M392" s="127">
        <f t="shared" ref="M392:P392" si="437">M393</f>
        <v>0</v>
      </c>
      <c r="N392" s="127">
        <f t="shared" si="437"/>
        <v>0</v>
      </c>
      <c r="O392" s="127">
        <f t="shared" si="437"/>
        <v>0</v>
      </c>
      <c r="P392" s="127">
        <f t="shared" si="437"/>
        <v>0</v>
      </c>
      <c r="Q392" s="47"/>
    </row>
    <row r="393" spans="1:18" ht="91.5" hidden="1" thickTop="1" thickBot="1" x14ac:dyDescent="0.25">
      <c r="A393" s="136" t="s">
        <v>1258</v>
      </c>
      <c r="B393" s="136" t="s">
        <v>514</v>
      </c>
      <c r="C393" s="136" t="s">
        <v>43</v>
      </c>
      <c r="D393" s="136" t="s">
        <v>515</v>
      </c>
      <c r="E393" s="137">
        <f t="shared" ref="E393" si="438">F393</f>
        <v>0</v>
      </c>
      <c r="F393" s="137">
        <v>0</v>
      </c>
      <c r="G393" s="137"/>
      <c r="H393" s="137"/>
      <c r="I393" s="137"/>
      <c r="J393" s="137">
        <f>L393+O393</f>
        <v>0</v>
      </c>
      <c r="K393" s="134">
        <v>0</v>
      </c>
      <c r="L393" s="137"/>
      <c r="M393" s="137"/>
      <c r="N393" s="137"/>
      <c r="O393" s="137">
        <f>(K393+0)</f>
        <v>0</v>
      </c>
      <c r="P393" s="137">
        <f>E393+J393</f>
        <v>0</v>
      </c>
      <c r="Q393" s="47"/>
    </row>
    <row r="394" spans="1:18" ht="91.5" thickTop="1" thickBot="1" x14ac:dyDescent="0.25">
      <c r="A394" s="508" t="s">
        <v>162</v>
      </c>
      <c r="B394" s="508"/>
      <c r="C394" s="508"/>
      <c r="D394" s="509" t="s">
        <v>898</v>
      </c>
      <c r="E394" s="535">
        <f>E395</f>
        <v>10189624</v>
      </c>
      <c r="F394" s="510">
        <f t="shared" ref="F394:G394" si="439">F395</f>
        <v>10189624</v>
      </c>
      <c r="G394" s="510">
        <f t="shared" si="439"/>
        <v>7843804</v>
      </c>
      <c r="H394" s="510">
        <f>H395</f>
        <v>329783</v>
      </c>
      <c r="I394" s="510">
        <f t="shared" ref="I394" si="440">I395</f>
        <v>0</v>
      </c>
      <c r="J394" s="535">
        <f>J395</f>
        <v>35000</v>
      </c>
      <c r="K394" s="510">
        <f>K395</f>
        <v>35000</v>
      </c>
      <c r="L394" s="510">
        <f>L395</f>
        <v>0</v>
      </c>
      <c r="M394" s="510">
        <f t="shared" ref="M394" si="441">M395</f>
        <v>0</v>
      </c>
      <c r="N394" s="510">
        <f>N395</f>
        <v>0</v>
      </c>
      <c r="O394" s="535">
        <f>O395</f>
        <v>35000</v>
      </c>
      <c r="P394" s="510">
        <f t="shared" ref="P394" si="442">P395</f>
        <v>10224624</v>
      </c>
      <c r="Q394" s="20"/>
    </row>
    <row r="395" spans="1:18" ht="91.5" thickTop="1" thickBot="1" x14ac:dyDescent="0.25">
      <c r="A395" s="511" t="s">
        <v>163</v>
      </c>
      <c r="B395" s="511"/>
      <c r="C395" s="511"/>
      <c r="D395" s="512" t="s">
        <v>897</v>
      </c>
      <c r="E395" s="513">
        <f>E396+E398</f>
        <v>10189624</v>
      </c>
      <c r="F395" s="513">
        <f t="shared" ref="F395:I395" si="443">F396+F398</f>
        <v>10189624</v>
      </c>
      <c r="G395" s="513">
        <f t="shared" si="443"/>
        <v>7843804</v>
      </c>
      <c r="H395" s="513">
        <f t="shared" si="443"/>
        <v>329783</v>
      </c>
      <c r="I395" s="513">
        <f t="shared" si="443"/>
        <v>0</v>
      </c>
      <c r="J395" s="513">
        <f>L395+O395</f>
        <v>35000</v>
      </c>
      <c r="K395" s="513">
        <f t="shared" ref="K395:O395" si="444">K396+K398</f>
        <v>35000</v>
      </c>
      <c r="L395" s="513">
        <f t="shared" si="444"/>
        <v>0</v>
      </c>
      <c r="M395" s="513">
        <f t="shared" si="444"/>
        <v>0</v>
      </c>
      <c r="N395" s="513">
        <f t="shared" si="444"/>
        <v>0</v>
      </c>
      <c r="O395" s="513">
        <f t="shared" si="444"/>
        <v>35000</v>
      </c>
      <c r="P395" s="513">
        <f>E395+J395</f>
        <v>10224624</v>
      </c>
      <c r="Q395" s="536" t="b">
        <f>P395=P397+P400+P402</f>
        <v>1</v>
      </c>
      <c r="R395" s="45"/>
    </row>
    <row r="396" spans="1:18" ht="47.25" thickTop="1" thickBot="1" x14ac:dyDescent="0.25">
      <c r="A396" s="311" t="s">
        <v>839</v>
      </c>
      <c r="B396" s="311" t="s">
        <v>685</v>
      </c>
      <c r="C396" s="311"/>
      <c r="D396" s="311" t="s">
        <v>686</v>
      </c>
      <c r="E396" s="328">
        <f>SUM(E397)</f>
        <v>10159624</v>
      </c>
      <c r="F396" s="328">
        <f t="shared" ref="F396:P396" si="445">SUM(F397)</f>
        <v>10159624</v>
      </c>
      <c r="G396" s="328">
        <f t="shared" si="445"/>
        <v>7843804</v>
      </c>
      <c r="H396" s="328">
        <f t="shared" si="445"/>
        <v>329783</v>
      </c>
      <c r="I396" s="328">
        <f t="shared" si="445"/>
        <v>0</v>
      </c>
      <c r="J396" s="328">
        <f t="shared" si="445"/>
        <v>0</v>
      </c>
      <c r="K396" s="328">
        <f t="shared" si="445"/>
        <v>0</v>
      </c>
      <c r="L396" s="328">
        <f t="shared" si="445"/>
        <v>0</v>
      </c>
      <c r="M396" s="328">
        <f t="shared" si="445"/>
        <v>0</v>
      </c>
      <c r="N396" s="328">
        <f t="shared" si="445"/>
        <v>0</v>
      </c>
      <c r="O396" s="328">
        <f t="shared" si="445"/>
        <v>0</v>
      </c>
      <c r="P396" s="328">
        <f t="shared" si="445"/>
        <v>10159624</v>
      </c>
      <c r="Q396" s="47"/>
      <c r="R396" s="45"/>
    </row>
    <row r="397" spans="1:18" ht="93" thickTop="1" thickBot="1" x14ac:dyDescent="0.25">
      <c r="A397" s="103" t="s">
        <v>418</v>
      </c>
      <c r="B397" s="103" t="s">
        <v>236</v>
      </c>
      <c r="C397" s="103" t="s">
        <v>234</v>
      </c>
      <c r="D397" s="103" t="s">
        <v>235</v>
      </c>
      <c r="E397" s="328">
        <f>F397</f>
        <v>10159624</v>
      </c>
      <c r="F397" s="477">
        <v>10159624</v>
      </c>
      <c r="G397" s="477">
        <v>7843804</v>
      </c>
      <c r="H397" s="477">
        <v>329783</v>
      </c>
      <c r="I397" s="477"/>
      <c r="J397" s="328">
        <f>L397+O397</f>
        <v>0</v>
      </c>
      <c r="K397" s="477">
        <v>0</v>
      </c>
      <c r="L397" s="477"/>
      <c r="M397" s="477"/>
      <c r="N397" s="477"/>
      <c r="O397" s="474">
        <f>K397</f>
        <v>0</v>
      </c>
      <c r="P397" s="328">
        <f>E397+J397</f>
        <v>10159624</v>
      </c>
      <c r="Q397" s="20"/>
      <c r="R397" s="45"/>
    </row>
    <row r="398" spans="1:18" ht="47.25" thickTop="1" thickBot="1" x14ac:dyDescent="0.25">
      <c r="A398" s="311" t="s">
        <v>840</v>
      </c>
      <c r="B398" s="311" t="s">
        <v>749</v>
      </c>
      <c r="C398" s="103"/>
      <c r="D398" s="311" t="s">
        <v>796</v>
      </c>
      <c r="E398" s="328">
        <f t="shared" ref="E398:P398" si="446">E399+E401</f>
        <v>30000</v>
      </c>
      <c r="F398" s="328">
        <f t="shared" si="446"/>
        <v>30000</v>
      </c>
      <c r="G398" s="328">
        <f t="shared" si="446"/>
        <v>0</v>
      </c>
      <c r="H398" s="328">
        <f t="shared" si="446"/>
        <v>0</v>
      </c>
      <c r="I398" s="328">
        <f t="shared" si="446"/>
        <v>0</v>
      </c>
      <c r="J398" s="328">
        <f t="shared" si="446"/>
        <v>35000</v>
      </c>
      <c r="K398" s="328">
        <f t="shared" si="446"/>
        <v>35000</v>
      </c>
      <c r="L398" s="328">
        <f t="shared" si="446"/>
        <v>0</v>
      </c>
      <c r="M398" s="328">
        <f t="shared" si="446"/>
        <v>0</v>
      </c>
      <c r="N398" s="328">
        <f t="shared" si="446"/>
        <v>0</v>
      </c>
      <c r="O398" s="328">
        <f t="shared" si="446"/>
        <v>35000</v>
      </c>
      <c r="P398" s="328">
        <f t="shared" si="446"/>
        <v>65000</v>
      </c>
      <c r="Q398" s="20"/>
      <c r="R398" s="47"/>
    </row>
    <row r="399" spans="1:18" ht="47.25" thickTop="1" thickBot="1" x14ac:dyDescent="0.25">
      <c r="A399" s="313" t="s">
        <v>841</v>
      </c>
      <c r="B399" s="313" t="s">
        <v>842</v>
      </c>
      <c r="C399" s="313"/>
      <c r="D399" s="313" t="s">
        <v>843</v>
      </c>
      <c r="E399" s="315">
        <f>SUM(E400)</f>
        <v>30000</v>
      </c>
      <c r="F399" s="315">
        <f t="shared" ref="F399:P399" si="447">SUM(F400)</f>
        <v>30000</v>
      </c>
      <c r="G399" s="315">
        <f t="shared" si="447"/>
        <v>0</v>
      </c>
      <c r="H399" s="315">
        <f t="shared" si="447"/>
        <v>0</v>
      </c>
      <c r="I399" s="315">
        <f t="shared" si="447"/>
        <v>0</v>
      </c>
      <c r="J399" s="315">
        <f t="shared" si="447"/>
        <v>30000</v>
      </c>
      <c r="K399" s="315">
        <f t="shared" si="447"/>
        <v>30000</v>
      </c>
      <c r="L399" s="315">
        <f t="shared" si="447"/>
        <v>0</v>
      </c>
      <c r="M399" s="315">
        <f t="shared" si="447"/>
        <v>0</v>
      </c>
      <c r="N399" s="315">
        <f t="shared" si="447"/>
        <v>0</v>
      </c>
      <c r="O399" s="315">
        <f t="shared" si="447"/>
        <v>30000</v>
      </c>
      <c r="P399" s="315">
        <f t="shared" si="447"/>
        <v>60000</v>
      </c>
      <c r="Q399" s="20"/>
      <c r="R399" s="47"/>
    </row>
    <row r="400" spans="1:18" ht="48" thickTop="1" thickBot="1" x14ac:dyDescent="0.25">
      <c r="A400" s="103" t="s">
        <v>306</v>
      </c>
      <c r="B400" s="103" t="s">
        <v>307</v>
      </c>
      <c r="C400" s="103" t="s">
        <v>308</v>
      </c>
      <c r="D400" s="103" t="s">
        <v>461</v>
      </c>
      <c r="E400" s="328">
        <f>F400</f>
        <v>30000</v>
      </c>
      <c r="F400" s="477">
        <v>30000</v>
      </c>
      <c r="G400" s="477"/>
      <c r="H400" s="477"/>
      <c r="I400" s="477"/>
      <c r="J400" s="328">
        <f>L400+O400</f>
        <v>30000</v>
      </c>
      <c r="K400" s="477">
        <v>30000</v>
      </c>
      <c r="L400" s="477"/>
      <c r="M400" s="477"/>
      <c r="N400" s="477"/>
      <c r="O400" s="474">
        <f>(K400)</f>
        <v>30000</v>
      </c>
      <c r="P400" s="328">
        <f>E400+J400</f>
        <v>60000</v>
      </c>
      <c r="Q400" s="20"/>
      <c r="R400" s="45"/>
    </row>
    <row r="401" spans="1:19" ht="47.25" thickTop="1" thickBot="1" x14ac:dyDescent="0.25">
      <c r="A401" s="313" t="s">
        <v>844</v>
      </c>
      <c r="B401" s="313" t="s">
        <v>692</v>
      </c>
      <c r="C401" s="103"/>
      <c r="D401" s="313" t="s">
        <v>845</v>
      </c>
      <c r="E401" s="315">
        <f>SUM(E402)</f>
        <v>0</v>
      </c>
      <c r="F401" s="315">
        <f t="shared" ref="F401:P401" si="448">SUM(F402)</f>
        <v>0</v>
      </c>
      <c r="G401" s="315">
        <f t="shared" si="448"/>
        <v>0</v>
      </c>
      <c r="H401" s="315">
        <f t="shared" si="448"/>
        <v>0</v>
      </c>
      <c r="I401" s="315">
        <f t="shared" si="448"/>
        <v>0</v>
      </c>
      <c r="J401" s="315">
        <f t="shared" si="448"/>
        <v>5000</v>
      </c>
      <c r="K401" s="315">
        <f t="shared" si="448"/>
        <v>5000</v>
      </c>
      <c r="L401" s="315">
        <f t="shared" si="448"/>
        <v>0</v>
      </c>
      <c r="M401" s="315">
        <f t="shared" si="448"/>
        <v>0</v>
      </c>
      <c r="N401" s="315">
        <f t="shared" si="448"/>
        <v>0</v>
      </c>
      <c r="O401" s="315">
        <f t="shared" si="448"/>
        <v>5000</v>
      </c>
      <c r="P401" s="315">
        <f t="shared" si="448"/>
        <v>5000</v>
      </c>
      <c r="Q401" s="20"/>
    </row>
    <row r="402" spans="1:19" ht="48" thickTop="1" thickBot="1" x14ac:dyDescent="0.25">
      <c r="A402" s="103" t="s">
        <v>368</v>
      </c>
      <c r="B402" s="103" t="s">
        <v>369</v>
      </c>
      <c r="C402" s="103" t="s">
        <v>170</v>
      </c>
      <c r="D402" s="103" t="s">
        <v>370</v>
      </c>
      <c r="E402" s="328">
        <f>F402</f>
        <v>0</v>
      </c>
      <c r="F402" s="477"/>
      <c r="G402" s="477"/>
      <c r="H402" s="477"/>
      <c r="I402" s="477"/>
      <c r="J402" s="328">
        <f>L402+O402</f>
        <v>5000</v>
      </c>
      <c r="K402" s="477">
        <v>5000</v>
      </c>
      <c r="L402" s="477"/>
      <c r="M402" s="477"/>
      <c r="N402" s="477"/>
      <c r="O402" s="474">
        <f>K402</f>
        <v>5000</v>
      </c>
      <c r="P402" s="328">
        <f>E402+J402</f>
        <v>5000</v>
      </c>
      <c r="Q402" s="20"/>
      <c r="R402" s="45"/>
    </row>
    <row r="403" spans="1:19" ht="46.5" thickTop="1" thickBot="1" x14ac:dyDescent="0.25">
      <c r="A403" s="508" t="s">
        <v>168</v>
      </c>
      <c r="B403" s="508"/>
      <c r="C403" s="508"/>
      <c r="D403" s="509" t="s">
        <v>27</v>
      </c>
      <c r="E403" s="535">
        <f>E404</f>
        <v>33294217.780000001</v>
      </c>
      <c r="F403" s="510">
        <f t="shared" ref="F403:G403" si="449">F404</f>
        <v>33294217.780000001</v>
      </c>
      <c r="G403" s="510">
        <f t="shared" si="449"/>
        <v>8214383</v>
      </c>
      <c r="H403" s="510">
        <f>H404</f>
        <v>258373</v>
      </c>
      <c r="I403" s="510">
        <f t="shared" ref="I403" si="450">I404</f>
        <v>0</v>
      </c>
      <c r="J403" s="535">
        <f>J404</f>
        <v>0</v>
      </c>
      <c r="K403" s="510">
        <f>K404</f>
        <v>0</v>
      </c>
      <c r="L403" s="510">
        <f>L404</f>
        <v>0</v>
      </c>
      <c r="M403" s="510">
        <f t="shared" ref="M403" si="451">M404</f>
        <v>0</v>
      </c>
      <c r="N403" s="510">
        <f>N404</f>
        <v>0</v>
      </c>
      <c r="O403" s="535">
        <f>O404</f>
        <v>0</v>
      </c>
      <c r="P403" s="510">
        <f t="shared" ref="P403" si="452">P404</f>
        <v>33294217.780000001</v>
      </c>
      <c r="Q403" s="20"/>
    </row>
    <row r="404" spans="1:19" ht="91.5" thickTop="1" thickBot="1" x14ac:dyDescent="0.25">
      <c r="A404" s="511" t="s">
        <v>169</v>
      </c>
      <c r="B404" s="511"/>
      <c r="C404" s="511"/>
      <c r="D404" s="512" t="s">
        <v>40</v>
      </c>
      <c r="E404" s="513">
        <f>E405+E411+E418+E408</f>
        <v>33294217.780000001</v>
      </c>
      <c r="F404" s="513">
        <f t="shared" ref="F404:P404" si="453">F405+F411+F418+F408</f>
        <v>33294217.780000001</v>
      </c>
      <c r="G404" s="513">
        <f t="shared" si="453"/>
        <v>8214383</v>
      </c>
      <c r="H404" s="513">
        <f t="shared" si="453"/>
        <v>258373</v>
      </c>
      <c r="I404" s="513">
        <f t="shared" si="453"/>
        <v>0</v>
      </c>
      <c r="J404" s="513">
        <f t="shared" si="453"/>
        <v>0</v>
      </c>
      <c r="K404" s="513">
        <f t="shared" si="453"/>
        <v>0</v>
      </c>
      <c r="L404" s="513">
        <f t="shared" si="453"/>
        <v>0</v>
      </c>
      <c r="M404" s="513">
        <f t="shared" si="453"/>
        <v>0</v>
      </c>
      <c r="N404" s="513">
        <f t="shared" si="453"/>
        <v>0</v>
      </c>
      <c r="O404" s="513">
        <f t="shared" si="453"/>
        <v>0</v>
      </c>
      <c r="P404" s="513">
        <f t="shared" si="453"/>
        <v>33294217.780000001</v>
      </c>
      <c r="Q404" s="536" t="b">
        <f>P404=P406+P412+P414</f>
        <v>1</v>
      </c>
      <c r="R404" s="45"/>
    </row>
    <row r="405" spans="1:19" ht="47.25" thickTop="1" thickBot="1" x14ac:dyDescent="0.25">
      <c r="A405" s="311" t="s">
        <v>846</v>
      </c>
      <c r="B405" s="311" t="s">
        <v>685</v>
      </c>
      <c r="C405" s="311"/>
      <c r="D405" s="311" t="s">
        <v>686</v>
      </c>
      <c r="E405" s="328">
        <f>SUM(E406:E407)</f>
        <v>10337342</v>
      </c>
      <c r="F405" s="328">
        <f t="shared" ref="F405:P405" si="454">SUM(F406:F407)</f>
        <v>10337342</v>
      </c>
      <c r="G405" s="328">
        <f t="shared" si="454"/>
        <v>8214383</v>
      </c>
      <c r="H405" s="328">
        <f t="shared" si="454"/>
        <v>258373</v>
      </c>
      <c r="I405" s="328">
        <f t="shared" si="454"/>
        <v>0</v>
      </c>
      <c r="J405" s="328">
        <f t="shared" si="454"/>
        <v>0</v>
      </c>
      <c r="K405" s="328">
        <f t="shared" si="454"/>
        <v>0</v>
      </c>
      <c r="L405" s="328">
        <f t="shared" si="454"/>
        <v>0</v>
      </c>
      <c r="M405" s="328">
        <f t="shared" si="454"/>
        <v>0</v>
      </c>
      <c r="N405" s="328">
        <f t="shared" si="454"/>
        <v>0</v>
      </c>
      <c r="O405" s="328">
        <f t="shared" si="454"/>
        <v>0</v>
      </c>
      <c r="P405" s="328">
        <f t="shared" si="454"/>
        <v>10337342</v>
      </c>
      <c r="Q405" s="47"/>
      <c r="R405" s="50"/>
    </row>
    <row r="406" spans="1:19" ht="93" thickTop="1" thickBot="1" x14ac:dyDescent="0.25">
      <c r="A406" s="103" t="s">
        <v>420</v>
      </c>
      <c r="B406" s="103" t="s">
        <v>236</v>
      </c>
      <c r="C406" s="103" t="s">
        <v>234</v>
      </c>
      <c r="D406" s="103" t="s">
        <v>235</v>
      </c>
      <c r="E406" s="328">
        <f>F406</f>
        <v>10337342</v>
      </c>
      <c r="F406" s="477">
        <v>10337342</v>
      </c>
      <c r="G406" s="477">
        <v>8214383</v>
      </c>
      <c r="H406" s="477">
        <v>258373</v>
      </c>
      <c r="I406" s="477"/>
      <c r="J406" s="328">
        <f>L406+O406</f>
        <v>0</v>
      </c>
      <c r="K406" s="477">
        <v>0</v>
      </c>
      <c r="L406" s="477"/>
      <c r="M406" s="477"/>
      <c r="N406" s="477"/>
      <c r="O406" s="474">
        <f>K406</f>
        <v>0</v>
      </c>
      <c r="P406" s="328">
        <f>E406+J406</f>
        <v>10337342</v>
      </c>
      <c r="Q406" s="47"/>
      <c r="R406" s="50"/>
      <c r="S406" s="47"/>
    </row>
    <row r="407" spans="1:19" ht="93" hidden="1" thickTop="1" thickBot="1" x14ac:dyDescent="0.25">
      <c r="A407" s="128" t="s">
        <v>635</v>
      </c>
      <c r="B407" s="128" t="s">
        <v>362</v>
      </c>
      <c r="C407" s="128" t="s">
        <v>626</v>
      </c>
      <c r="D407" s="128" t="s">
        <v>627</v>
      </c>
      <c r="E407" s="152">
        <f>F407</f>
        <v>0</v>
      </c>
      <c r="F407" s="129"/>
      <c r="G407" s="129"/>
      <c r="H407" s="129"/>
      <c r="I407" s="129"/>
      <c r="J407" s="127">
        <f t="shared" ref="J407" si="455">L407+O407</f>
        <v>0</v>
      </c>
      <c r="K407" s="129"/>
      <c r="L407" s="130"/>
      <c r="M407" s="130"/>
      <c r="N407" s="130"/>
      <c r="O407" s="132">
        <f t="shared" ref="O407" si="456">K407</f>
        <v>0</v>
      </c>
      <c r="P407" s="127">
        <f t="shared" ref="P407" si="457">+J407+E407</f>
        <v>0</v>
      </c>
      <c r="Q407" s="47"/>
      <c r="R407" s="50"/>
    </row>
    <row r="408" spans="1:19" ht="47.25" hidden="1" thickTop="1" thickBot="1" x14ac:dyDescent="0.25">
      <c r="A408" s="136" t="s">
        <v>1214</v>
      </c>
      <c r="B408" s="136" t="s">
        <v>692</v>
      </c>
      <c r="C408" s="136"/>
      <c r="D408" s="136" t="s">
        <v>690</v>
      </c>
      <c r="E408" s="165">
        <f>E409</f>
        <v>0</v>
      </c>
      <c r="F408" s="165">
        <f t="shared" ref="F408:P409" si="458">F409</f>
        <v>0</v>
      </c>
      <c r="G408" s="165">
        <f t="shared" si="458"/>
        <v>0</v>
      </c>
      <c r="H408" s="165">
        <f t="shared" si="458"/>
        <v>0</v>
      </c>
      <c r="I408" s="165">
        <f t="shared" si="458"/>
        <v>0</v>
      </c>
      <c r="J408" s="165">
        <f t="shared" si="458"/>
        <v>0</v>
      </c>
      <c r="K408" s="165">
        <f t="shared" si="458"/>
        <v>0</v>
      </c>
      <c r="L408" s="165">
        <f t="shared" si="458"/>
        <v>0</v>
      </c>
      <c r="M408" s="165">
        <f t="shared" si="458"/>
        <v>0</v>
      </c>
      <c r="N408" s="165">
        <f t="shared" si="458"/>
        <v>0</v>
      </c>
      <c r="O408" s="165">
        <f t="shared" si="458"/>
        <v>0</v>
      </c>
      <c r="P408" s="165">
        <f t="shared" si="458"/>
        <v>0</v>
      </c>
      <c r="Q408" s="47"/>
      <c r="R408" s="50"/>
    </row>
    <row r="409" spans="1:19" ht="48" hidden="1" thickTop="1" thickBot="1" x14ac:dyDescent="0.25">
      <c r="A409" s="140" t="s">
        <v>1215</v>
      </c>
      <c r="B409" s="140" t="s">
        <v>695</v>
      </c>
      <c r="C409" s="140"/>
      <c r="D409" s="140" t="s">
        <v>693</v>
      </c>
      <c r="E409" s="141">
        <f>E410</f>
        <v>0</v>
      </c>
      <c r="F409" s="141">
        <f t="shared" si="458"/>
        <v>0</v>
      </c>
      <c r="G409" s="141">
        <f t="shared" si="458"/>
        <v>0</v>
      </c>
      <c r="H409" s="141">
        <f t="shared" si="458"/>
        <v>0</v>
      </c>
      <c r="I409" s="141">
        <f t="shared" si="458"/>
        <v>0</v>
      </c>
      <c r="J409" s="141">
        <f t="shared" si="458"/>
        <v>0</v>
      </c>
      <c r="K409" s="141">
        <f t="shared" si="458"/>
        <v>0</v>
      </c>
      <c r="L409" s="141">
        <f t="shared" si="458"/>
        <v>0</v>
      </c>
      <c r="M409" s="141">
        <f t="shared" si="458"/>
        <v>0</v>
      </c>
      <c r="N409" s="141">
        <f t="shared" si="458"/>
        <v>0</v>
      </c>
      <c r="O409" s="141">
        <f t="shared" si="458"/>
        <v>0</v>
      </c>
      <c r="P409" s="141">
        <f t="shared" si="458"/>
        <v>0</v>
      </c>
      <c r="Q409" s="47"/>
      <c r="R409" s="50"/>
    </row>
    <row r="410" spans="1:19" ht="48" hidden="1" thickTop="1" thickBot="1" x14ac:dyDescent="0.25">
      <c r="A410" s="128" t="s">
        <v>1216</v>
      </c>
      <c r="B410" s="128" t="s">
        <v>257</v>
      </c>
      <c r="C410" s="128" t="s">
        <v>170</v>
      </c>
      <c r="D410" s="128" t="s">
        <v>255</v>
      </c>
      <c r="E410" s="127">
        <f t="shared" ref="E410" si="459">F410</f>
        <v>0</v>
      </c>
      <c r="F410" s="134"/>
      <c r="G410" s="134"/>
      <c r="H410" s="134"/>
      <c r="I410" s="134"/>
      <c r="J410" s="127">
        <f t="shared" ref="J410" si="460">L410+O410</f>
        <v>0</v>
      </c>
      <c r="K410" s="134"/>
      <c r="L410" s="134"/>
      <c r="M410" s="134"/>
      <c r="N410" s="134"/>
      <c r="O410" s="132">
        <f>K410</f>
        <v>0</v>
      </c>
      <c r="P410" s="127">
        <f t="shared" ref="P410" si="461">E410+J410</f>
        <v>0</v>
      </c>
      <c r="Q410" s="47"/>
      <c r="R410" s="50"/>
    </row>
    <row r="411" spans="1:19" ht="47.25" thickTop="1" thickBot="1" x14ac:dyDescent="0.25">
      <c r="A411" s="311" t="s">
        <v>847</v>
      </c>
      <c r="B411" s="311" t="s">
        <v>697</v>
      </c>
      <c r="C411" s="311"/>
      <c r="D411" s="311" t="s">
        <v>698</v>
      </c>
      <c r="E411" s="312">
        <f t="shared" ref="E411:P411" si="462">E412+E413+E415</f>
        <v>22956875.780000001</v>
      </c>
      <c r="F411" s="312">
        <f t="shared" si="462"/>
        <v>22956875.780000001</v>
      </c>
      <c r="G411" s="312">
        <f t="shared" si="462"/>
        <v>0</v>
      </c>
      <c r="H411" s="312">
        <f t="shared" si="462"/>
        <v>0</v>
      </c>
      <c r="I411" s="312">
        <f t="shared" si="462"/>
        <v>0</v>
      </c>
      <c r="J411" s="312">
        <f t="shared" si="462"/>
        <v>0</v>
      </c>
      <c r="K411" s="312">
        <f t="shared" si="462"/>
        <v>0</v>
      </c>
      <c r="L411" s="312">
        <f t="shared" si="462"/>
        <v>0</v>
      </c>
      <c r="M411" s="312">
        <f t="shared" si="462"/>
        <v>0</v>
      </c>
      <c r="N411" s="312">
        <f t="shared" si="462"/>
        <v>0</v>
      </c>
      <c r="O411" s="312">
        <f t="shared" si="462"/>
        <v>0</v>
      </c>
      <c r="P411" s="312">
        <f t="shared" si="462"/>
        <v>22956875.780000001</v>
      </c>
      <c r="Q411" s="47"/>
      <c r="R411" s="50"/>
    </row>
    <row r="412" spans="1:19" ht="47.25" thickTop="1" thickBot="1" x14ac:dyDescent="0.25">
      <c r="A412" s="564">
        <v>3718600</v>
      </c>
      <c r="B412" s="564">
        <v>8600</v>
      </c>
      <c r="C412" s="313" t="s">
        <v>362</v>
      </c>
      <c r="D412" s="564" t="s">
        <v>452</v>
      </c>
      <c r="E412" s="315">
        <f>F412</f>
        <v>525644</v>
      </c>
      <c r="F412" s="315">
        <v>525644</v>
      </c>
      <c r="G412" s="315"/>
      <c r="H412" s="315"/>
      <c r="I412" s="315"/>
      <c r="J412" s="315">
        <f>L412+O412</f>
        <v>0</v>
      </c>
      <c r="K412" s="315"/>
      <c r="L412" s="315"/>
      <c r="M412" s="315"/>
      <c r="N412" s="315"/>
      <c r="O412" s="565">
        <f>K412</f>
        <v>0</v>
      </c>
      <c r="P412" s="315">
        <f>E412+J412</f>
        <v>525644</v>
      </c>
      <c r="Q412" s="20"/>
    </row>
    <row r="413" spans="1:19" ht="47.25" thickTop="1" thickBot="1" x14ac:dyDescent="0.25">
      <c r="A413" s="564">
        <v>3718700</v>
      </c>
      <c r="B413" s="564">
        <v>8700</v>
      </c>
      <c r="C413" s="313"/>
      <c r="D413" s="564" t="s">
        <v>848</v>
      </c>
      <c r="E413" s="315">
        <f t="shared" ref="E413:P413" si="463">E414</f>
        <v>22431231.780000001</v>
      </c>
      <c r="F413" s="315">
        <f t="shared" si="463"/>
        <v>22431231.780000001</v>
      </c>
      <c r="G413" s="315">
        <f t="shared" si="463"/>
        <v>0</v>
      </c>
      <c r="H413" s="315">
        <f t="shared" si="463"/>
        <v>0</v>
      </c>
      <c r="I413" s="315">
        <f t="shared" si="463"/>
        <v>0</v>
      </c>
      <c r="J413" s="315">
        <f t="shared" si="463"/>
        <v>0</v>
      </c>
      <c r="K413" s="315">
        <f t="shared" si="463"/>
        <v>0</v>
      </c>
      <c r="L413" s="315">
        <f t="shared" si="463"/>
        <v>0</v>
      </c>
      <c r="M413" s="315">
        <f t="shared" si="463"/>
        <v>0</v>
      </c>
      <c r="N413" s="315">
        <f t="shared" si="463"/>
        <v>0</v>
      </c>
      <c r="O413" s="315">
        <f t="shared" si="463"/>
        <v>0</v>
      </c>
      <c r="P413" s="315">
        <f t="shared" si="463"/>
        <v>22431231.780000001</v>
      </c>
      <c r="Q413" s="20"/>
    </row>
    <row r="414" spans="1:19" ht="69" customHeight="1" thickTop="1" thickBot="1" x14ac:dyDescent="0.25">
      <c r="A414" s="330">
        <v>3718710</v>
      </c>
      <c r="B414" s="330">
        <v>8710</v>
      </c>
      <c r="C414" s="103" t="s">
        <v>42</v>
      </c>
      <c r="D414" s="485" t="s">
        <v>641</v>
      </c>
      <c r="E414" s="328">
        <f>F414</f>
        <v>22431231.780000001</v>
      </c>
      <c r="F414" s="477">
        <f>50431231.78-20000000-8000000</f>
        <v>22431231.780000001</v>
      </c>
      <c r="G414" s="477"/>
      <c r="H414" s="477"/>
      <c r="I414" s="477"/>
      <c r="J414" s="328">
        <f>L414+O414</f>
        <v>0</v>
      </c>
      <c r="K414" s="477"/>
      <c r="L414" s="477"/>
      <c r="M414" s="477"/>
      <c r="N414" s="477"/>
      <c r="O414" s="474">
        <f>K414</f>
        <v>0</v>
      </c>
      <c r="P414" s="328">
        <f>E414+J414</f>
        <v>22431231.780000001</v>
      </c>
      <c r="Q414" s="20"/>
    </row>
    <row r="415" spans="1:19" ht="47.25" hidden="1" thickTop="1" thickBot="1" x14ac:dyDescent="0.25">
      <c r="A415" s="166">
        <v>3718800</v>
      </c>
      <c r="B415" s="166">
        <v>8800</v>
      </c>
      <c r="C415" s="136"/>
      <c r="D415" s="166" t="s">
        <v>856</v>
      </c>
      <c r="E415" s="137">
        <f>E416</f>
        <v>0</v>
      </c>
      <c r="F415" s="137">
        <f>F416</f>
        <v>0</v>
      </c>
      <c r="G415" s="137">
        <f t="shared" ref="G415:P416" si="464">G416</f>
        <v>0</v>
      </c>
      <c r="H415" s="137">
        <f t="shared" si="464"/>
        <v>0</v>
      </c>
      <c r="I415" s="137">
        <f t="shared" si="464"/>
        <v>0</v>
      </c>
      <c r="J415" s="137">
        <f t="shared" si="464"/>
        <v>0</v>
      </c>
      <c r="K415" s="137">
        <f t="shared" si="464"/>
        <v>0</v>
      </c>
      <c r="L415" s="137">
        <f t="shared" si="464"/>
        <v>0</v>
      </c>
      <c r="M415" s="137">
        <f t="shared" si="464"/>
        <v>0</v>
      </c>
      <c r="N415" s="137">
        <f t="shared" si="464"/>
        <v>0</v>
      </c>
      <c r="O415" s="137">
        <f t="shared" si="464"/>
        <v>0</v>
      </c>
      <c r="P415" s="137">
        <f t="shared" si="464"/>
        <v>0</v>
      </c>
      <c r="Q415" s="20"/>
    </row>
    <row r="416" spans="1:19" ht="93" hidden="1" thickTop="1" thickBot="1" x14ac:dyDescent="0.25">
      <c r="A416" s="167">
        <v>3718880</v>
      </c>
      <c r="B416" s="167">
        <v>8880</v>
      </c>
      <c r="C416" s="140"/>
      <c r="D416" s="153" t="s">
        <v>1162</v>
      </c>
      <c r="E416" s="141">
        <f>E417</f>
        <v>0</v>
      </c>
      <c r="F416" s="141">
        <f t="shared" ref="F416" si="465">F417</f>
        <v>0</v>
      </c>
      <c r="G416" s="141">
        <f t="shared" si="464"/>
        <v>0</v>
      </c>
      <c r="H416" s="141">
        <f t="shared" si="464"/>
        <v>0</v>
      </c>
      <c r="I416" s="141">
        <f t="shared" si="464"/>
        <v>0</v>
      </c>
      <c r="J416" s="141">
        <f t="shared" si="464"/>
        <v>0</v>
      </c>
      <c r="K416" s="141">
        <f t="shared" si="464"/>
        <v>0</v>
      </c>
      <c r="L416" s="141">
        <f t="shared" si="464"/>
        <v>0</v>
      </c>
      <c r="M416" s="141">
        <f t="shared" si="464"/>
        <v>0</v>
      </c>
      <c r="N416" s="141">
        <f t="shared" si="464"/>
        <v>0</v>
      </c>
      <c r="O416" s="141">
        <f t="shared" si="464"/>
        <v>0</v>
      </c>
      <c r="P416" s="141">
        <f t="shared" si="464"/>
        <v>0</v>
      </c>
      <c r="Q416" s="20"/>
    </row>
    <row r="417" spans="1:18" ht="93" hidden="1" thickTop="1" thickBot="1" x14ac:dyDescent="0.25">
      <c r="A417" s="128">
        <v>3718881</v>
      </c>
      <c r="B417" s="128">
        <v>8881</v>
      </c>
      <c r="C417" s="128" t="s">
        <v>170</v>
      </c>
      <c r="D417" s="128" t="s">
        <v>1163</v>
      </c>
      <c r="E417" s="152">
        <f>F417</f>
        <v>0</v>
      </c>
      <c r="F417" s="129">
        <f>(2500000)-2500000</f>
        <v>0</v>
      </c>
      <c r="G417" s="129"/>
      <c r="H417" s="129"/>
      <c r="I417" s="129"/>
      <c r="J417" s="127">
        <f t="shared" ref="J417" si="466">L417+O417</f>
        <v>0</v>
      </c>
      <c r="K417" s="129"/>
      <c r="L417" s="130"/>
      <c r="M417" s="130"/>
      <c r="N417" s="130"/>
      <c r="O417" s="132">
        <f t="shared" ref="O417" si="467">K417</f>
        <v>0</v>
      </c>
      <c r="P417" s="127">
        <f t="shared" ref="P417" si="468">+J417+E417</f>
        <v>0</v>
      </c>
      <c r="Q417" s="20"/>
    </row>
    <row r="418" spans="1:18" ht="47.25" hidden="1" thickTop="1" thickBot="1" x14ac:dyDescent="0.25">
      <c r="A418" s="125" t="s">
        <v>849</v>
      </c>
      <c r="B418" s="125" t="s">
        <v>703</v>
      </c>
      <c r="C418" s="125"/>
      <c r="D418" s="125" t="s">
        <v>704</v>
      </c>
      <c r="E418" s="127">
        <f>E419</f>
        <v>0</v>
      </c>
      <c r="F418" s="127">
        <f t="shared" ref="F418:P419" si="469">F419</f>
        <v>0</v>
      </c>
      <c r="G418" s="127">
        <f t="shared" si="469"/>
        <v>0</v>
      </c>
      <c r="H418" s="127">
        <f t="shared" si="469"/>
        <v>0</v>
      </c>
      <c r="I418" s="127">
        <f t="shared" si="469"/>
        <v>0</v>
      </c>
      <c r="J418" s="127">
        <f t="shared" si="469"/>
        <v>0</v>
      </c>
      <c r="K418" s="127">
        <f t="shared" si="469"/>
        <v>0</v>
      </c>
      <c r="L418" s="127">
        <f t="shared" si="469"/>
        <v>0</v>
      </c>
      <c r="M418" s="127">
        <f t="shared" si="469"/>
        <v>0</v>
      </c>
      <c r="N418" s="127">
        <f t="shared" si="469"/>
        <v>0</v>
      </c>
      <c r="O418" s="127">
        <f t="shared" si="469"/>
        <v>0</v>
      </c>
      <c r="P418" s="127">
        <f t="shared" si="469"/>
        <v>0</v>
      </c>
      <c r="Q418" s="20"/>
    </row>
    <row r="419" spans="1:18" ht="47.25" hidden="1" thickTop="1" thickBot="1" x14ac:dyDescent="0.25">
      <c r="A419" s="166">
        <v>3719100</v>
      </c>
      <c r="B419" s="136" t="s">
        <v>851</v>
      </c>
      <c r="C419" s="136"/>
      <c r="D419" s="136" t="s">
        <v>850</v>
      </c>
      <c r="E419" s="137">
        <f>E420</f>
        <v>0</v>
      </c>
      <c r="F419" s="137">
        <f t="shared" si="469"/>
        <v>0</v>
      </c>
      <c r="G419" s="137">
        <f t="shared" si="469"/>
        <v>0</v>
      </c>
      <c r="H419" s="137">
        <f t="shared" si="469"/>
        <v>0</v>
      </c>
      <c r="I419" s="137">
        <f t="shared" si="469"/>
        <v>0</v>
      </c>
      <c r="J419" s="137">
        <f t="shared" si="469"/>
        <v>0</v>
      </c>
      <c r="K419" s="137">
        <f t="shared" si="469"/>
        <v>0</v>
      </c>
      <c r="L419" s="137">
        <f t="shared" si="469"/>
        <v>0</v>
      </c>
      <c r="M419" s="137">
        <f t="shared" si="469"/>
        <v>0</v>
      </c>
      <c r="N419" s="137">
        <f t="shared" si="469"/>
        <v>0</v>
      </c>
      <c r="O419" s="137">
        <f t="shared" si="469"/>
        <v>0</v>
      </c>
      <c r="P419" s="137">
        <f t="shared" si="469"/>
        <v>0</v>
      </c>
      <c r="Q419" s="20"/>
    </row>
    <row r="420" spans="1:18" ht="51" hidden="1" customHeight="1" thickTop="1" thickBot="1" x14ac:dyDescent="0.25">
      <c r="A420" s="151">
        <v>3719110</v>
      </c>
      <c r="B420" s="151">
        <v>9110</v>
      </c>
      <c r="C420" s="128" t="s">
        <v>43</v>
      </c>
      <c r="D420" s="414" t="s">
        <v>451</v>
      </c>
      <c r="E420" s="127">
        <f>F420</f>
        <v>0</v>
      </c>
      <c r="F420" s="134">
        <v>0</v>
      </c>
      <c r="G420" s="134"/>
      <c r="H420" s="134"/>
      <c r="I420" s="134"/>
      <c r="J420" s="127">
        <f>L420+O420</f>
        <v>0</v>
      </c>
      <c r="K420" s="134"/>
      <c r="L420" s="134"/>
      <c r="M420" s="134"/>
      <c r="N420" s="134"/>
      <c r="O420" s="132">
        <f>K420</f>
        <v>0</v>
      </c>
      <c r="P420" s="127">
        <f>E420+J420</f>
        <v>0</v>
      </c>
      <c r="Q420" s="20"/>
    </row>
    <row r="421" spans="1:18" ht="111" customHeight="1" thickTop="1" thickBot="1" x14ac:dyDescent="0.25">
      <c r="A421" s="642" t="s">
        <v>381</v>
      </c>
      <c r="B421" s="642" t="s">
        <v>381</v>
      </c>
      <c r="C421" s="642" t="s">
        <v>381</v>
      </c>
      <c r="D421" s="642" t="s">
        <v>391</v>
      </c>
      <c r="E421" s="641">
        <f t="shared" ref="E421:P421" si="470">E16+E45+E214+E103+E133+E193++E313+E338+E404+E366+E385+E395+E347+E278+E250</f>
        <v>3716414441.2000003</v>
      </c>
      <c r="F421" s="641">
        <f t="shared" si="470"/>
        <v>3716414441.2000003</v>
      </c>
      <c r="G421" s="641">
        <f t="shared" si="470"/>
        <v>1874965283</v>
      </c>
      <c r="H421" s="641">
        <f t="shared" si="470"/>
        <v>196990859</v>
      </c>
      <c r="I421" s="641">
        <f t="shared" si="470"/>
        <v>0</v>
      </c>
      <c r="J421" s="641">
        <f t="shared" si="470"/>
        <v>469968948.80000001</v>
      </c>
      <c r="K421" s="641">
        <f t="shared" si="470"/>
        <v>234407996.80000001</v>
      </c>
      <c r="L421" s="641">
        <f t="shared" si="470"/>
        <v>230921222</v>
      </c>
      <c r="M421" s="641">
        <f t="shared" si="470"/>
        <v>65285830</v>
      </c>
      <c r="N421" s="641">
        <f t="shared" si="470"/>
        <v>18851671</v>
      </c>
      <c r="O421" s="641">
        <f t="shared" si="470"/>
        <v>239047726.80000001</v>
      </c>
      <c r="P421" s="641">
        <f t="shared" si="470"/>
        <v>4186383390.0000005</v>
      </c>
      <c r="Q421" s="79" t="b">
        <f>P421=J421+E421</f>
        <v>1</v>
      </c>
    </row>
    <row r="422" spans="1:18" ht="46.5" thickTop="1" x14ac:dyDescent="0.2">
      <c r="A422" s="719" t="s">
        <v>1564</v>
      </c>
      <c r="B422" s="720"/>
      <c r="C422" s="720"/>
      <c r="D422" s="720"/>
      <c r="E422" s="720"/>
      <c r="F422" s="720"/>
      <c r="G422" s="720"/>
      <c r="H422" s="720"/>
      <c r="I422" s="720"/>
      <c r="J422" s="720"/>
      <c r="K422" s="720"/>
      <c r="L422" s="720"/>
      <c r="M422" s="720"/>
      <c r="N422" s="720"/>
      <c r="O422" s="720"/>
      <c r="P422" s="720"/>
      <c r="Q422" s="56"/>
    </row>
    <row r="423" spans="1:18" ht="60.75" hidden="1" x14ac:dyDescent="0.2">
      <c r="A423" s="15"/>
      <c r="B423" s="16"/>
      <c r="C423" s="16"/>
      <c r="D423" s="16"/>
      <c r="E423" s="588">
        <f>F423</f>
        <v>3716414441.1999998</v>
      </c>
      <c r="F423" s="588">
        <v>3716414441.1999998</v>
      </c>
      <c r="G423" s="588">
        <f>95820900+1446614253+3269881+127110999+52092425+53854513+94248348+1953964</f>
        <v>1874965283</v>
      </c>
      <c r="H423" s="588">
        <f>6241293+170645348+208800+8158262+4493410+2946945+4237921+58880</f>
        <v>196990859</v>
      </c>
      <c r="I423" s="588">
        <v>0</v>
      </c>
      <c r="J423" s="588">
        <f>(480219450.8+'d2'!E42-'d4'!O28)</f>
        <v>469968948.80000001</v>
      </c>
      <c r="K423" s="588">
        <f>(480219450.8+'d2'!F42-'d4'!P28-1200000-5215800-229145152)</f>
        <v>234407996.80000001</v>
      </c>
      <c r="L423" s="588">
        <f>(2604400+176000+570000+1000000)+206347210+6239260+10895910+1888442+1200000</f>
        <v>230921222</v>
      </c>
      <c r="M423" s="588">
        <f>53944610+2604685+8032370+704165</f>
        <v>65285830</v>
      </c>
      <c r="N423" s="588">
        <f>17336870+705805+284620+524376</f>
        <v>18851671</v>
      </c>
      <c r="O423" s="588">
        <f>480219450.8+'d2'!F42-'d4'!O28-1200000-5215800-229145152+865400+3487390+24000+237940+25000</f>
        <v>239047726.80000001</v>
      </c>
      <c r="P423" s="588">
        <f>4196633892+'d2'!C46-'d4'!Q28</f>
        <v>4186383390</v>
      </c>
      <c r="Q423" s="79" t="b">
        <f>E423+J423=P423</f>
        <v>1</v>
      </c>
      <c r="R423" s="56"/>
    </row>
    <row r="424" spans="1:18" ht="45.75" x14ac:dyDescent="0.65">
      <c r="A424" s="15"/>
      <c r="B424" s="16"/>
      <c r="C424" s="16"/>
      <c r="D424" s="589" t="s">
        <v>1515</v>
      </c>
      <c r="E424" s="319"/>
      <c r="F424" s="319"/>
      <c r="G424" s="2"/>
      <c r="H424" s="3"/>
      <c r="I424" s="2"/>
      <c r="J424" s="3"/>
      <c r="K424" s="2" t="s">
        <v>1516</v>
      </c>
      <c r="L424" s="2"/>
      <c r="M424" s="2"/>
      <c r="N424" s="2"/>
      <c r="O424" s="2"/>
      <c r="P424" s="2"/>
      <c r="Q424" s="56"/>
    </row>
    <row r="425" spans="1:18" ht="75.75" hidden="1" customHeight="1" x14ac:dyDescent="0.65">
      <c r="A425" s="168"/>
      <c r="B425" s="169"/>
      <c r="C425" s="169"/>
      <c r="D425" s="3" t="s">
        <v>1479</v>
      </c>
      <c r="E425" s="319"/>
      <c r="F425" s="319"/>
      <c r="G425" s="2"/>
      <c r="H425" s="3"/>
      <c r="I425" s="2"/>
      <c r="J425" s="3"/>
      <c r="K425" s="3" t="s">
        <v>1480</v>
      </c>
      <c r="L425" s="202"/>
      <c r="M425" s="202"/>
      <c r="N425" s="202"/>
      <c r="O425" s="202"/>
      <c r="P425" s="202"/>
      <c r="Q425" s="56"/>
    </row>
    <row r="426" spans="1:18" ht="26.25" customHeight="1" x14ac:dyDescent="0.65">
      <c r="A426" s="15"/>
      <c r="B426" s="16"/>
      <c r="C426" s="16"/>
      <c r="D426" s="764"/>
      <c r="E426" s="764"/>
      <c r="F426" s="764"/>
      <c r="G426" s="764"/>
      <c r="H426" s="764"/>
      <c r="I426" s="764"/>
      <c r="J426" s="764"/>
      <c r="K426" s="764"/>
      <c r="L426" s="764"/>
      <c r="M426" s="764"/>
      <c r="N426" s="764"/>
      <c r="O426" s="764"/>
      <c r="P426" s="764"/>
      <c r="Q426" s="83"/>
    </row>
    <row r="427" spans="1:18" ht="50.25" customHeight="1" thickBot="1" x14ac:dyDescent="0.7">
      <c r="A427" s="15"/>
      <c r="B427" s="16"/>
      <c r="C427" s="16"/>
      <c r="D427" s="777" t="s">
        <v>524</v>
      </c>
      <c r="E427" s="778"/>
      <c r="F427" s="778"/>
      <c r="G427" s="364"/>
      <c r="H427" s="364"/>
      <c r="I427" s="2"/>
      <c r="J427" s="2"/>
      <c r="K427" s="3" t="s">
        <v>1374</v>
      </c>
      <c r="L427" s="2"/>
      <c r="M427" s="2"/>
      <c r="N427" s="2"/>
      <c r="O427" s="2"/>
      <c r="P427" s="2"/>
      <c r="Q427" s="83"/>
    </row>
    <row r="428" spans="1:18" ht="47.25" thickTop="1" thickBot="1" x14ac:dyDescent="0.7">
      <c r="A428" s="19"/>
      <c r="B428" s="19"/>
      <c r="C428" s="19"/>
      <c r="D428" s="721"/>
      <c r="E428" s="721"/>
      <c r="F428" s="721"/>
      <c r="G428" s="721"/>
      <c r="H428" s="721"/>
      <c r="I428" s="721"/>
      <c r="J428" s="721"/>
      <c r="K428" s="721"/>
      <c r="L428" s="721"/>
      <c r="M428" s="721"/>
      <c r="N428" s="721"/>
      <c r="O428" s="721"/>
      <c r="P428" s="721"/>
      <c r="Q428" s="84"/>
    </row>
    <row r="429" spans="1:18" ht="95.25" customHeight="1" thickTop="1" x14ac:dyDescent="0.55000000000000004">
      <c r="G429" s="58"/>
      <c r="H429" s="58"/>
      <c r="I429" s="92"/>
      <c r="J429" s="93"/>
      <c r="K429" s="93"/>
      <c r="L429" s="92"/>
      <c r="M429" s="92"/>
      <c r="N429" s="92"/>
      <c r="O429" s="92"/>
      <c r="P429" s="93"/>
      <c r="Q429" s="82"/>
    </row>
    <row r="430" spans="1:18" x14ac:dyDescent="0.2">
      <c r="E430" s="59"/>
      <c r="F430" s="60"/>
      <c r="G430" s="58"/>
      <c r="H430" s="58"/>
      <c r="I430" s="92"/>
      <c r="J430" s="94"/>
      <c r="K430" s="94"/>
      <c r="L430" s="92"/>
      <c r="M430" s="92"/>
      <c r="N430" s="92"/>
      <c r="O430" s="92"/>
      <c r="P430" s="93"/>
    </row>
    <row r="431" spans="1:18" x14ac:dyDescent="0.2">
      <c r="E431" s="59"/>
      <c r="F431" s="60"/>
      <c r="G431" s="58"/>
      <c r="H431" s="58"/>
      <c r="I431" s="92"/>
      <c r="J431" s="94"/>
      <c r="K431" s="94"/>
      <c r="L431" s="92"/>
      <c r="M431" s="92"/>
      <c r="N431" s="92"/>
      <c r="O431" s="92"/>
      <c r="P431" s="93"/>
    </row>
    <row r="432" spans="1:18" ht="60.75" x14ac:dyDescent="0.2">
      <c r="E432" s="79" t="b">
        <f>E423=E421</f>
        <v>1</v>
      </c>
      <c r="F432" s="79" t="b">
        <f>F423=F421</f>
        <v>1</v>
      </c>
      <c r="G432" s="79" t="b">
        <f>G423=G421</f>
        <v>1</v>
      </c>
      <c r="H432" s="79" t="b">
        <f t="shared" ref="H432:O432" si="471">H423=H421</f>
        <v>1</v>
      </c>
      <c r="I432" s="79" t="b">
        <f>I423=I421</f>
        <v>1</v>
      </c>
      <c r="J432" s="79" t="b">
        <f>J423=J421</f>
        <v>1</v>
      </c>
      <c r="K432" s="79" t="b">
        <f>K423=K421</f>
        <v>1</v>
      </c>
      <c r="L432" s="79" t="b">
        <f t="shared" si="471"/>
        <v>1</v>
      </c>
      <c r="M432" s="79" t="b">
        <f t="shared" si="471"/>
        <v>1</v>
      </c>
      <c r="N432" s="79" t="b">
        <f>N423=N421</f>
        <v>1</v>
      </c>
      <c r="O432" s="79" t="b">
        <f t="shared" si="471"/>
        <v>1</v>
      </c>
      <c r="P432" s="79" t="b">
        <f>P423=P421</f>
        <v>1</v>
      </c>
    </row>
    <row r="433" spans="1:18" ht="61.5" x14ac:dyDescent="0.2">
      <c r="E433" s="79" t="b">
        <f>E421=F421</f>
        <v>1</v>
      </c>
      <c r="F433" s="97">
        <f>F414/E421</f>
        <v>6.035718603212923E-3</v>
      </c>
      <c r="G433" s="86"/>
      <c r="H433" s="87"/>
      <c r="I433" s="88"/>
      <c r="J433" s="79" t="b">
        <f>J423=L423+O423</f>
        <v>1</v>
      </c>
      <c r="K433" s="95"/>
      <c r="L433" s="79"/>
      <c r="M433" s="88"/>
      <c r="N433" s="88"/>
      <c r="O433" s="79"/>
      <c r="P433" s="79" t="b">
        <f>E421+J421=P421</f>
        <v>1</v>
      </c>
    </row>
    <row r="434" spans="1:18" ht="60.75" x14ac:dyDescent="0.2">
      <c r="E434" s="89"/>
      <c r="F434" s="90"/>
      <c r="G434" s="89"/>
      <c r="H434" s="91">
        <f>H423-H421</f>
        <v>0</v>
      </c>
      <c r="I434" s="89"/>
      <c r="J434" s="59"/>
      <c r="K434" s="59"/>
    </row>
    <row r="435" spans="1:18" ht="61.5" x14ac:dyDescent="0.2">
      <c r="A435" s="21"/>
      <c r="B435" s="21"/>
      <c r="C435" s="21"/>
      <c r="D435" s="22"/>
      <c r="E435" s="37">
        <f>E421-E423</f>
        <v>0</v>
      </c>
      <c r="F435" s="97">
        <f>400000/E421</f>
        <v>1.0763062256071829E-4</v>
      </c>
      <c r="G435" s="86"/>
      <c r="H435" s="61"/>
      <c r="I435" s="22"/>
      <c r="J435" s="37">
        <f>J421-J423</f>
        <v>0</v>
      </c>
      <c r="K435" s="37">
        <f>K421-K423</f>
        <v>0</v>
      </c>
      <c r="L435" s="37"/>
      <c r="M435" s="37"/>
      <c r="N435" s="37"/>
      <c r="O435" s="37">
        <f>O421-O423</f>
        <v>0</v>
      </c>
      <c r="P435" s="37"/>
    </row>
    <row r="436" spans="1:18" ht="61.5" x14ac:dyDescent="0.2">
      <c r="D436" s="22"/>
      <c r="E436" s="37"/>
      <c r="F436" s="63"/>
      <c r="G436" s="55"/>
      <c r="H436" s="61"/>
      <c r="I436" s="22"/>
      <c r="J436" s="37"/>
      <c r="K436" s="37"/>
      <c r="L436" s="64"/>
      <c r="P436" s="55"/>
      <c r="Q436" s="85"/>
      <c r="R436" s="65"/>
    </row>
    <row r="437" spans="1:18" ht="60.75" x14ac:dyDescent="0.2">
      <c r="A437" s="21"/>
      <c r="B437" s="21"/>
      <c r="C437" s="21"/>
      <c r="D437" s="22"/>
      <c r="E437" s="26"/>
      <c r="F437" s="26"/>
      <c r="G437" s="26"/>
      <c r="H437" s="26"/>
      <c r="I437" s="66"/>
      <c r="J437" s="26"/>
      <c r="K437" s="26"/>
      <c r="L437" s="26"/>
      <c r="M437" s="26"/>
      <c r="N437" s="26"/>
      <c r="O437" s="26"/>
      <c r="P437" s="26"/>
      <c r="Q437" s="85"/>
      <c r="R437" s="65"/>
    </row>
    <row r="438" spans="1:18" ht="60.75" x14ac:dyDescent="0.2">
      <c r="D438" s="22"/>
      <c r="E438" s="37"/>
      <c r="F438" s="67"/>
      <c r="O438" s="55"/>
      <c r="P438" s="55"/>
    </row>
    <row r="439" spans="1:18" ht="60.75" x14ac:dyDescent="0.2">
      <c r="A439" s="21"/>
      <c r="B439" s="21"/>
      <c r="C439" s="21"/>
      <c r="D439" s="22"/>
      <c r="E439" s="37"/>
      <c r="F439" s="62"/>
      <c r="G439" s="64"/>
      <c r="I439" s="68"/>
      <c r="J439" s="59"/>
      <c r="K439" s="59"/>
      <c r="L439" s="21"/>
      <c r="M439" s="21"/>
      <c r="N439" s="21"/>
      <c r="O439" s="21"/>
      <c r="P439" s="55"/>
    </row>
    <row r="440" spans="1:18" ht="62.25" x14ac:dyDescent="0.8">
      <c r="A440" s="21"/>
      <c r="B440" s="21"/>
      <c r="C440" s="21"/>
      <c r="D440" s="21"/>
      <c r="E440" s="69"/>
      <c r="F440" s="62"/>
      <c r="J440" s="59"/>
      <c r="K440" s="59"/>
      <c r="L440" s="21"/>
      <c r="M440" s="21"/>
      <c r="N440" s="21"/>
      <c r="O440" s="21"/>
      <c r="P440" s="70"/>
    </row>
    <row r="441" spans="1:18" ht="45.75" x14ac:dyDescent="0.2">
      <c r="E441" s="71"/>
      <c r="F441" s="67"/>
    </row>
    <row r="442" spans="1:18" ht="45.75" x14ac:dyDescent="0.2">
      <c r="A442" s="21"/>
      <c r="B442" s="21"/>
      <c r="C442" s="21"/>
      <c r="D442" s="21"/>
      <c r="E442" s="69"/>
      <c r="F442" s="62"/>
      <c r="L442" s="21"/>
      <c r="M442" s="21"/>
      <c r="N442" s="21"/>
      <c r="O442" s="21"/>
      <c r="P442" s="21"/>
    </row>
    <row r="443" spans="1:18" ht="45.75" x14ac:dyDescent="0.2">
      <c r="E443" s="72"/>
      <c r="F443" s="67"/>
    </row>
    <row r="444" spans="1:18" ht="45.75" x14ac:dyDescent="0.2">
      <c r="E444" s="72"/>
      <c r="F444" s="67"/>
    </row>
    <row r="445" spans="1:18" ht="45.75" x14ac:dyDescent="0.2">
      <c r="E445" s="72"/>
      <c r="F445" s="67"/>
    </row>
    <row r="446" spans="1:18" ht="45.75" x14ac:dyDescent="0.2">
      <c r="A446" s="21"/>
      <c r="B446" s="21"/>
      <c r="C446" s="21"/>
      <c r="D446" s="21"/>
      <c r="E446" s="72"/>
      <c r="F446" s="67"/>
      <c r="G446" s="21"/>
      <c r="H446" s="21"/>
      <c r="I446" s="21"/>
      <c r="J446" s="21"/>
      <c r="K446" s="21"/>
      <c r="L446" s="21"/>
      <c r="M446" s="21"/>
      <c r="N446" s="21"/>
      <c r="O446" s="21"/>
      <c r="P446" s="21"/>
    </row>
    <row r="447" spans="1:18" ht="45.75" x14ac:dyDescent="0.2">
      <c r="A447" s="21"/>
      <c r="B447" s="21"/>
      <c r="C447" s="21"/>
      <c r="D447" s="21"/>
      <c r="E447" s="72"/>
      <c r="F447" s="67"/>
      <c r="G447" s="21"/>
      <c r="H447" s="21"/>
      <c r="I447" s="21"/>
      <c r="J447" s="21"/>
      <c r="K447" s="21"/>
      <c r="L447" s="21"/>
      <c r="M447" s="21"/>
      <c r="N447" s="21"/>
      <c r="O447" s="21"/>
      <c r="P447" s="21"/>
    </row>
    <row r="448" spans="1:18" ht="45.75" x14ac:dyDescent="0.2">
      <c r="A448" s="21"/>
      <c r="B448" s="21"/>
      <c r="C448" s="21"/>
      <c r="D448" s="21"/>
      <c r="E448" s="72"/>
      <c r="F448" s="67"/>
      <c r="G448" s="21"/>
      <c r="H448" s="21"/>
      <c r="I448" s="21"/>
      <c r="J448" s="21"/>
      <c r="K448" s="21"/>
      <c r="L448" s="21"/>
      <c r="M448" s="21"/>
      <c r="N448" s="21"/>
      <c r="O448" s="21"/>
      <c r="P448" s="21"/>
    </row>
    <row r="449" spans="1:16" ht="45.75" x14ac:dyDescent="0.2">
      <c r="A449" s="21"/>
      <c r="B449" s="21"/>
      <c r="C449" s="21"/>
      <c r="D449" s="21"/>
      <c r="E449" s="72"/>
      <c r="F449" s="67"/>
      <c r="G449" s="21"/>
      <c r="H449" s="21"/>
      <c r="I449" s="21"/>
      <c r="J449" s="21"/>
      <c r="K449" s="21"/>
      <c r="L449" s="21"/>
      <c r="M449" s="21"/>
      <c r="N449" s="21"/>
      <c r="O449" s="21"/>
      <c r="P449" s="21"/>
    </row>
  </sheetData>
  <mergeCells count="198">
    <mergeCell ref="D427:F427"/>
    <mergeCell ref="M172:M174"/>
    <mergeCell ref="N172:N174"/>
    <mergeCell ref="O172:O174"/>
    <mergeCell ref="P172:P174"/>
    <mergeCell ref="R172:R174"/>
    <mergeCell ref="C172:C174"/>
    <mergeCell ref="E172:E174"/>
    <mergeCell ref="F172:F174"/>
    <mergeCell ref="G172:G174"/>
    <mergeCell ref="H172:H174"/>
    <mergeCell ref="I172:I174"/>
    <mergeCell ref="J172:J174"/>
    <mergeCell ref="K172:K174"/>
    <mergeCell ref="L172:L174"/>
    <mergeCell ref="H301:H302"/>
    <mergeCell ref="I301:I302"/>
    <mergeCell ref="P270:P271"/>
    <mergeCell ref="K190:K191"/>
    <mergeCell ref="L190:L191"/>
    <mergeCell ref="M190:M191"/>
    <mergeCell ref="N190:N191"/>
    <mergeCell ref="O190:O191"/>
    <mergeCell ref="P190:P191"/>
    <mergeCell ref="R161:R164"/>
    <mergeCell ref="R169:R171"/>
    <mergeCell ref="A169:A171"/>
    <mergeCell ref="B169:B171"/>
    <mergeCell ref="C169:C171"/>
    <mergeCell ref="E169:E171"/>
    <mergeCell ref="F169:F171"/>
    <mergeCell ref="G169:G171"/>
    <mergeCell ref="H169:H171"/>
    <mergeCell ref="I169:I171"/>
    <mergeCell ref="J169:J171"/>
    <mergeCell ref="K169:K171"/>
    <mergeCell ref="L169:L171"/>
    <mergeCell ref="M169:M171"/>
    <mergeCell ref="N169:N171"/>
    <mergeCell ref="O169:O171"/>
    <mergeCell ref="P169:P171"/>
    <mergeCell ref="R165:R168"/>
    <mergeCell ref="B165:B168"/>
    <mergeCell ref="C165:C168"/>
    <mergeCell ref="E165:E168"/>
    <mergeCell ref="F165:F168"/>
    <mergeCell ref="G165:G168"/>
    <mergeCell ref="H165:H168"/>
    <mergeCell ref="O165:O168"/>
    <mergeCell ref="P165:P168"/>
    <mergeCell ref="J161:J164"/>
    <mergeCell ref="K161:K164"/>
    <mergeCell ref="L161:L164"/>
    <mergeCell ref="M161:M164"/>
    <mergeCell ref="N161:N164"/>
    <mergeCell ref="O161:O164"/>
    <mergeCell ref="P161:P164"/>
    <mergeCell ref="K165:K168"/>
    <mergeCell ref="L165:L168"/>
    <mergeCell ref="M165:M168"/>
    <mergeCell ref="N165:N168"/>
    <mergeCell ref="Q161:Q164"/>
    <mergeCell ref="A165:A168"/>
    <mergeCell ref="P334:P335"/>
    <mergeCell ref="I74:I75"/>
    <mergeCell ref="J74:J75"/>
    <mergeCell ref="K74:K75"/>
    <mergeCell ref="L74:L75"/>
    <mergeCell ref="A334:A335"/>
    <mergeCell ref="B334:B335"/>
    <mergeCell ref="C334:C335"/>
    <mergeCell ref="E334:E335"/>
    <mergeCell ref="F334:F335"/>
    <mergeCell ref="G334:G335"/>
    <mergeCell ref="H334:H335"/>
    <mergeCell ref="I334:I335"/>
    <mergeCell ref="J334:J335"/>
    <mergeCell ref="F74:F75"/>
    <mergeCell ref="G74:G75"/>
    <mergeCell ref="H74:H75"/>
    <mergeCell ref="M74:M75"/>
    <mergeCell ref="N74:N75"/>
    <mergeCell ref="B301:B302"/>
    <mergeCell ref="C301:C302"/>
    <mergeCell ref="O74:O75"/>
    <mergeCell ref="P74:P75"/>
    <mergeCell ref="A161:A164"/>
    <mergeCell ref="D426:P426"/>
    <mergeCell ref="O55:O56"/>
    <mergeCell ref="P55:P56"/>
    <mergeCell ref="G55:G56"/>
    <mergeCell ref="H55:H56"/>
    <mergeCell ref="I55:I56"/>
    <mergeCell ref="J55:J56"/>
    <mergeCell ref="K55:K56"/>
    <mergeCell ref="O301:O302"/>
    <mergeCell ref="P301:P302"/>
    <mergeCell ref="K301:K302"/>
    <mergeCell ref="L301:L302"/>
    <mergeCell ref="M301:M302"/>
    <mergeCell ref="N301:N302"/>
    <mergeCell ref="K334:K335"/>
    <mergeCell ref="L334:L335"/>
    <mergeCell ref="M334:M335"/>
    <mergeCell ref="N334:N335"/>
    <mergeCell ref="O334:O335"/>
    <mergeCell ref="E301:E302"/>
    <mergeCell ref="F301:F302"/>
    <mergeCell ref="G301:G302"/>
    <mergeCell ref="I30:I31"/>
    <mergeCell ref="B30:B31"/>
    <mergeCell ref="C30:C31"/>
    <mergeCell ref="J301:J302"/>
    <mergeCell ref="A270:A271"/>
    <mergeCell ref="B270:B271"/>
    <mergeCell ref="C270:C271"/>
    <mergeCell ref="J190:J191"/>
    <mergeCell ref="A190:A191"/>
    <mergeCell ref="B190:B191"/>
    <mergeCell ref="A74:A75"/>
    <mergeCell ref="B74:B75"/>
    <mergeCell ref="B161:B164"/>
    <mergeCell ref="A172:A174"/>
    <mergeCell ref="B172:B174"/>
    <mergeCell ref="I165:I168"/>
    <mergeCell ref="J165:J168"/>
    <mergeCell ref="I161:I164"/>
    <mergeCell ref="K270:K271"/>
    <mergeCell ref="L270:L271"/>
    <mergeCell ref="M270:M271"/>
    <mergeCell ref="N270:N271"/>
    <mergeCell ref="O270:O271"/>
    <mergeCell ref="M55:M56"/>
    <mergeCell ref="N55:N56"/>
    <mergeCell ref="G190:G191"/>
    <mergeCell ref="C55:C56"/>
    <mergeCell ref="E55:E56"/>
    <mergeCell ref="F55:F56"/>
    <mergeCell ref="H190:H191"/>
    <mergeCell ref="I190:I191"/>
    <mergeCell ref="C190:C191"/>
    <mergeCell ref="E190:E191"/>
    <mergeCell ref="F190:F191"/>
    <mergeCell ref="C74:C75"/>
    <mergeCell ref="D74:D75"/>
    <mergeCell ref="E74:E75"/>
    <mergeCell ref="C161:C164"/>
    <mergeCell ref="E161:E164"/>
    <mergeCell ref="F161:F164"/>
    <mergeCell ref="G161:G164"/>
    <mergeCell ref="H161:H164"/>
    <mergeCell ref="N1:Q1"/>
    <mergeCell ref="N2:Q2"/>
    <mergeCell ref="O3:P3"/>
    <mergeCell ref="A5:P5"/>
    <mergeCell ref="A6:P6"/>
    <mergeCell ref="A8:B8"/>
    <mergeCell ref="J11:O11"/>
    <mergeCell ref="P11:P13"/>
    <mergeCell ref="E12:E13"/>
    <mergeCell ref="F12:F13"/>
    <mergeCell ref="G12:H12"/>
    <mergeCell ref="I12:I13"/>
    <mergeCell ref="J12:J13"/>
    <mergeCell ref="K12:K13"/>
    <mergeCell ref="L12:L13"/>
    <mergeCell ref="M12:N12"/>
    <mergeCell ref="O12:O13"/>
    <mergeCell ref="A9:B9"/>
    <mergeCell ref="A11:A13"/>
    <mergeCell ref="B11:B13"/>
    <mergeCell ref="C11:C13"/>
    <mergeCell ref="D11:D13"/>
    <mergeCell ref="E11:I11"/>
    <mergeCell ref="A422:P422"/>
    <mergeCell ref="D428:P428"/>
    <mergeCell ref="K30:K31"/>
    <mergeCell ref="L30:L31"/>
    <mergeCell ref="M30:M31"/>
    <mergeCell ref="N30:N31"/>
    <mergeCell ref="O30:O31"/>
    <mergeCell ref="P30:P31"/>
    <mergeCell ref="E270:E271"/>
    <mergeCell ref="F270:F271"/>
    <mergeCell ref="G270:G271"/>
    <mergeCell ref="H270:H271"/>
    <mergeCell ref="I270:I271"/>
    <mergeCell ref="J270:J271"/>
    <mergeCell ref="A30:A31"/>
    <mergeCell ref="E30:E31"/>
    <mergeCell ref="F30:F31"/>
    <mergeCell ref="G30:G31"/>
    <mergeCell ref="H30:H31"/>
    <mergeCell ref="J30:J31"/>
    <mergeCell ref="A301:A302"/>
    <mergeCell ref="A55:A56"/>
    <mergeCell ref="B55:B56"/>
    <mergeCell ref="L55:L56"/>
  </mergeCells>
  <conditionalFormatting sqref="Q338:Q345">
    <cfRule type="iconSet" priority="31">
      <iconSet iconSet="3Arrows">
        <cfvo type="percent" val="0"/>
        <cfvo type="percent" val="33"/>
        <cfvo type="percent" val="67"/>
      </iconSet>
    </cfRule>
  </conditionalFormatting>
  <conditionalFormatting sqref="Q347:Q348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Q349:Q364">
    <cfRule type="iconSet" priority="50">
      <iconSet iconSet="3Arrows">
        <cfvo type="percent" val="0"/>
        <cfvo type="percent" val="33"/>
        <cfvo type="percent" val="67"/>
      </iconSet>
    </cfRule>
  </conditionalFormatting>
  <conditionalFormatting sqref="Q385:Q390">
    <cfRule type="iconSet" priority="46">
      <iconSet iconSet="3Arrows">
        <cfvo type="percent" val="0"/>
        <cfvo type="percent" val="33"/>
        <cfvo type="percent" val="67"/>
      </iconSet>
    </cfRule>
  </conditionalFormatting>
  <conditionalFormatting sqref="Q391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Q392:Q393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Q395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Q404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Q405 Q407:R411 R406:S406">
    <cfRule type="iconSet" priority="24">
      <iconSet iconSet="3Arrows">
        <cfvo type="percent" val="0"/>
        <cfvo type="percent" val="33"/>
        <cfvo type="percent" val="67"/>
      </iconSet>
    </cfRule>
  </conditionalFormatting>
  <conditionalFormatting sqref="Q406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Q366:R372">
    <cfRule type="iconSet" priority="56">
      <iconSet iconSet="3Arrows">
        <cfvo type="percent" val="0"/>
        <cfvo type="percent" val="33"/>
        <cfvo type="percent" val="67"/>
      </iconSet>
    </cfRule>
  </conditionalFormatting>
  <conditionalFormatting sqref="R338:R339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R340:R345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R347:R348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R349:R364">
    <cfRule type="iconSet" priority="52">
      <iconSet iconSet="3Arrows">
        <cfvo type="percent" val="0"/>
        <cfvo type="percent" val="33"/>
        <cfvo type="percent" val="67"/>
      </iconSet>
    </cfRule>
  </conditionalFormatting>
  <conditionalFormatting sqref="R373:R383">
    <cfRule type="iconSet" priority="41">
      <iconSet iconSet="3Arrows">
        <cfvo type="percent" val="0"/>
        <cfvo type="percent" val="33"/>
        <cfvo type="percent" val="67"/>
      </iconSet>
    </cfRule>
  </conditionalFormatting>
  <conditionalFormatting sqref="R385:R386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R387:R390">
    <cfRule type="iconSet" priority="45">
      <iconSet iconSet="3Arrows">
        <cfvo type="percent" val="0"/>
        <cfvo type="percent" val="33"/>
        <cfvo type="percent" val="67"/>
      </iconSet>
    </cfRule>
  </conditionalFormatting>
  <conditionalFormatting sqref="R397:R399 Q396:R396 R395">
    <cfRule type="iconSet" priority="23">
      <iconSet iconSet="3Arrows">
        <cfvo type="percent" val="0"/>
        <cfvo type="percent" val="33"/>
        <cfvo type="percent" val="67"/>
      </iconSet>
    </cfRule>
  </conditionalFormatting>
  <conditionalFormatting sqref="R400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R402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R404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R405">
    <cfRule type="iconSet" priority="22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3" orientation="landscape" r:id="rId1"/>
  <headerFooter alignWithMargins="0">
    <oddFooter>&amp;C&amp;"Times New Roman Cyr,курсив"Сторінка &amp;P з &amp;N</oddFooter>
  </headerFooter>
  <rowBreaks count="1" manualBreakCount="1">
    <brk id="233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Аркуш4"/>
  <dimension ref="A1:R176"/>
  <sheetViews>
    <sheetView showGridLines="0" view="pageBreakPreview" topLeftCell="B7" zoomScale="85" zoomScaleNormal="85" zoomScaleSheetLayoutView="85" workbookViewId="0">
      <selection activeCell="D36" sqref="D36:P36"/>
    </sheetView>
  </sheetViews>
  <sheetFormatPr defaultColWidth="7.85546875" defaultRowHeight="12.75" x14ac:dyDescent="0.2"/>
  <cols>
    <col min="1" max="1" width="0" style="170" hidden="1" customWidth="1"/>
    <col min="2" max="2" width="13" style="7" customWidth="1"/>
    <col min="3" max="3" width="13.5703125" style="7" customWidth="1"/>
    <col min="4" max="4" width="15.28515625" style="7" customWidth="1"/>
    <col min="5" max="5" width="38.85546875" style="7" customWidth="1"/>
    <col min="6" max="6" width="11.85546875" style="7" bestFit="1" customWidth="1"/>
    <col min="7" max="7" width="11.85546875" style="7" customWidth="1"/>
    <col min="8" max="8" width="13.28515625" style="7" customWidth="1"/>
    <col min="9" max="9" width="12.5703125" style="7" customWidth="1"/>
    <col min="10" max="10" width="12.140625" style="7" customWidth="1"/>
    <col min="11" max="11" width="18.140625" style="7" customWidth="1"/>
    <col min="12" max="12" width="13.5703125" style="7" customWidth="1"/>
    <col min="13" max="13" width="13" style="7" customWidth="1"/>
    <col min="14" max="14" width="11.42578125" style="7" customWidth="1"/>
    <col min="15" max="15" width="12.7109375" style="7" customWidth="1"/>
    <col min="16" max="16" width="12.5703125" style="7" customWidth="1"/>
    <col min="17" max="17" width="12.7109375" style="7" customWidth="1"/>
    <col min="18" max="18" width="10" style="7" bestFit="1" customWidth="1"/>
    <col min="19" max="16384" width="7.85546875" style="7"/>
  </cols>
  <sheetData>
    <row r="1" spans="1:18" x14ac:dyDescent="0.2">
      <c r="B1" s="537"/>
      <c r="C1" s="537"/>
      <c r="D1" s="537"/>
      <c r="E1" s="537"/>
      <c r="F1" s="537"/>
      <c r="G1" s="537"/>
      <c r="H1" s="537"/>
      <c r="I1" s="537"/>
      <c r="J1" s="537"/>
      <c r="K1" s="537"/>
      <c r="L1" s="537"/>
      <c r="M1" s="537"/>
      <c r="N1" s="537"/>
      <c r="O1" s="537"/>
      <c r="P1" s="537"/>
      <c r="Q1" s="537"/>
    </row>
    <row r="2" spans="1:18" ht="64.5" customHeight="1" x14ac:dyDescent="0.2">
      <c r="B2" s="340"/>
      <c r="C2" s="340"/>
      <c r="D2" s="340"/>
      <c r="E2" s="537"/>
      <c r="F2" s="537"/>
      <c r="G2" s="537"/>
      <c r="H2" s="537"/>
      <c r="I2" s="537"/>
      <c r="J2" s="537"/>
      <c r="K2" s="537"/>
      <c r="L2" s="537"/>
      <c r="M2" s="797" t="s">
        <v>1316</v>
      </c>
      <c r="N2" s="797"/>
      <c r="O2" s="797"/>
      <c r="P2" s="797"/>
      <c r="Q2" s="797"/>
    </row>
    <row r="3" spans="1:18" ht="18.75" x14ac:dyDescent="0.2">
      <c r="B3" s="781"/>
      <c r="C3" s="781"/>
      <c r="D3" s="340"/>
      <c r="E3" s="792" t="s">
        <v>572</v>
      </c>
      <c r="F3" s="792"/>
      <c r="G3" s="792"/>
      <c r="H3" s="792"/>
      <c r="I3" s="792"/>
      <c r="J3" s="792"/>
      <c r="K3" s="792"/>
      <c r="L3" s="792"/>
      <c r="M3" s="792"/>
      <c r="N3" s="538"/>
      <c r="O3" s="538"/>
      <c r="P3" s="538"/>
      <c r="Q3" s="538"/>
    </row>
    <row r="4" spans="1:18" ht="21" customHeight="1" x14ac:dyDescent="0.2">
      <c r="B4" s="539"/>
      <c r="C4" s="483"/>
      <c r="D4" s="540"/>
      <c r="E4" s="792" t="s">
        <v>1562</v>
      </c>
      <c r="F4" s="793"/>
      <c r="G4" s="793"/>
      <c r="H4" s="793"/>
      <c r="I4" s="793"/>
      <c r="J4" s="793"/>
      <c r="K4" s="793"/>
      <c r="L4" s="793"/>
      <c r="M4" s="793"/>
      <c r="N4" s="340"/>
      <c r="O4" s="340"/>
      <c r="P4" s="340"/>
      <c r="Q4" s="541"/>
    </row>
    <row r="5" spans="1:18" ht="12" customHeight="1" x14ac:dyDescent="0.2">
      <c r="B5" s="782">
        <v>2256400000</v>
      </c>
      <c r="C5" s="783"/>
      <c r="D5" s="540"/>
      <c r="E5" s="334"/>
      <c r="F5" s="334"/>
      <c r="G5" s="334"/>
      <c r="H5" s="334"/>
      <c r="I5" s="334"/>
      <c r="J5" s="334"/>
      <c r="K5" s="334"/>
      <c r="L5" s="334"/>
      <c r="M5" s="334"/>
      <c r="N5" s="340"/>
      <c r="O5" s="340"/>
      <c r="P5" s="340"/>
      <c r="Q5" s="541"/>
    </row>
    <row r="6" spans="1:18" ht="12" customHeight="1" x14ac:dyDescent="0.2">
      <c r="B6" s="784" t="s">
        <v>490</v>
      </c>
      <c r="C6" s="785"/>
      <c r="D6" s="540"/>
      <c r="E6" s="334"/>
      <c r="F6" s="334"/>
      <c r="G6" s="334"/>
      <c r="H6" s="334"/>
      <c r="I6" s="334"/>
      <c r="J6" s="334"/>
      <c r="K6" s="334"/>
      <c r="L6" s="334"/>
      <c r="M6" s="334"/>
      <c r="N6" s="340"/>
      <c r="O6" s="340"/>
      <c r="P6" s="340"/>
      <c r="Q6" s="541"/>
    </row>
    <row r="7" spans="1:18" ht="21" customHeight="1" thickBot="1" x14ac:dyDescent="0.35">
      <c r="B7" s="542"/>
      <c r="C7" s="542"/>
      <c r="D7" s="540"/>
      <c r="E7" s="334"/>
      <c r="F7" s="334"/>
      <c r="G7" s="334"/>
      <c r="H7" s="334"/>
      <c r="I7" s="334"/>
      <c r="J7" s="334"/>
      <c r="K7" s="334"/>
      <c r="L7" s="334"/>
      <c r="M7" s="334"/>
      <c r="N7" s="340"/>
      <c r="O7" s="340"/>
      <c r="P7" s="340"/>
      <c r="Q7" s="543" t="s">
        <v>404</v>
      </c>
    </row>
    <row r="8" spans="1:18" ht="17.45" customHeight="1" thickTop="1" thickBot="1" x14ac:dyDescent="0.25">
      <c r="A8" s="171"/>
      <c r="B8" s="788" t="s">
        <v>491</v>
      </c>
      <c r="C8" s="789" t="s">
        <v>492</v>
      </c>
      <c r="D8" s="789" t="s">
        <v>390</v>
      </c>
      <c r="E8" s="789" t="s">
        <v>574</v>
      </c>
      <c r="F8" s="788" t="s">
        <v>124</v>
      </c>
      <c r="G8" s="788"/>
      <c r="H8" s="788"/>
      <c r="I8" s="788"/>
      <c r="J8" s="788" t="s">
        <v>125</v>
      </c>
      <c r="K8" s="788"/>
      <c r="L8" s="788"/>
      <c r="M8" s="788"/>
      <c r="N8" s="788" t="s">
        <v>389</v>
      </c>
      <c r="O8" s="788"/>
      <c r="P8" s="788"/>
      <c r="Q8" s="788"/>
    </row>
    <row r="9" spans="1:18" ht="28.5" customHeight="1" thickTop="1" thickBot="1" x14ac:dyDescent="0.25">
      <c r="A9" s="172"/>
      <c r="B9" s="788"/>
      <c r="C9" s="750"/>
      <c r="D9" s="750"/>
      <c r="E9" s="790"/>
      <c r="F9" s="791" t="s">
        <v>386</v>
      </c>
      <c r="G9" s="791" t="s">
        <v>387</v>
      </c>
      <c r="H9" s="795"/>
      <c r="I9" s="791" t="s">
        <v>388</v>
      </c>
      <c r="J9" s="791" t="s">
        <v>386</v>
      </c>
      <c r="K9" s="791" t="s">
        <v>387</v>
      </c>
      <c r="L9" s="795"/>
      <c r="M9" s="791" t="s">
        <v>388</v>
      </c>
      <c r="N9" s="791" t="s">
        <v>386</v>
      </c>
      <c r="O9" s="791" t="s">
        <v>387</v>
      </c>
      <c r="P9" s="795"/>
      <c r="Q9" s="791" t="s">
        <v>388</v>
      </c>
    </row>
    <row r="10" spans="1:18" ht="65.25" customHeight="1" thickTop="1" thickBot="1" x14ac:dyDescent="0.25">
      <c r="A10" s="7"/>
      <c r="B10" s="788"/>
      <c r="C10" s="750"/>
      <c r="D10" s="750"/>
      <c r="E10" s="750"/>
      <c r="F10" s="791"/>
      <c r="G10" s="544" t="s">
        <v>384</v>
      </c>
      <c r="H10" s="544" t="s">
        <v>385</v>
      </c>
      <c r="I10" s="791"/>
      <c r="J10" s="791"/>
      <c r="K10" s="544" t="s">
        <v>384</v>
      </c>
      <c r="L10" s="544" t="s">
        <v>385</v>
      </c>
      <c r="M10" s="791"/>
      <c r="N10" s="791"/>
      <c r="O10" s="544" t="s">
        <v>384</v>
      </c>
      <c r="P10" s="544" t="s">
        <v>385</v>
      </c>
      <c r="Q10" s="791"/>
    </row>
    <row r="11" spans="1:18" ht="15" customHeight="1" thickTop="1" thickBot="1" x14ac:dyDescent="0.25">
      <c r="A11" s="7"/>
      <c r="B11" s="545">
        <v>1</v>
      </c>
      <c r="C11" s="546">
        <v>2</v>
      </c>
      <c r="D11" s="545">
        <v>3</v>
      </c>
      <c r="E11" s="546">
        <v>4</v>
      </c>
      <c r="F11" s="545">
        <v>5</v>
      </c>
      <c r="G11" s="546">
        <v>6</v>
      </c>
      <c r="H11" s="545">
        <v>7</v>
      </c>
      <c r="I11" s="546">
        <v>8</v>
      </c>
      <c r="J11" s="545">
        <v>9</v>
      </c>
      <c r="K11" s="546">
        <v>10</v>
      </c>
      <c r="L11" s="545">
        <v>11</v>
      </c>
      <c r="M11" s="546">
        <v>12</v>
      </c>
      <c r="N11" s="545">
        <v>13</v>
      </c>
      <c r="O11" s="546">
        <v>14</v>
      </c>
      <c r="P11" s="545">
        <v>15</v>
      </c>
      <c r="Q11" s="546">
        <v>16</v>
      </c>
    </row>
    <row r="12" spans="1:18" s="177" customFormat="1" ht="46.5" hidden="1" thickTop="1" thickBot="1" x14ac:dyDescent="0.25">
      <c r="A12" s="173"/>
      <c r="B12" s="423" t="s">
        <v>22</v>
      </c>
      <c r="C12" s="423"/>
      <c r="D12" s="423"/>
      <c r="E12" s="424" t="s">
        <v>23</v>
      </c>
      <c r="F12" s="425">
        <f>F13</f>
        <v>0</v>
      </c>
      <c r="G12" s="425">
        <f t="shared" ref="G12:Q12" si="0">G13</f>
        <v>0</v>
      </c>
      <c r="H12" s="425">
        <f t="shared" si="0"/>
        <v>0</v>
      </c>
      <c r="I12" s="426">
        <f>I13</f>
        <v>0</v>
      </c>
      <c r="J12" s="425">
        <f t="shared" si="0"/>
        <v>0</v>
      </c>
      <c r="K12" s="425">
        <f t="shared" si="0"/>
        <v>0</v>
      </c>
      <c r="L12" s="425">
        <f t="shared" si="0"/>
        <v>0</v>
      </c>
      <c r="M12" s="426">
        <f>M13</f>
        <v>0</v>
      </c>
      <c r="N12" s="425">
        <f t="shared" si="0"/>
        <v>0</v>
      </c>
      <c r="O12" s="425">
        <f t="shared" si="0"/>
        <v>0</v>
      </c>
      <c r="P12" s="425">
        <f t="shared" si="0"/>
        <v>0</v>
      </c>
      <c r="Q12" s="426">
        <f t="shared" si="0"/>
        <v>0</v>
      </c>
      <c r="R12" s="8"/>
    </row>
    <row r="13" spans="1:18" ht="44.25" hidden="1" thickTop="1" thickBot="1" x14ac:dyDescent="0.25">
      <c r="B13" s="427" t="s">
        <v>21</v>
      </c>
      <c r="C13" s="427"/>
      <c r="D13" s="427"/>
      <c r="E13" s="428" t="s">
        <v>35</v>
      </c>
      <c r="F13" s="429">
        <f t="shared" ref="F13:Q13" si="1">F18+F17+F19</f>
        <v>0</v>
      </c>
      <c r="G13" s="429">
        <f t="shared" si="1"/>
        <v>0</v>
      </c>
      <c r="H13" s="429">
        <f t="shared" si="1"/>
        <v>0</v>
      </c>
      <c r="I13" s="429">
        <f t="shared" si="1"/>
        <v>0</v>
      </c>
      <c r="J13" s="429">
        <f t="shared" si="1"/>
        <v>0</v>
      </c>
      <c r="K13" s="429">
        <f t="shared" si="1"/>
        <v>0</v>
      </c>
      <c r="L13" s="429">
        <f t="shared" si="1"/>
        <v>0</v>
      </c>
      <c r="M13" s="429">
        <f t="shared" si="1"/>
        <v>0</v>
      </c>
      <c r="N13" s="430">
        <f t="shared" si="1"/>
        <v>0</v>
      </c>
      <c r="O13" s="430">
        <f t="shared" si="1"/>
        <v>0</v>
      </c>
      <c r="P13" s="430">
        <f t="shared" si="1"/>
        <v>0</v>
      </c>
      <c r="Q13" s="429">
        <f t="shared" si="1"/>
        <v>0</v>
      </c>
    </row>
    <row r="14" spans="1:18" ht="15.75" hidden="1" thickTop="1" thickBot="1" x14ac:dyDescent="0.25">
      <c r="B14" s="431" t="s">
        <v>852</v>
      </c>
      <c r="C14" s="431" t="s">
        <v>697</v>
      </c>
      <c r="D14" s="431"/>
      <c r="E14" s="432" t="s">
        <v>853</v>
      </c>
      <c r="F14" s="433">
        <f>F15</f>
        <v>0</v>
      </c>
      <c r="G14" s="433">
        <f t="shared" ref="G14:Q15" si="2">G15</f>
        <v>0</v>
      </c>
      <c r="H14" s="433">
        <f t="shared" si="2"/>
        <v>0</v>
      </c>
      <c r="I14" s="433">
        <f t="shared" si="2"/>
        <v>0</v>
      </c>
      <c r="J14" s="433">
        <f t="shared" si="2"/>
        <v>0</v>
      </c>
      <c r="K14" s="433">
        <f t="shared" si="2"/>
        <v>0</v>
      </c>
      <c r="L14" s="433">
        <f t="shared" si="2"/>
        <v>0</v>
      </c>
      <c r="M14" s="433">
        <f t="shared" si="2"/>
        <v>0</v>
      </c>
      <c r="N14" s="433">
        <f t="shared" si="2"/>
        <v>0</v>
      </c>
      <c r="O14" s="433">
        <f t="shared" si="2"/>
        <v>0</v>
      </c>
      <c r="P14" s="433">
        <f t="shared" si="2"/>
        <v>0</v>
      </c>
      <c r="Q14" s="433">
        <f t="shared" si="2"/>
        <v>0</v>
      </c>
    </row>
    <row r="15" spans="1:18" ht="16.5" hidden="1" thickTop="1" thickBot="1" x14ac:dyDescent="0.25">
      <c r="B15" s="434" t="s">
        <v>854</v>
      </c>
      <c r="C15" s="434" t="s">
        <v>855</v>
      </c>
      <c r="D15" s="434"/>
      <c r="E15" s="435" t="s">
        <v>856</v>
      </c>
      <c r="F15" s="436">
        <f>F16</f>
        <v>0</v>
      </c>
      <c r="G15" s="436">
        <f t="shared" si="2"/>
        <v>0</v>
      </c>
      <c r="H15" s="436">
        <f t="shared" si="2"/>
        <v>0</v>
      </c>
      <c r="I15" s="436">
        <f t="shared" si="2"/>
        <v>0</v>
      </c>
      <c r="J15" s="436">
        <f t="shared" si="2"/>
        <v>0</v>
      </c>
      <c r="K15" s="436">
        <f t="shared" si="2"/>
        <v>0</v>
      </c>
      <c r="L15" s="436">
        <f t="shared" si="2"/>
        <v>0</v>
      </c>
      <c r="M15" s="436">
        <f t="shared" si="2"/>
        <v>0</v>
      </c>
      <c r="N15" s="436">
        <f t="shared" si="2"/>
        <v>0</v>
      </c>
      <c r="O15" s="436">
        <f t="shared" si="2"/>
        <v>0</v>
      </c>
      <c r="P15" s="436">
        <f t="shared" si="2"/>
        <v>0</v>
      </c>
      <c r="Q15" s="436">
        <f t="shared" si="2"/>
        <v>0</v>
      </c>
    </row>
    <row r="16" spans="1:18" ht="76.5" hidden="1" thickTop="1" thickBot="1" x14ac:dyDescent="0.25">
      <c r="B16" s="437" t="s">
        <v>857</v>
      </c>
      <c r="C16" s="438" t="s">
        <v>858</v>
      </c>
      <c r="D16" s="438"/>
      <c r="E16" s="439" t="s">
        <v>879</v>
      </c>
      <c r="F16" s="440">
        <f>SUM(F17:F18)</f>
        <v>0</v>
      </c>
      <c r="G16" s="440">
        <f t="shared" ref="G16:Q16" si="3">SUM(G17:G18)</f>
        <v>0</v>
      </c>
      <c r="H16" s="440">
        <f t="shared" si="3"/>
        <v>0</v>
      </c>
      <c r="I16" s="440">
        <f t="shared" si="3"/>
        <v>0</v>
      </c>
      <c r="J16" s="440">
        <f t="shared" si="3"/>
        <v>0</v>
      </c>
      <c r="K16" s="440">
        <f t="shared" si="3"/>
        <v>0</v>
      </c>
      <c r="L16" s="440">
        <f t="shared" si="3"/>
        <v>0</v>
      </c>
      <c r="M16" s="440">
        <f t="shared" si="3"/>
        <v>0</v>
      </c>
      <c r="N16" s="440">
        <f t="shared" si="3"/>
        <v>0</v>
      </c>
      <c r="O16" s="440">
        <f t="shared" si="3"/>
        <v>0</v>
      </c>
      <c r="P16" s="440">
        <f t="shared" si="3"/>
        <v>0</v>
      </c>
      <c r="Q16" s="440">
        <f t="shared" si="3"/>
        <v>0</v>
      </c>
    </row>
    <row r="17" spans="2:18" ht="76.5" hidden="1" thickTop="1" thickBot="1" x14ac:dyDescent="0.25">
      <c r="B17" s="437" t="s">
        <v>457</v>
      </c>
      <c r="C17" s="437" t="s">
        <v>459</v>
      </c>
      <c r="D17" s="437" t="s">
        <v>50</v>
      </c>
      <c r="E17" s="441" t="s">
        <v>881</v>
      </c>
      <c r="F17" s="442">
        <v>0</v>
      </c>
      <c r="G17" s="442">
        <v>0</v>
      </c>
      <c r="H17" s="442">
        <v>0</v>
      </c>
      <c r="I17" s="442">
        <f>F17+G17</f>
        <v>0</v>
      </c>
      <c r="J17" s="442">
        <v>0</v>
      </c>
      <c r="K17" s="442">
        <v>0</v>
      </c>
      <c r="L17" s="442"/>
      <c r="M17" s="442">
        <f>J17+K17</f>
        <v>0</v>
      </c>
      <c r="N17" s="442">
        <f>F17+J17</f>
        <v>0</v>
      </c>
      <c r="O17" s="442">
        <f>G17+K17</f>
        <v>0</v>
      </c>
      <c r="P17" s="442"/>
      <c r="Q17" s="442">
        <f>I17+M17</f>
        <v>0</v>
      </c>
    </row>
    <row r="18" spans="2:18" ht="76.5" hidden="1" thickTop="1" thickBot="1" x14ac:dyDescent="0.25">
      <c r="B18" s="437" t="s">
        <v>458</v>
      </c>
      <c r="C18" s="437" t="s">
        <v>460</v>
      </c>
      <c r="D18" s="437" t="s">
        <v>50</v>
      </c>
      <c r="E18" s="441" t="s">
        <v>880</v>
      </c>
      <c r="F18" s="442"/>
      <c r="G18" s="442">
        <f>H18+I18</f>
        <v>0</v>
      </c>
      <c r="H18" s="442"/>
      <c r="I18" s="442"/>
      <c r="J18" s="442"/>
      <c r="K18" s="442">
        <v>0</v>
      </c>
      <c r="L18" s="442"/>
      <c r="M18" s="442">
        <f>J18+K18</f>
        <v>0</v>
      </c>
      <c r="N18" s="442">
        <f>F18+J18</f>
        <v>0</v>
      </c>
      <c r="O18" s="442">
        <f>G18+K18</f>
        <v>0</v>
      </c>
      <c r="P18" s="442"/>
      <c r="Q18" s="442">
        <f>I18+M18</f>
        <v>0</v>
      </c>
    </row>
    <row r="19" spans="2:18" ht="61.5" hidden="1" thickTop="1" thickBot="1" x14ac:dyDescent="0.25">
      <c r="B19" s="437" t="s">
        <v>503</v>
      </c>
      <c r="C19" s="437" t="s">
        <v>504</v>
      </c>
      <c r="D19" s="437" t="s">
        <v>50</v>
      </c>
      <c r="E19" s="441" t="s">
        <v>502</v>
      </c>
      <c r="F19" s="442"/>
      <c r="G19" s="442"/>
      <c r="H19" s="442"/>
      <c r="I19" s="442"/>
      <c r="J19" s="442"/>
      <c r="K19" s="442"/>
      <c r="L19" s="442"/>
      <c r="M19" s="442">
        <f>J19+K19</f>
        <v>0</v>
      </c>
      <c r="N19" s="442"/>
      <c r="O19" s="442">
        <f>G19+K19</f>
        <v>0</v>
      </c>
      <c r="P19" s="442"/>
      <c r="Q19" s="442">
        <f>I19+M19</f>
        <v>0</v>
      </c>
    </row>
    <row r="20" spans="2:18" ht="31.5" thickTop="1" thickBot="1" x14ac:dyDescent="0.25">
      <c r="B20" s="500" t="s">
        <v>168</v>
      </c>
      <c r="C20" s="500"/>
      <c r="D20" s="500"/>
      <c r="E20" s="501" t="s">
        <v>27</v>
      </c>
      <c r="F20" s="502">
        <f>F21</f>
        <v>0</v>
      </c>
      <c r="G20" s="502">
        <f t="shared" ref="G20:Q20" si="4">G21</f>
        <v>7660012</v>
      </c>
      <c r="H20" s="502">
        <f t="shared" si="4"/>
        <v>7660012</v>
      </c>
      <c r="I20" s="547">
        <f>I21</f>
        <v>7660012</v>
      </c>
      <c r="J20" s="502">
        <f t="shared" si="4"/>
        <v>0</v>
      </c>
      <c r="K20" s="502">
        <f t="shared" si="4"/>
        <v>0</v>
      </c>
      <c r="L20" s="502">
        <f t="shared" si="4"/>
        <v>0</v>
      </c>
      <c r="M20" s="547">
        <f>M21</f>
        <v>0</v>
      </c>
      <c r="N20" s="502">
        <f t="shared" si="4"/>
        <v>0</v>
      </c>
      <c r="O20" s="502">
        <f t="shared" si="4"/>
        <v>7660012</v>
      </c>
      <c r="P20" s="502">
        <f t="shared" si="4"/>
        <v>7660012</v>
      </c>
      <c r="Q20" s="547">
        <f t="shared" si="4"/>
        <v>7660012</v>
      </c>
    </row>
    <row r="21" spans="2:18" ht="44.25" thickTop="1" thickBot="1" x14ac:dyDescent="0.25">
      <c r="B21" s="504" t="s">
        <v>169</v>
      </c>
      <c r="C21" s="504"/>
      <c r="D21" s="504"/>
      <c r="E21" s="505" t="s">
        <v>40</v>
      </c>
      <c r="F21" s="548">
        <f t="shared" ref="F21:Q21" si="5">F26+F25</f>
        <v>0</v>
      </c>
      <c r="G21" s="548">
        <f t="shared" si="5"/>
        <v>7660012</v>
      </c>
      <c r="H21" s="548">
        <f t="shared" si="5"/>
        <v>7660012</v>
      </c>
      <c r="I21" s="548">
        <f t="shared" si="5"/>
        <v>7660012</v>
      </c>
      <c r="J21" s="548">
        <f t="shared" si="5"/>
        <v>0</v>
      </c>
      <c r="K21" s="548">
        <f t="shared" si="5"/>
        <v>0</v>
      </c>
      <c r="L21" s="548">
        <f t="shared" si="5"/>
        <v>0</v>
      </c>
      <c r="M21" s="548">
        <f t="shared" si="5"/>
        <v>0</v>
      </c>
      <c r="N21" s="548">
        <f t="shared" si="5"/>
        <v>0</v>
      </c>
      <c r="O21" s="548">
        <f t="shared" si="5"/>
        <v>7660012</v>
      </c>
      <c r="P21" s="548">
        <f t="shared" si="5"/>
        <v>7660012</v>
      </c>
      <c r="Q21" s="548">
        <f t="shared" si="5"/>
        <v>7660012</v>
      </c>
    </row>
    <row r="22" spans="2:18" ht="15.75" thickTop="1" thickBot="1" x14ac:dyDescent="0.25">
      <c r="B22" s="549" t="s">
        <v>847</v>
      </c>
      <c r="C22" s="549" t="s">
        <v>697</v>
      </c>
      <c r="D22" s="549"/>
      <c r="E22" s="550" t="s">
        <v>853</v>
      </c>
      <c r="F22" s="551">
        <f>F23</f>
        <v>0</v>
      </c>
      <c r="G22" s="551">
        <f t="shared" ref="G22:Q24" si="6">G23</f>
        <v>7660012</v>
      </c>
      <c r="H22" s="551">
        <f t="shared" si="6"/>
        <v>7660012</v>
      </c>
      <c r="I22" s="551">
        <f t="shared" si="6"/>
        <v>7660012</v>
      </c>
      <c r="J22" s="551">
        <f t="shared" si="6"/>
        <v>0</v>
      </c>
      <c r="K22" s="551">
        <f t="shared" si="6"/>
        <v>0</v>
      </c>
      <c r="L22" s="551">
        <f t="shared" si="6"/>
        <v>0</v>
      </c>
      <c r="M22" s="551">
        <f t="shared" si="6"/>
        <v>0</v>
      </c>
      <c r="N22" s="551">
        <f t="shared" si="6"/>
        <v>0</v>
      </c>
      <c r="O22" s="551">
        <f t="shared" si="6"/>
        <v>7660012</v>
      </c>
      <c r="P22" s="551">
        <f t="shared" si="6"/>
        <v>7660012</v>
      </c>
      <c r="Q22" s="551">
        <f t="shared" si="6"/>
        <v>7660012</v>
      </c>
    </row>
    <row r="23" spans="2:18" ht="16.5" thickTop="1" thickBot="1" x14ac:dyDescent="0.25">
      <c r="B23" s="552" t="s">
        <v>1397</v>
      </c>
      <c r="C23" s="552" t="s">
        <v>855</v>
      </c>
      <c r="D23" s="552"/>
      <c r="E23" s="553" t="s">
        <v>856</v>
      </c>
      <c r="F23" s="554">
        <f>F24</f>
        <v>0</v>
      </c>
      <c r="G23" s="554">
        <f>G24</f>
        <v>7660012</v>
      </c>
      <c r="H23" s="554">
        <f t="shared" si="6"/>
        <v>7660012</v>
      </c>
      <c r="I23" s="554">
        <f t="shared" si="6"/>
        <v>7660012</v>
      </c>
      <c r="J23" s="554">
        <f t="shared" si="6"/>
        <v>0</v>
      </c>
      <c r="K23" s="554">
        <f t="shared" si="6"/>
        <v>0</v>
      </c>
      <c r="L23" s="554">
        <f t="shared" si="6"/>
        <v>0</v>
      </c>
      <c r="M23" s="554">
        <f t="shared" si="6"/>
        <v>0</v>
      </c>
      <c r="N23" s="554">
        <f t="shared" si="6"/>
        <v>0</v>
      </c>
      <c r="O23" s="554">
        <f t="shared" si="6"/>
        <v>7660012</v>
      </c>
      <c r="P23" s="554">
        <f t="shared" si="6"/>
        <v>7660012</v>
      </c>
      <c r="Q23" s="554">
        <f t="shared" si="6"/>
        <v>7660012</v>
      </c>
    </row>
    <row r="24" spans="2:18" ht="46.5" thickTop="1" thickBot="1" x14ac:dyDescent="0.25">
      <c r="B24" s="555" t="s">
        <v>1398</v>
      </c>
      <c r="C24" s="556" t="s">
        <v>858</v>
      </c>
      <c r="D24" s="556"/>
      <c r="E24" s="557" t="s">
        <v>1162</v>
      </c>
      <c r="F24" s="558">
        <f>SUM(F25:F26)</f>
        <v>0</v>
      </c>
      <c r="G24" s="558">
        <f>G25</f>
        <v>7660012</v>
      </c>
      <c r="H24" s="558">
        <f t="shared" si="6"/>
        <v>7660012</v>
      </c>
      <c r="I24" s="558">
        <f t="shared" si="6"/>
        <v>7660012</v>
      </c>
      <c r="J24" s="558">
        <f t="shared" si="6"/>
        <v>0</v>
      </c>
      <c r="K24" s="558">
        <f t="shared" si="6"/>
        <v>0</v>
      </c>
      <c r="L24" s="558">
        <f t="shared" si="6"/>
        <v>0</v>
      </c>
      <c r="M24" s="558">
        <f t="shared" ref="M24:M27" si="7">J24+K24</f>
        <v>0</v>
      </c>
      <c r="N24" s="558">
        <f t="shared" ref="N24:N27" si="8">F24+J24</f>
        <v>0</v>
      </c>
      <c r="O24" s="558">
        <f t="shared" ref="O24:O27" si="9">G24+K24</f>
        <v>7660012</v>
      </c>
      <c r="P24" s="558">
        <f t="shared" si="6"/>
        <v>7660012</v>
      </c>
      <c r="Q24" s="558">
        <f t="shared" si="6"/>
        <v>7660012</v>
      </c>
    </row>
    <row r="25" spans="2:18" ht="61.5" thickTop="1" thickBot="1" x14ac:dyDescent="0.25">
      <c r="B25" s="555" t="s">
        <v>1399</v>
      </c>
      <c r="C25" s="555" t="s">
        <v>1400</v>
      </c>
      <c r="D25" s="555" t="s">
        <v>170</v>
      </c>
      <c r="E25" s="336" t="s">
        <v>1163</v>
      </c>
      <c r="F25" s="559">
        <v>0</v>
      </c>
      <c r="G25" s="559">
        <f>G27</f>
        <v>7660012</v>
      </c>
      <c r="H25" s="559">
        <f t="shared" ref="H25:P25" si="10">H27</f>
        <v>7660012</v>
      </c>
      <c r="I25" s="559">
        <f>I27</f>
        <v>7660012</v>
      </c>
      <c r="J25" s="559">
        <f t="shared" si="10"/>
        <v>0</v>
      </c>
      <c r="K25" s="559">
        <f t="shared" si="10"/>
        <v>0</v>
      </c>
      <c r="L25" s="559">
        <f t="shared" si="10"/>
        <v>0</v>
      </c>
      <c r="M25" s="559">
        <f t="shared" si="7"/>
        <v>0</v>
      </c>
      <c r="N25" s="559">
        <f t="shared" si="8"/>
        <v>0</v>
      </c>
      <c r="O25" s="559">
        <f t="shared" si="9"/>
        <v>7660012</v>
      </c>
      <c r="P25" s="559">
        <f t="shared" si="10"/>
        <v>7660012</v>
      </c>
      <c r="Q25" s="559">
        <f t="shared" ref="P25:Q27" si="11">I25+M25</f>
        <v>7660012</v>
      </c>
    </row>
    <row r="26" spans="2:18" ht="61.5" hidden="1" thickTop="1" thickBot="1" x14ac:dyDescent="0.25">
      <c r="B26" s="555" t="s">
        <v>1401</v>
      </c>
      <c r="C26" s="555" t="s">
        <v>1402</v>
      </c>
      <c r="D26" s="555" t="s">
        <v>170</v>
      </c>
      <c r="E26" s="336" t="s">
        <v>1403</v>
      </c>
      <c r="F26" s="559">
        <v>0</v>
      </c>
      <c r="G26" s="559">
        <f>H26</f>
        <v>0</v>
      </c>
      <c r="H26" s="559">
        <v>0</v>
      </c>
      <c r="I26" s="559">
        <f>F26+G26</f>
        <v>0</v>
      </c>
      <c r="J26" s="559">
        <v>0</v>
      </c>
      <c r="K26" s="559"/>
      <c r="L26" s="559"/>
      <c r="M26" s="559">
        <f t="shared" si="7"/>
        <v>0</v>
      </c>
      <c r="N26" s="559">
        <f t="shared" si="8"/>
        <v>0</v>
      </c>
      <c r="O26" s="559">
        <f t="shared" si="9"/>
        <v>0</v>
      </c>
      <c r="P26" s="559">
        <f t="shared" si="11"/>
        <v>0</v>
      </c>
      <c r="Q26" s="559">
        <f t="shared" si="11"/>
        <v>0</v>
      </c>
    </row>
    <row r="27" spans="2:18" ht="31.5" thickTop="1" thickBot="1" x14ac:dyDescent="0.25">
      <c r="B27" s="555" t="s">
        <v>1404</v>
      </c>
      <c r="C27" s="555"/>
      <c r="D27" s="555"/>
      <c r="E27" s="336" t="s">
        <v>1405</v>
      </c>
      <c r="F27" s="559">
        <v>0</v>
      </c>
      <c r="G27" s="559">
        <v>7660012</v>
      </c>
      <c r="H27" s="559">
        <v>7660012</v>
      </c>
      <c r="I27" s="559">
        <f>F27+G27</f>
        <v>7660012</v>
      </c>
      <c r="J27" s="559">
        <v>0</v>
      </c>
      <c r="K27" s="559">
        <v>0</v>
      </c>
      <c r="L27" s="559">
        <v>0</v>
      </c>
      <c r="M27" s="559">
        <f t="shared" si="7"/>
        <v>0</v>
      </c>
      <c r="N27" s="559">
        <f t="shared" si="8"/>
        <v>0</v>
      </c>
      <c r="O27" s="559">
        <f t="shared" si="9"/>
        <v>7660012</v>
      </c>
      <c r="P27" s="559">
        <f t="shared" si="11"/>
        <v>7660012</v>
      </c>
      <c r="Q27" s="559">
        <f t="shared" si="11"/>
        <v>7660012</v>
      </c>
    </row>
    <row r="28" spans="2:18" ht="27.75" customHeight="1" thickTop="1" thickBot="1" x14ac:dyDescent="0.25">
      <c r="B28" s="560" t="s">
        <v>381</v>
      </c>
      <c r="C28" s="560" t="s">
        <v>381</v>
      </c>
      <c r="D28" s="560" t="s">
        <v>381</v>
      </c>
      <c r="E28" s="560" t="s">
        <v>391</v>
      </c>
      <c r="F28" s="561">
        <f>F12+F20</f>
        <v>0</v>
      </c>
      <c r="G28" s="561">
        <f t="shared" ref="G28:P28" si="12">G12+G20</f>
        <v>7660012</v>
      </c>
      <c r="H28" s="561">
        <f t="shared" si="12"/>
        <v>7660012</v>
      </c>
      <c r="I28" s="561">
        <f t="shared" si="12"/>
        <v>7660012</v>
      </c>
      <c r="J28" s="561">
        <f t="shared" si="12"/>
        <v>0</v>
      </c>
      <c r="K28" s="561">
        <f t="shared" si="12"/>
        <v>0</v>
      </c>
      <c r="L28" s="561">
        <f t="shared" si="12"/>
        <v>0</v>
      </c>
      <c r="M28" s="561">
        <f t="shared" si="12"/>
        <v>0</v>
      </c>
      <c r="N28" s="561">
        <f t="shared" si="12"/>
        <v>0</v>
      </c>
      <c r="O28" s="561">
        <f t="shared" si="12"/>
        <v>7660012</v>
      </c>
      <c r="P28" s="561">
        <f t="shared" si="12"/>
        <v>7660012</v>
      </c>
      <c r="Q28" s="561">
        <f>Q12+Q20</f>
        <v>7660012</v>
      </c>
      <c r="R28" s="563" t="b">
        <f>Q28=N28+O28</f>
        <v>1</v>
      </c>
    </row>
    <row r="29" spans="2:18" ht="16.5" customHeight="1" thickTop="1" x14ac:dyDescent="0.2">
      <c r="B29" s="443"/>
      <c r="C29" s="443"/>
      <c r="D29" s="443"/>
      <c r="E29" s="444"/>
      <c r="F29" s="445"/>
      <c r="G29" s="445"/>
      <c r="H29" s="445"/>
      <c r="I29" s="445"/>
      <c r="J29" s="445"/>
      <c r="K29" s="445"/>
      <c r="L29" s="445"/>
      <c r="M29" s="445"/>
      <c r="N29" s="445"/>
      <c r="O29" s="445"/>
      <c r="P29" s="445"/>
      <c r="Q29" s="445"/>
    </row>
    <row r="30" spans="2:18" ht="15" x14ac:dyDescent="0.25">
      <c r="B30" s="443"/>
      <c r="C30" s="443"/>
      <c r="D30" s="794" t="s">
        <v>1515</v>
      </c>
      <c r="E30" s="708"/>
      <c r="F30" s="345"/>
      <c r="G30" s="346"/>
      <c r="H30" s="344"/>
      <c r="I30" s="346"/>
      <c r="J30" s="344"/>
      <c r="K30" s="346" t="s">
        <v>1516</v>
      </c>
      <c r="L30" s="346"/>
      <c r="M30" s="346"/>
      <c r="N30" s="346"/>
      <c r="O30" s="346"/>
      <c r="P30" s="346"/>
      <c r="Q30" s="445"/>
    </row>
    <row r="31" spans="2:18" ht="15" hidden="1" x14ac:dyDescent="0.25">
      <c r="B31" s="443"/>
      <c r="C31" s="443"/>
      <c r="D31" s="344" t="s">
        <v>1479</v>
      </c>
      <c r="E31" s="345"/>
      <c r="F31" s="345"/>
      <c r="G31" s="346"/>
      <c r="H31" s="344"/>
      <c r="I31" s="346"/>
      <c r="J31" s="344"/>
      <c r="K31" s="344" t="s">
        <v>1480</v>
      </c>
      <c r="L31" s="346"/>
      <c r="M31" s="346"/>
      <c r="N31" s="346"/>
      <c r="O31" s="346"/>
      <c r="P31" s="346"/>
      <c r="Q31" s="445"/>
    </row>
    <row r="32" spans="2:18" ht="15" x14ac:dyDescent="0.25">
      <c r="B32" s="443"/>
      <c r="C32" s="448"/>
      <c r="D32" s="798"/>
      <c r="E32" s="798"/>
      <c r="F32" s="798"/>
      <c r="G32" s="798"/>
      <c r="H32" s="798"/>
      <c r="I32" s="798"/>
      <c r="J32" s="798"/>
      <c r="K32" s="798"/>
      <c r="L32" s="798"/>
      <c r="M32" s="798"/>
      <c r="N32" s="798"/>
      <c r="O32" s="798"/>
      <c r="P32" s="798"/>
      <c r="Q32" s="445"/>
    </row>
    <row r="33" spans="2:17" ht="15" customHeight="1" x14ac:dyDescent="0.25">
      <c r="B33" s="181"/>
      <c r="C33" s="181"/>
      <c r="D33" s="794" t="s">
        <v>524</v>
      </c>
      <c r="E33" s="708"/>
      <c r="F33" s="533"/>
      <c r="G33" s="562"/>
      <c r="H33" s="562"/>
      <c r="I33" s="346"/>
      <c r="J33" s="346"/>
      <c r="K33" s="344" t="s">
        <v>1374</v>
      </c>
      <c r="L33" s="346"/>
      <c r="M33" s="346"/>
      <c r="N33" s="346"/>
      <c r="O33" s="346"/>
      <c r="P33" s="346"/>
      <c r="Q33" s="182"/>
    </row>
    <row r="34" spans="2:17" ht="15" x14ac:dyDescent="0.25">
      <c r="B34" s="181"/>
      <c r="C34" s="181"/>
      <c r="D34" s="796"/>
      <c r="E34" s="796"/>
      <c r="F34" s="796"/>
      <c r="G34" s="796"/>
      <c r="H34" s="796"/>
      <c r="I34" s="796"/>
      <c r="J34" s="796"/>
      <c r="K34" s="796"/>
      <c r="L34" s="796"/>
      <c r="M34" s="796"/>
      <c r="N34" s="796"/>
      <c r="O34" s="796"/>
      <c r="P34" s="796"/>
      <c r="Q34" s="182"/>
    </row>
    <row r="35" spans="2:17" ht="15" x14ac:dyDescent="0.25">
      <c r="D35" s="796"/>
      <c r="E35" s="796"/>
      <c r="F35" s="796"/>
      <c r="G35" s="796"/>
      <c r="H35" s="796"/>
      <c r="I35" s="796"/>
      <c r="J35" s="796"/>
      <c r="K35" s="796"/>
      <c r="L35" s="796"/>
      <c r="M35" s="796"/>
      <c r="N35" s="796"/>
      <c r="O35" s="796"/>
      <c r="P35" s="796"/>
    </row>
    <row r="36" spans="2:17" ht="15" x14ac:dyDescent="0.25">
      <c r="D36" s="796"/>
      <c r="E36" s="796"/>
      <c r="F36" s="796"/>
      <c r="G36" s="796"/>
      <c r="H36" s="796"/>
      <c r="I36" s="796"/>
      <c r="J36" s="796"/>
      <c r="K36" s="796"/>
      <c r="L36" s="796"/>
      <c r="M36" s="796"/>
      <c r="N36" s="796"/>
      <c r="O36" s="796"/>
      <c r="P36" s="796"/>
    </row>
    <row r="37" spans="2:17" ht="15" x14ac:dyDescent="0.2">
      <c r="D37" s="183"/>
      <c r="E37" s="184"/>
      <c r="F37" s="185"/>
      <c r="G37" s="183"/>
      <c r="H37" s="183"/>
      <c r="I37" s="186"/>
      <c r="J37" s="184"/>
      <c r="K37" s="186"/>
      <c r="L37" s="183"/>
      <c r="M37" s="183"/>
      <c r="N37" s="186"/>
      <c r="O37" s="187"/>
      <c r="P37" s="188"/>
    </row>
    <row r="38" spans="2:17" ht="15" x14ac:dyDescent="0.25"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</row>
    <row r="63" spans="7:7" x14ac:dyDescent="0.2">
      <c r="G63" s="7">
        <f>H63+I63</f>
        <v>0</v>
      </c>
    </row>
    <row r="65" spans="7:7" x14ac:dyDescent="0.2">
      <c r="G65" s="7">
        <f t="shared" ref="G65:G83" si="13">H65+I65</f>
        <v>0</v>
      </c>
    </row>
    <row r="66" spans="7:7" x14ac:dyDescent="0.2">
      <c r="G66" s="7">
        <f t="shared" si="13"/>
        <v>0</v>
      </c>
    </row>
    <row r="67" spans="7:7" x14ac:dyDescent="0.2">
      <c r="G67" s="7">
        <f t="shared" si="13"/>
        <v>0</v>
      </c>
    </row>
    <row r="68" spans="7:7" x14ac:dyDescent="0.2">
      <c r="G68" s="7">
        <f t="shared" si="13"/>
        <v>0</v>
      </c>
    </row>
    <row r="69" spans="7:7" x14ac:dyDescent="0.2">
      <c r="G69" s="7">
        <f t="shared" si="13"/>
        <v>0</v>
      </c>
    </row>
    <row r="70" spans="7:7" x14ac:dyDescent="0.2">
      <c r="G70" s="7">
        <f t="shared" si="13"/>
        <v>0</v>
      </c>
    </row>
    <row r="71" spans="7:7" x14ac:dyDescent="0.2">
      <c r="G71" s="7">
        <f t="shared" si="13"/>
        <v>0</v>
      </c>
    </row>
    <row r="72" spans="7:7" x14ac:dyDescent="0.2">
      <c r="G72" s="7">
        <f t="shared" si="13"/>
        <v>0</v>
      </c>
    </row>
    <row r="73" spans="7:7" x14ac:dyDescent="0.2">
      <c r="G73" s="7">
        <f t="shared" si="13"/>
        <v>0</v>
      </c>
    </row>
    <row r="74" spans="7:7" x14ac:dyDescent="0.2">
      <c r="G74" s="7">
        <f t="shared" si="13"/>
        <v>0</v>
      </c>
    </row>
    <row r="75" spans="7:7" x14ac:dyDescent="0.2">
      <c r="G75" s="7">
        <f t="shared" si="13"/>
        <v>0</v>
      </c>
    </row>
    <row r="76" spans="7:7" x14ac:dyDescent="0.2">
      <c r="G76" s="7">
        <f t="shared" si="13"/>
        <v>0</v>
      </c>
    </row>
    <row r="77" spans="7:7" x14ac:dyDescent="0.2">
      <c r="G77" s="7">
        <f t="shared" si="13"/>
        <v>0</v>
      </c>
    </row>
    <row r="78" spans="7:7" x14ac:dyDescent="0.2">
      <c r="G78" s="7">
        <f t="shared" si="13"/>
        <v>0</v>
      </c>
    </row>
    <row r="79" spans="7:7" x14ac:dyDescent="0.2">
      <c r="G79" s="7">
        <f t="shared" si="13"/>
        <v>0</v>
      </c>
    </row>
    <row r="80" spans="7:7" x14ac:dyDescent="0.2">
      <c r="G80" s="7">
        <f t="shared" si="13"/>
        <v>0</v>
      </c>
    </row>
    <row r="81" spans="7:7" x14ac:dyDescent="0.2">
      <c r="G81" s="7">
        <f t="shared" si="13"/>
        <v>0</v>
      </c>
    </row>
    <row r="82" spans="7:7" x14ac:dyDescent="0.2">
      <c r="G82" s="7">
        <f t="shared" si="13"/>
        <v>0</v>
      </c>
    </row>
    <row r="83" spans="7:7" x14ac:dyDescent="0.2">
      <c r="G83" s="7">
        <f t="shared" si="13"/>
        <v>0</v>
      </c>
    </row>
    <row r="85" spans="7:7" x14ac:dyDescent="0.2">
      <c r="G85" s="7">
        <f>H85+I85</f>
        <v>0</v>
      </c>
    </row>
    <row r="86" spans="7:7" x14ac:dyDescent="0.2">
      <c r="G86" s="7">
        <f>H86+I86</f>
        <v>0</v>
      </c>
    </row>
    <row r="87" spans="7:7" x14ac:dyDescent="0.2">
      <c r="G87" s="7">
        <f>H87+I87</f>
        <v>0</v>
      </c>
    </row>
    <row r="88" spans="7:7" x14ac:dyDescent="0.2">
      <c r="G88" s="7">
        <f>H88+I88</f>
        <v>0</v>
      </c>
    </row>
    <row r="90" spans="7:7" x14ac:dyDescent="0.2">
      <c r="G90" s="7">
        <f>H90+I90</f>
        <v>0</v>
      </c>
    </row>
    <row r="93" spans="7:7" x14ac:dyDescent="0.2">
      <c r="G93" s="786"/>
    </row>
    <row r="94" spans="7:7" x14ac:dyDescent="0.2">
      <c r="G94" s="787"/>
    </row>
    <row r="130" spans="7:7" x14ac:dyDescent="0.2">
      <c r="G130" s="7">
        <f>H130+I130</f>
        <v>0</v>
      </c>
    </row>
    <row r="132" spans="7:7" x14ac:dyDescent="0.2">
      <c r="G132" s="7">
        <f t="shared" ref="G132:G142" si="14">H132+I132</f>
        <v>0</v>
      </c>
    </row>
    <row r="133" spans="7:7" x14ac:dyDescent="0.2">
      <c r="G133" s="7">
        <f t="shared" si="14"/>
        <v>0</v>
      </c>
    </row>
    <row r="134" spans="7:7" x14ac:dyDescent="0.2">
      <c r="G134" s="7">
        <f t="shared" si="14"/>
        <v>0</v>
      </c>
    </row>
    <row r="135" spans="7:7" x14ac:dyDescent="0.2">
      <c r="G135" s="7">
        <f t="shared" si="14"/>
        <v>0</v>
      </c>
    </row>
    <row r="136" spans="7:7" x14ac:dyDescent="0.2">
      <c r="G136" s="7">
        <f t="shared" si="14"/>
        <v>0</v>
      </c>
    </row>
    <row r="137" spans="7:7" x14ac:dyDescent="0.2">
      <c r="G137" s="7">
        <f t="shared" si="14"/>
        <v>0</v>
      </c>
    </row>
    <row r="138" spans="7:7" x14ac:dyDescent="0.2">
      <c r="G138" s="7">
        <f t="shared" si="14"/>
        <v>0</v>
      </c>
    </row>
    <row r="139" spans="7:7" x14ac:dyDescent="0.2">
      <c r="G139" s="7">
        <f t="shared" si="14"/>
        <v>0</v>
      </c>
    </row>
    <row r="140" spans="7:7" x14ac:dyDescent="0.2">
      <c r="G140" s="7">
        <f t="shared" si="14"/>
        <v>0</v>
      </c>
    </row>
    <row r="141" spans="7:7" x14ac:dyDescent="0.2">
      <c r="G141" s="7">
        <f t="shared" si="14"/>
        <v>0</v>
      </c>
    </row>
    <row r="142" spans="7:7" x14ac:dyDescent="0.2">
      <c r="G142" s="7">
        <f t="shared" si="14"/>
        <v>0</v>
      </c>
    </row>
    <row r="144" spans="7:7" x14ac:dyDescent="0.2">
      <c r="G144" s="7">
        <f>H145+I145</f>
        <v>0</v>
      </c>
    </row>
    <row r="145" spans="7:10" x14ac:dyDescent="0.2">
      <c r="G145" s="7">
        <f t="shared" ref="G145" si="15">H145+I145</f>
        <v>0</v>
      </c>
    </row>
    <row r="146" spans="7:10" x14ac:dyDescent="0.2">
      <c r="G146" s="7">
        <f>H146+I146</f>
        <v>0</v>
      </c>
    </row>
    <row r="147" spans="7:10" x14ac:dyDescent="0.2">
      <c r="G147" s="7">
        <f>H147+I147</f>
        <v>0</v>
      </c>
    </row>
    <row r="148" spans="7:10" x14ac:dyDescent="0.2">
      <c r="G148" s="7">
        <f>H148+I148</f>
        <v>0</v>
      </c>
    </row>
    <row r="149" spans="7:10" x14ac:dyDescent="0.2">
      <c r="G149" s="7">
        <f>H149+I149</f>
        <v>0</v>
      </c>
    </row>
    <row r="154" spans="7:10" ht="46.5" x14ac:dyDescent="0.65">
      <c r="J154" s="190"/>
    </row>
    <row r="157" spans="7:10" ht="46.5" x14ac:dyDescent="0.65">
      <c r="G157" s="190">
        <f>H157+I157</f>
        <v>0</v>
      </c>
      <c r="J157" s="190"/>
    </row>
    <row r="176" spans="11:11" ht="90" x14ac:dyDescent="1.1499999999999999">
      <c r="K176" s="191" t="b">
        <f>G176=H176+I176</f>
        <v>1</v>
      </c>
    </row>
  </sheetData>
  <mergeCells count="29">
    <mergeCell ref="O9:P9"/>
    <mergeCell ref="D36:P36"/>
    <mergeCell ref="D35:P35"/>
    <mergeCell ref="M2:Q2"/>
    <mergeCell ref="E3:M3"/>
    <mergeCell ref="J8:M8"/>
    <mergeCell ref="N8:Q8"/>
    <mergeCell ref="Q9:Q10"/>
    <mergeCell ref="M9:M10"/>
    <mergeCell ref="N9:N10"/>
    <mergeCell ref="J9:J10"/>
    <mergeCell ref="D34:P34"/>
    <mergeCell ref="G9:H9"/>
    <mergeCell ref="K9:L9"/>
    <mergeCell ref="D32:P32"/>
    <mergeCell ref="D30:E30"/>
    <mergeCell ref="B3:C3"/>
    <mergeCell ref="B5:C5"/>
    <mergeCell ref="B6:C6"/>
    <mergeCell ref="G93:G94"/>
    <mergeCell ref="B8:B10"/>
    <mergeCell ref="C8:C10"/>
    <mergeCell ref="D8:D10"/>
    <mergeCell ref="E8:E10"/>
    <mergeCell ref="F8:I8"/>
    <mergeCell ref="F9:F10"/>
    <mergeCell ref="I9:I10"/>
    <mergeCell ref="E4:M4"/>
    <mergeCell ref="D33:E33"/>
  </mergeCells>
  <printOptions horizontalCentered="1"/>
  <pageMargins left="0.19685039370078741" right="0" top="0.59055118110236227" bottom="0.39370078740157483" header="0.31496062992125984" footer="0.31496062992125984"/>
  <pageSetup paperSize="9" scale="55" fitToHeight="0" orientation="landscape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23"/>
  <sheetViews>
    <sheetView view="pageBreakPreview" topLeftCell="A91" zoomScale="40" zoomScaleNormal="25" zoomScaleSheetLayoutView="40" zoomScalePageLayoutView="10" workbookViewId="0">
      <selection activeCell="C127" sqref="C127"/>
    </sheetView>
  </sheetViews>
  <sheetFormatPr defaultColWidth="9.140625" defaultRowHeight="12.75" x14ac:dyDescent="0.2"/>
  <cols>
    <col min="1" max="1" width="62.28515625" style="204" customWidth="1"/>
    <col min="2" max="2" width="49.140625" style="204" customWidth="1"/>
    <col min="3" max="3" width="150.140625" style="204" customWidth="1"/>
    <col min="4" max="4" width="69.7109375" style="204" customWidth="1"/>
    <col min="5" max="6" width="26.5703125" style="194" bestFit="1" customWidth="1"/>
    <col min="7" max="16384" width="9.140625" style="194"/>
  </cols>
  <sheetData>
    <row r="1" spans="1:15" ht="48.75" customHeight="1" x14ac:dyDescent="0.35">
      <c r="A1" s="75"/>
      <c r="B1" s="603"/>
      <c r="C1" s="603"/>
      <c r="D1" s="604" t="s">
        <v>591</v>
      </c>
      <c r="E1" s="193"/>
      <c r="F1" s="193"/>
      <c r="G1" s="193"/>
      <c r="H1" s="193"/>
    </row>
    <row r="2" spans="1:15" ht="84.75" customHeight="1" x14ac:dyDescent="0.35">
      <c r="A2" s="76"/>
      <c r="B2" s="603"/>
      <c r="C2" s="603"/>
      <c r="D2" s="604" t="s">
        <v>1317</v>
      </c>
      <c r="E2" s="193"/>
      <c r="F2" s="193"/>
      <c r="G2" s="193"/>
      <c r="H2" s="193"/>
    </row>
    <row r="3" spans="1:15" ht="40.700000000000003" customHeight="1" x14ac:dyDescent="0.2">
      <c r="A3" s="76"/>
      <c r="B3" s="76"/>
      <c r="C3" s="76"/>
      <c r="D3" s="77"/>
      <c r="N3" s="824"/>
      <c r="O3" s="824"/>
    </row>
    <row r="4" spans="1:15" ht="45.75" hidden="1" x14ac:dyDescent="0.2">
      <c r="A4" s="76"/>
      <c r="B4" s="76"/>
      <c r="C4" s="76"/>
      <c r="D4" s="77"/>
      <c r="N4" s="824"/>
      <c r="O4" s="825"/>
    </row>
    <row r="5" spans="1:15" ht="45.75" x14ac:dyDescent="0.2">
      <c r="A5" s="742" t="s">
        <v>1575</v>
      </c>
      <c r="B5" s="742"/>
      <c r="C5" s="742"/>
      <c r="D5" s="742"/>
      <c r="N5" s="824"/>
      <c r="O5" s="825"/>
    </row>
    <row r="6" spans="1:15" ht="45.75" x14ac:dyDescent="0.65">
      <c r="A6" s="743">
        <v>2256400000</v>
      </c>
      <c r="B6" s="712"/>
      <c r="C6" s="712"/>
      <c r="D6" s="712"/>
    </row>
    <row r="7" spans="1:15" ht="45.75" x14ac:dyDescent="0.2">
      <c r="A7" s="748" t="s">
        <v>490</v>
      </c>
      <c r="B7" s="712"/>
      <c r="C7" s="712"/>
      <c r="D7" s="712"/>
    </row>
    <row r="8" spans="1:15" ht="45.75" x14ac:dyDescent="0.2">
      <c r="A8" s="492"/>
      <c r="B8" s="494"/>
      <c r="C8" s="494"/>
      <c r="D8" s="494"/>
    </row>
    <row r="9" spans="1:15" ht="53.45" customHeight="1" x14ac:dyDescent="0.2">
      <c r="A9" s="809" t="s">
        <v>1119</v>
      </c>
      <c r="B9" s="810"/>
      <c r="C9" s="810"/>
      <c r="D9" s="810"/>
    </row>
    <row r="10" spans="1:15" ht="53.45" customHeight="1" thickBot="1" x14ac:dyDescent="0.25">
      <c r="A10" s="77"/>
      <c r="B10" s="77"/>
      <c r="C10" s="77"/>
      <c r="D10" s="316" t="s">
        <v>404</v>
      </c>
    </row>
    <row r="11" spans="1:15" ht="140.25" customHeight="1" thickTop="1" thickBot="1" x14ac:dyDescent="0.25">
      <c r="A11" s="317" t="s">
        <v>596</v>
      </c>
      <c r="B11" s="814" t="s">
        <v>595</v>
      </c>
      <c r="C11" s="815"/>
      <c r="D11" s="317" t="s">
        <v>383</v>
      </c>
    </row>
    <row r="12" spans="1:15" s="195" customFormat="1" ht="47.25" thickTop="1" thickBot="1" x14ac:dyDescent="0.25">
      <c r="A12" s="103" t="s">
        <v>2</v>
      </c>
      <c r="B12" s="816" t="s">
        <v>3</v>
      </c>
      <c r="C12" s="817"/>
      <c r="D12" s="103" t="s">
        <v>14</v>
      </c>
    </row>
    <row r="13" spans="1:15" s="195" customFormat="1" ht="70.5" customHeight="1" thickTop="1" thickBot="1" x14ac:dyDescent="0.25">
      <c r="A13" s="811" t="s">
        <v>597</v>
      </c>
      <c r="B13" s="812"/>
      <c r="C13" s="812"/>
      <c r="D13" s="813"/>
    </row>
    <row r="14" spans="1:15" s="195" customFormat="1" ht="70.5" hidden="1" customHeight="1" thickTop="1" thickBot="1" x14ac:dyDescent="0.25">
      <c r="A14" s="125" t="s">
        <v>1367</v>
      </c>
      <c r="B14" s="818" t="s">
        <v>1366</v>
      </c>
      <c r="C14" s="819"/>
      <c r="D14" s="450">
        <f>SUM(D15)</f>
        <v>0</v>
      </c>
    </row>
    <row r="15" spans="1:15" s="195" customFormat="1" ht="254.25" hidden="1" customHeight="1" thickTop="1" thickBot="1" x14ac:dyDescent="0.25">
      <c r="A15" s="128">
        <v>41021400</v>
      </c>
      <c r="B15" s="799" t="s">
        <v>1373</v>
      </c>
      <c r="C15" s="800"/>
      <c r="D15" s="452"/>
    </row>
    <row r="16" spans="1:15" s="195" customFormat="1" ht="47.25" hidden="1" thickTop="1" thickBot="1" x14ac:dyDescent="0.25">
      <c r="A16" s="128" t="s">
        <v>1304</v>
      </c>
      <c r="B16" s="799" t="s">
        <v>575</v>
      </c>
      <c r="C16" s="800"/>
      <c r="D16" s="196">
        <f>D15</f>
        <v>0</v>
      </c>
    </row>
    <row r="17" spans="1:6" s="195" customFormat="1" ht="46.5" thickTop="1" thickBot="1" x14ac:dyDescent="0.25">
      <c r="A17" s="311" t="s">
        <v>607</v>
      </c>
      <c r="B17" s="820" t="s">
        <v>438</v>
      </c>
      <c r="C17" s="821"/>
      <c r="D17" s="683">
        <f>SUM(D18:D24)</f>
        <v>752597500</v>
      </c>
    </row>
    <row r="18" spans="1:6" s="195" customFormat="1" ht="47.25" hidden="1" thickTop="1" thickBot="1" x14ac:dyDescent="0.25">
      <c r="A18" s="103" t="s">
        <v>989</v>
      </c>
      <c r="B18" s="801" t="s">
        <v>988</v>
      </c>
      <c r="C18" s="802"/>
      <c r="D18" s="684">
        <v>0</v>
      </c>
    </row>
    <row r="19" spans="1:6" s="195" customFormat="1" ht="47.25" hidden="1" thickTop="1" thickBot="1" x14ac:dyDescent="0.25">
      <c r="A19" s="103" t="s">
        <v>1087</v>
      </c>
      <c r="B19" s="801" t="s">
        <v>1050</v>
      </c>
      <c r="C19" s="802"/>
      <c r="D19" s="684">
        <v>0</v>
      </c>
    </row>
    <row r="20" spans="1:6" s="195" customFormat="1" ht="47.25" thickTop="1" thickBot="1" x14ac:dyDescent="0.25">
      <c r="A20" s="103" t="s">
        <v>606</v>
      </c>
      <c r="B20" s="801" t="s">
        <v>619</v>
      </c>
      <c r="C20" s="802"/>
      <c r="D20" s="318">
        <v>752597500</v>
      </c>
    </row>
    <row r="21" spans="1:6" s="195" customFormat="1" ht="47.25" hidden="1" thickTop="1" thickBot="1" x14ac:dyDescent="0.25">
      <c r="A21" s="103" t="s">
        <v>1085</v>
      </c>
      <c r="B21" s="801" t="s">
        <v>1051</v>
      </c>
      <c r="C21" s="823"/>
      <c r="D21" s="318">
        <v>0</v>
      </c>
    </row>
    <row r="22" spans="1:6" s="195" customFormat="1" ht="47.25" hidden="1" thickTop="1" thickBot="1" x14ac:dyDescent="0.25">
      <c r="A22" s="103" t="s">
        <v>991</v>
      </c>
      <c r="B22" s="801" t="s">
        <v>990</v>
      </c>
      <c r="C22" s="802"/>
      <c r="D22" s="318">
        <v>0</v>
      </c>
    </row>
    <row r="23" spans="1:6" s="195" customFormat="1" ht="47.25" hidden="1" thickTop="1" thickBot="1" x14ac:dyDescent="0.25">
      <c r="A23" s="103" t="s">
        <v>1000</v>
      </c>
      <c r="B23" s="801" t="s">
        <v>1001</v>
      </c>
      <c r="C23" s="802"/>
      <c r="D23" s="318">
        <v>0</v>
      </c>
    </row>
    <row r="24" spans="1:6" s="195" customFormat="1" ht="47.25" hidden="1" thickTop="1" thickBot="1" x14ac:dyDescent="0.25">
      <c r="A24" s="103" t="s">
        <v>981</v>
      </c>
      <c r="B24" s="801" t="s">
        <v>980</v>
      </c>
      <c r="C24" s="802"/>
      <c r="D24" s="318">
        <v>0</v>
      </c>
    </row>
    <row r="25" spans="1:6" s="195" customFormat="1" ht="47.25" thickTop="1" thickBot="1" x14ac:dyDescent="0.25">
      <c r="A25" s="103" t="s">
        <v>1304</v>
      </c>
      <c r="B25" s="801" t="s">
        <v>575</v>
      </c>
      <c r="C25" s="802"/>
      <c r="D25" s="318">
        <f>D17</f>
        <v>752597500</v>
      </c>
    </row>
    <row r="26" spans="1:6" s="195" customFormat="1" ht="46.5" thickTop="1" thickBot="1" x14ac:dyDescent="0.25">
      <c r="A26" s="311" t="s">
        <v>611</v>
      </c>
      <c r="B26" s="820" t="s">
        <v>344</v>
      </c>
      <c r="C26" s="822"/>
      <c r="D26" s="683">
        <f>SUM(D27:D28)</f>
        <v>7509500</v>
      </c>
    </row>
    <row r="27" spans="1:6" s="195" customFormat="1" ht="194.25" customHeight="1" thickTop="1" thickBot="1" x14ac:dyDescent="0.25">
      <c r="A27" s="103" t="s">
        <v>612</v>
      </c>
      <c r="B27" s="801" t="s">
        <v>620</v>
      </c>
      <c r="C27" s="802"/>
      <c r="D27" s="684">
        <v>7509500</v>
      </c>
    </row>
    <row r="28" spans="1:6" s="195" customFormat="1" ht="47.25" hidden="1" thickTop="1" thickBot="1" x14ac:dyDescent="0.25">
      <c r="A28" s="128" t="s">
        <v>1228</v>
      </c>
      <c r="B28" s="799" t="s">
        <v>1227</v>
      </c>
      <c r="C28" s="800"/>
      <c r="D28" s="452"/>
    </row>
    <row r="29" spans="1:6" s="195" customFormat="1" ht="47.25" thickTop="1" thickBot="1" x14ac:dyDescent="0.25">
      <c r="A29" s="103" t="s">
        <v>1308</v>
      </c>
      <c r="B29" s="801" t="s">
        <v>610</v>
      </c>
      <c r="C29" s="802"/>
      <c r="D29" s="318">
        <f>SUM(D27:D28)</f>
        <v>7509500</v>
      </c>
    </row>
    <row r="30" spans="1:6" s="195" customFormat="1" ht="46.5" thickTop="1" thickBot="1" x14ac:dyDescent="0.25">
      <c r="A30" s="311" t="s">
        <v>613</v>
      </c>
      <c r="B30" s="820" t="s">
        <v>614</v>
      </c>
      <c r="C30" s="822"/>
      <c r="D30" s="683">
        <f>D49+D51</f>
        <v>12145237</v>
      </c>
      <c r="E30" s="643" t="b">
        <f>D30=D49+D51</f>
        <v>1</v>
      </c>
      <c r="F30" s="643" t="b">
        <f>D30='d1'!D127</f>
        <v>1</v>
      </c>
    </row>
    <row r="31" spans="1:6" s="195" customFormat="1" ht="367.5" hidden="1" customHeight="1" thickTop="1" x14ac:dyDescent="0.65">
      <c r="A31" s="803" t="s">
        <v>1088</v>
      </c>
      <c r="B31" s="805" t="s">
        <v>1460</v>
      </c>
      <c r="C31" s="806"/>
      <c r="D31" s="722">
        <v>0</v>
      </c>
    </row>
    <row r="32" spans="1:6" s="195" customFormat="1" ht="409.6" hidden="1" customHeight="1" thickBot="1" x14ac:dyDescent="0.25">
      <c r="A32" s="804"/>
      <c r="B32" s="807" t="s">
        <v>1461</v>
      </c>
      <c r="C32" s="808"/>
      <c r="D32" s="804"/>
    </row>
    <row r="33" spans="1:4" s="195" customFormat="1" ht="361.5" hidden="1" customHeight="1" thickTop="1" x14ac:dyDescent="0.65">
      <c r="A33" s="803" t="s">
        <v>1086</v>
      </c>
      <c r="B33" s="805" t="s">
        <v>1462</v>
      </c>
      <c r="C33" s="806"/>
      <c r="D33" s="722">
        <v>0</v>
      </c>
    </row>
    <row r="34" spans="1:4" s="195" customFormat="1" ht="196.5" hidden="1" customHeight="1" thickBot="1" x14ac:dyDescent="0.25">
      <c r="A34" s="804"/>
      <c r="B34" s="807" t="s">
        <v>1463</v>
      </c>
      <c r="C34" s="808"/>
      <c r="D34" s="804"/>
    </row>
    <row r="35" spans="1:4" s="195" customFormat="1" ht="409.6" hidden="1" customHeight="1" thickTop="1" x14ac:dyDescent="0.65">
      <c r="A35" s="803">
        <v>41050600</v>
      </c>
      <c r="B35" s="805" t="s">
        <v>1464</v>
      </c>
      <c r="C35" s="806"/>
      <c r="D35" s="722">
        <v>0</v>
      </c>
    </row>
    <row r="36" spans="1:4" s="195" customFormat="1" ht="385.5" hidden="1" customHeight="1" thickBot="1" x14ac:dyDescent="0.25">
      <c r="A36" s="804"/>
      <c r="B36" s="807" t="s">
        <v>1465</v>
      </c>
      <c r="C36" s="808"/>
      <c r="D36" s="804"/>
    </row>
    <row r="37" spans="1:4" s="195" customFormat="1" ht="174" hidden="1" customHeight="1" thickTop="1" thickBot="1" x14ac:dyDescent="0.25">
      <c r="A37" s="103">
        <v>41050900</v>
      </c>
      <c r="B37" s="801" t="s">
        <v>1089</v>
      </c>
      <c r="C37" s="802"/>
      <c r="D37" s="318">
        <v>0</v>
      </c>
    </row>
    <row r="38" spans="1:4" s="195" customFormat="1" ht="110.25" customHeight="1" thickTop="1" thickBot="1" x14ac:dyDescent="0.25">
      <c r="A38" s="103" t="s">
        <v>615</v>
      </c>
      <c r="B38" s="801" t="s">
        <v>616</v>
      </c>
      <c r="C38" s="802"/>
      <c r="D38" s="318">
        <v>11127203</v>
      </c>
    </row>
    <row r="39" spans="1:4" s="195" customFormat="1" ht="160.5" hidden="1" customHeight="1" thickTop="1" thickBot="1" x14ac:dyDescent="0.25">
      <c r="A39" s="103" t="s">
        <v>617</v>
      </c>
      <c r="B39" s="801" t="s">
        <v>1303</v>
      </c>
      <c r="C39" s="802"/>
      <c r="D39" s="684">
        <v>0</v>
      </c>
    </row>
    <row r="40" spans="1:4" s="195" customFormat="1" ht="47.25" hidden="1" thickTop="1" thickBot="1" x14ac:dyDescent="0.25">
      <c r="A40" s="103" t="s">
        <v>992</v>
      </c>
      <c r="B40" s="801" t="s">
        <v>993</v>
      </c>
      <c r="C40" s="802"/>
      <c r="D40" s="684">
        <v>0</v>
      </c>
    </row>
    <row r="41" spans="1:4" s="195" customFormat="1" ht="180.75" hidden="1" customHeight="1" thickTop="1" thickBot="1" x14ac:dyDescent="0.25">
      <c r="A41" s="103" t="s">
        <v>949</v>
      </c>
      <c r="B41" s="801" t="s">
        <v>950</v>
      </c>
      <c r="C41" s="802"/>
      <c r="D41" s="684">
        <v>0</v>
      </c>
    </row>
    <row r="42" spans="1:4" s="195" customFormat="1" ht="47.25" thickTop="1" thickBot="1" x14ac:dyDescent="0.25">
      <c r="A42" s="103">
        <v>41053900</v>
      </c>
      <c r="B42" s="801" t="s">
        <v>364</v>
      </c>
      <c r="C42" s="802"/>
      <c r="D42" s="684">
        <v>1018034</v>
      </c>
    </row>
    <row r="43" spans="1:4" s="195" customFormat="1" ht="20.25" hidden="1" thickTop="1" x14ac:dyDescent="0.65">
      <c r="A43" s="803" t="s">
        <v>1090</v>
      </c>
      <c r="B43" s="805" t="s">
        <v>1091</v>
      </c>
      <c r="C43" s="806"/>
      <c r="D43" s="722">
        <v>0</v>
      </c>
    </row>
    <row r="44" spans="1:4" s="195" customFormat="1" ht="13.5" hidden="1" thickBot="1" x14ac:dyDescent="0.25">
      <c r="A44" s="804"/>
      <c r="B44" s="807" t="s">
        <v>1092</v>
      </c>
      <c r="C44" s="808"/>
      <c r="D44" s="804"/>
    </row>
    <row r="45" spans="1:4" s="195" customFormat="1" ht="47.25" hidden="1" thickTop="1" thickBot="1" x14ac:dyDescent="0.25">
      <c r="A45" s="103" t="s">
        <v>618</v>
      </c>
      <c r="B45" s="801" t="s">
        <v>621</v>
      </c>
      <c r="C45" s="802"/>
      <c r="D45" s="684">
        <v>0</v>
      </c>
    </row>
    <row r="46" spans="1:4" s="195" customFormat="1" ht="47.25" hidden="1" thickTop="1" thickBot="1" x14ac:dyDescent="0.25">
      <c r="A46" s="103" t="s">
        <v>1032</v>
      </c>
      <c r="B46" s="801" t="s">
        <v>1033</v>
      </c>
      <c r="C46" s="802"/>
      <c r="D46" s="318">
        <f>10623233.82-10623233.82</f>
        <v>0</v>
      </c>
    </row>
    <row r="47" spans="1:4" s="195" customFormat="1" ht="148.5" hidden="1" customHeight="1" thickTop="1" thickBot="1" x14ac:dyDescent="0.25">
      <c r="A47" s="103">
        <v>41057700</v>
      </c>
      <c r="B47" s="801" t="s">
        <v>1406</v>
      </c>
      <c r="C47" s="802"/>
      <c r="D47" s="684">
        <v>0</v>
      </c>
    </row>
    <row r="48" spans="1:4" s="195" customFormat="1" ht="148.5" hidden="1" customHeight="1" thickTop="1" thickBot="1" x14ac:dyDescent="0.25">
      <c r="A48" s="103">
        <v>41059000</v>
      </c>
      <c r="B48" s="801" t="s">
        <v>1433</v>
      </c>
      <c r="C48" s="802"/>
      <c r="D48" s="684">
        <v>0</v>
      </c>
    </row>
    <row r="49" spans="1:5" s="195" customFormat="1" ht="47.25" thickTop="1" thickBot="1" x14ac:dyDescent="0.55000000000000004">
      <c r="A49" s="103" t="s">
        <v>1308</v>
      </c>
      <c r="B49" s="801" t="s">
        <v>610</v>
      </c>
      <c r="C49" s="802"/>
      <c r="D49" s="318">
        <f>SUM(D31:D48)</f>
        <v>12145237</v>
      </c>
      <c r="E49" s="197"/>
    </row>
    <row r="50" spans="1:5" s="195" customFormat="1" ht="47.25" hidden="1" thickTop="1" thickBot="1" x14ac:dyDescent="0.25">
      <c r="A50" s="198" t="s">
        <v>1112</v>
      </c>
      <c r="B50" s="828" t="s">
        <v>1113</v>
      </c>
      <c r="C50" s="829"/>
      <c r="D50" s="453">
        <v>0</v>
      </c>
    </row>
    <row r="51" spans="1:5" s="195" customFormat="1" ht="47.25" hidden="1" thickTop="1" thickBot="1" x14ac:dyDescent="0.25">
      <c r="A51" s="198" t="s">
        <v>577</v>
      </c>
      <c r="B51" s="828" t="s">
        <v>578</v>
      </c>
      <c r="C51" s="829"/>
      <c r="D51" s="199">
        <f>D50</f>
        <v>0</v>
      </c>
    </row>
    <row r="52" spans="1:5" ht="63.75" customHeight="1" thickTop="1" thickBot="1" x14ac:dyDescent="0.25">
      <c r="A52" s="811" t="s">
        <v>598</v>
      </c>
      <c r="B52" s="812"/>
      <c r="C52" s="812"/>
      <c r="D52" s="813"/>
    </row>
    <row r="53" spans="1:5" ht="46.5" hidden="1" thickTop="1" thickBot="1" x14ac:dyDescent="0.25">
      <c r="A53" s="685" t="s">
        <v>607</v>
      </c>
      <c r="B53" s="830" t="s">
        <v>438</v>
      </c>
      <c r="C53" s="831"/>
      <c r="D53" s="686">
        <f>D54</f>
        <v>0</v>
      </c>
    </row>
    <row r="54" spans="1:5" ht="47.25" hidden="1" thickTop="1" thickBot="1" x14ac:dyDescent="0.25">
      <c r="A54" s="687" t="s">
        <v>1085</v>
      </c>
      <c r="B54" s="832" t="s">
        <v>1051</v>
      </c>
      <c r="C54" s="833"/>
      <c r="D54" s="688">
        <v>0</v>
      </c>
    </row>
    <row r="55" spans="1:5" ht="47.25" hidden="1" thickTop="1" thickBot="1" x14ac:dyDescent="0.25">
      <c r="A55" s="687" t="s">
        <v>882</v>
      </c>
      <c r="B55" s="832" t="s">
        <v>575</v>
      </c>
      <c r="C55" s="833"/>
      <c r="D55" s="689">
        <f>D53</f>
        <v>0</v>
      </c>
    </row>
    <row r="56" spans="1:5" ht="46.5" hidden="1" thickTop="1" thickBot="1" x14ac:dyDescent="0.25">
      <c r="A56" s="311" t="s">
        <v>613</v>
      </c>
      <c r="B56" s="820" t="s">
        <v>614</v>
      </c>
      <c r="C56" s="822"/>
      <c r="D56" s="683">
        <f>D60+D62</f>
        <v>0</v>
      </c>
      <c r="E56" s="454" t="b">
        <f>D56=D57+D58+D61+D59</f>
        <v>1</v>
      </c>
    </row>
    <row r="57" spans="1:5" ht="47.25" hidden="1" thickTop="1" thickBot="1" x14ac:dyDescent="0.25">
      <c r="A57" s="687" t="s">
        <v>951</v>
      </c>
      <c r="B57" s="832" t="s">
        <v>954</v>
      </c>
      <c r="C57" s="833"/>
      <c r="D57" s="688">
        <v>0</v>
      </c>
    </row>
    <row r="58" spans="1:5" ht="47.25" hidden="1" thickTop="1" thickBot="1" x14ac:dyDescent="0.25">
      <c r="A58" s="687">
        <v>41053900</v>
      </c>
      <c r="B58" s="832" t="s">
        <v>955</v>
      </c>
      <c r="C58" s="833"/>
      <c r="D58" s="688">
        <v>0</v>
      </c>
    </row>
    <row r="59" spans="1:5" ht="47.25" hidden="1" thickTop="1" thickBot="1" x14ac:dyDescent="0.25">
      <c r="A59" s="103" t="s">
        <v>615</v>
      </c>
      <c r="B59" s="801" t="s">
        <v>616</v>
      </c>
      <c r="C59" s="802"/>
      <c r="D59" s="684">
        <v>0</v>
      </c>
    </row>
    <row r="60" spans="1:5" ht="47.25" hidden="1" thickTop="1" thickBot="1" x14ac:dyDescent="0.25">
      <c r="A60" s="103" t="s">
        <v>1308</v>
      </c>
      <c r="B60" s="801" t="s">
        <v>610</v>
      </c>
      <c r="C60" s="802"/>
      <c r="D60" s="318">
        <f>SUM(D57:D59)</f>
        <v>0</v>
      </c>
    </row>
    <row r="61" spans="1:5" ht="47.25" hidden="1" thickTop="1" thickBot="1" x14ac:dyDescent="0.25">
      <c r="A61" s="687">
        <v>41053900</v>
      </c>
      <c r="B61" s="832" t="s">
        <v>1111</v>
      </c>
      <c r="C61" s="833"/>
      <c r="D61" s="688">
        <v>0</v>
      </c>
    </row>
    <row r="62" spans="1:5" ht="47.25" hidden="1" thickTop="1" thickBot="1" x14ac:dyDescent="0.25">
      <c r="A62" s="687" t="s">
        <v>577</v>
      </c>
      <c r="B62" s="832" t="s">
        <v>578</v>
      </c>
      <c r="C62" s="833"/>
      <c r="D62" s="689">
        <f>D61</f>
        <v>0</v>
      </c>
    </row>
    <row r="63" spans="1:5" ht="47.25" thickTop="1" thickBot="1" x14ac:dyDescent="0.25">
      <c r="A63" s="644" t="s">
        <v>381</v>
      </c>
      <c r="B63" s="836" t="s">
        <v>599</v>
      </c>
      <c r="C63" s="837"/>
      <c r="D63" s="646">
        <f>D64+D65</f>
        <v>772252237</v>
      </c>
      <c r="E63" s="601" t="b">
        <f>D63='d1'!C112</f>
        <v>1</v>
      </c>
    </row>
    <row r="64" spans="1:5" ht="47.25" thickTop="1" thickBot="1" x14ac:dyDescent="0.25">
      <c r="A64" s="103" t="s">
        <v>381</v>
      </c>
      <c r="B64" s="801" t="s">
        <v>386</v>
      </c>
      <c r="C64" s="802"/>
      <c r="D64" s="318">
        <f>D49+D25+D29+D51+D16</f>
        <v>772252237</v>
      </c>
      <c r="E64" s="601" t="b">
        <f>D64='d1'!D112</f>
        <v>1</v>
      </c>
    </row>
    <row r="65" spans="1:6" ht="47.25" thickTop="1" thickBot="1" x14ac:dyDescent="0.25">
      <c r="A65" s="103" t="s">
        <v>381</v>
      </c>
      <c r="B65" s="801" t="s">
        <v>387</v>
      </c>
      <c r="C65" s="802"/>
      <c r="D65" s="318">
        <f>D60+D55+D62</f>
        <v>0</v>
      </c>
      <c r="E65" s="601" t="b">
        <f>D65='d1'!E112</f>
        <v>1</v>
      </c>
    </row>
    <row r="66" spans="1:6" ht="31.7" customHeight="1" thickTop="1" x14ac:dyDescent="0.2">
      <c r="A66" s="168"/>
      <c r="B66" s="169"/>
      <c r="C66" s="169"/>
      <c r="D66" s="169"/>
    </row>
    <row r="67" spans="1:6" ht="31.7" customHeight="1" x14ac:dyDescent="0.2">
      <c r="A67" s="168"/>
      <c r="B67" s="169"/>
      <c r="C67" s="169"/>
      <c r="D67" s="169"/>
    </row>
    <row r="68" spans="1:6" ht="60" customHeight="1" x14ac:dyDescent="0.2">
      <c r="A68" s="809" t="s">
        <v>1120</v>
      </c>
      <c r="B68" s="810"/>
      <c r="C68" s="810"/>
      <c r="D68" s="810"/>
    </row>
    <row r="69" spans="1:6" ht="54" customHeight="1" thickBot="1" x14ac:dyDescent="0.25">
      <c r="A69" s="15"/>
      <c r="B69" s="16"/>
      <c r="C69" s="16"/>
      <c r="D69" s="316" t="s">
        <v>404</v>
      </c>
    </row>
    <row r="70" spans="1:6" ht="325.5" customHeight="1" thickTop="1" thickBot="1" x14ac:dyDescent="0.25">
      <c r="A70" s="317" t="s">
        <v>600</v>
      </c>
      <c r="B70" s="630" t="s">
        <v>492</v>
      </c>
      <c r="C70" s="317" t="s">
        <v>601</v>
      </c>
      <c r="D70" s="317" t="s">
        <v>383</v>
      </c>
    </row>
    <row r="71" spans="1:6" ht="50.25" customHeight="1" thickTop="1" thickBot="1" x14ac:dyDescent="0.25">
      <c r="A71" s="103" t="s">
        <v>2</v>
      </c>
      <c r="B71" s="103" t="s">
        <v>3</v>
      </c>
      <c r="C71" s="103" t="s">
        <v>14</v>
      </c>
      <c r="D71" s="103" t="s">
        <v>5</v>
      </c>
    </row>
    <row r="72" spans="1:6" ht="65.25" customHeight="1" thickTop="1" thickBot="1" x14ac:dyDescent="0.25">
      <c r="A72" s="811" t="s">
        <v>602</v>
      </c>
      <c r="B72" s="812"/>
      <c r="C72" s="812"/>
      <c r="D72" s="813"/>
    </row>
    <row r="73" spans="1:6" ht="184.5" thickTop="1" thickBot="1" x14ac:dyDescent="0.55000000000000004">
      <c r="A73" s="103" t="s">
        <v>245</v>
      </c>
      <c r="B73" s="103" t="s">
        <v>246</v>
      </c>
      <c r="C73" s="602" t="s">
        <v>443</v>
      </c>
      <c r="D73" s="318">
        <f>SUM(D74:D75)</f>
        <v>1178000</v>
      </c>
      <c r="E73" s="601" t="b">
        <f>D73='d3'!E41</f>
        <v>1</v>
      </c>
      <c r="F73" s="197"/>
    </row>
    <row r="74" spans="1:6" ht="93" thickTop="1" thickBot="1" x14ac:dyDescent="0.55000000000000004">
      <c r="A74" s="103" t="s">
        <v>1307</v>
      </c>
      <c r="B74" s="103"/>
      <c r="C74" s="602" t="s">
        <v>579</v>
      </c>
      <c r="D74" s="318">
        <v>506400</v>
      </c>
      <c r="E74" s="197"/>
      <c r="F74" s="197"/>
    </row>
    <row r="75" spans="1:6" ht="93" thickTop="1" thickBot="1" x14ac:dyDescent="0.55000000000000004">
      <c r="A75" s="103" t="s">
        <v>1306</v>
      </c>
      <c r="B75" s="103"/>
      <c r="C75" s="602" t="s">
        <v>580</v>
      </c>
      <c r="D75" s="318">
        <v>671600</v>
      </c>
      <c r="E75" s="197"/>
      <c r="F75" s="197"/>
    </row>
    <row r="76" spans="1:6" ht="47.25" thickTop="1" thickBot="1" x14ac:dyDescent="0.55000000000000004">
      <c r="A76" s="103" t="s">
        <v>576</v>
      </c>
      <c r="B76" s="103" t="s">
        <v>363</v>
      </c>
      <c r="C76" s="602" t="s">
        <v>364</v>
      </c>
      <c r="D76" s="318">
        <f>SUM(D77)</f>
        <v>155600</v>
      </c>
      <c r="E76" s="601" t="b">
        <f>D76='d3'!E42</f>
        <v>1</v>
      </c>
      <c r="F76" s="197"/>
    </row>
    <row r="77" spans="1:6" ht="47.25" thickTop="1" thickBot="1" x14ac:dyDescent="0.55000000000000004">
      <c r="A77" s="103" t="s">
        <v>1305</v>
      </c>
      <c r="B77" s="103"/>
      <c r="C77" s="602" t="s">
        <v>578</v>
      </c>
      <c r="D77" s="318">
        <v>155600</v>
      </c>
      <c r="E77" s="197"/>
      <c r="F77" s="197"/>
    </row>
    <row r="78" spans="1:6" ht="138.75" thickTop="1" thickBot="1" x14ac:dyDescent="0.55000000000000004">
      <c r="A78" s="103" t="s">
        <v>513</v>
      </c>
      <c r="B78" s="103" t="s">
        <v>514</v>
      </c>
      <c r="C78" s="602" t="s">
        <v>515</v>
      </c>
      <c r="D78" s="318">
        <f>40873318.14-300000+2000000</f>
        <v>42573318.140000001</v>
      </c>
      <c r="E78" s="601" t="b">
        <f>D78='d3'!E43</f>
        <v>1</v>
      </c>
      <c r="F78" s="197"/>
    </row>
    <row r="79" spans="1:6" ht="138.75" hidden="1" thickTop="1" thickBot="1" x14ac:dyDescent="0.55000000000000004">
      <c r="A79" s="128" t="s">
        <v>1363</v>
      </c>
      <c r="B79" s="128" t="s">
        <v>514</v>
      </c>
      <c r="C79" s="455" t="s">
        <v>515</v>
      </c>
      <c r="D79" s="196"/>
      <c r="E79" s="365" t="b">
        <f>D79='d3'!E364</f>
        <v>1</v>
      </c>
      <c r="F79" s="197"/>
    </row>
    <row r="80" spans="1:6" ht="138.75" hidden="1" thickTop="1" thickBot="1" x14ac:dyDescent="0.55000000000000004">
      <c r="A80" s="128" t="s">
        <v>1258</v>
      </c>
      <c r="B80" s="128" t="s">
        <v>514</v>
      </c>
      <c r="C80" s="455" t="s">
        <v>515</v>
      </c>
      <c r="D80" s="196"/>
      <c r="E80" s="365" t="b">
        <f>D80='d3'!E393</f>
        <v>1</v>
      </c>
      <c r="F80" s="197"/>
    </row>
    <row r="81" spans="1:6" ht="47.25" thickTop="1" thickBot="1" x14ac:dyDescent="0.55000000000000004">
      <c r="A81" s="103" t="s">
        <v>1304</v>
      </c>
      <c r="B81" s="103"/>
      <c r="C81" s="602" t="s">
        <v>575</v>
      </c>
      <c r="D81" s="318">
        <f>SUM(D78:D80)</f>
        <v>42573318.140000001</v>
      </c>
      <c r="E81" s="197"/>
      <c r="F81" s="197"/>
    </row>
    <row r="82" spans="1:6" ht="47.25" hidden="1" thickTop="1" thickBot="1" x14ac:dyDescent="0.55000000000000004">
      <c r="A82" s="198" t="s">
        <v>587</v>
      </c>
      <c r="B82" s="198" t="s">
        <v>363</v>
      </c>
      <c r="C82" s="200" t="s">
        <v>364</v>
      </c>
      <c r="D82" s="199">
        <f>SUM(D83)</f>
        <v>0</v>
      </c>
      <c r="E82" s="365" t="b">
        <f>D82='d3'!E212</f>
        <v>1</v>
      </c>
      <c r="F82" s="197"/>
    </row>
    <row r="83" spans="1:6" ht="93" hidden="1" thickTop="1" thickBot="1" x14ac:dyDescent="0.55000000000000004">
      <c r="A83" s="198" t="s">
        <v>581</v>
      </c>
      <c r="B83" s="198"/>
      <c r="C83" s="200" t="s">
        <v>582</v>
      </c>
      <c r="D83" s="199">
        <v>0</v>
      </c>
      <c r="E83" s="197"/>
      <c r="F83" s="197"/>
    </row>
    <row r="84" spans="1:6" ht="47.25" hidden="1" thickTop="1" thickBot="1" x14ac:dyDescent="0.55000000000000004">
      <c r="A84" s="198" t="s">
        <v>1117</v>
      </c>
      <c r="B84" s="198" t="s">
        <v>363</v>
      </c>
      <c r="C84" s="200" t="s">
        <v>364</v>
      </c>
      <c r="D84" s="199">
        <v>0</v>
      </c>
      <c r="E84" s="365" t="b">
        <f>D84='d3'!E248</f>
        <v>1</v>
      </c>
      <c r="F84" s="197"/>
    </row>
    <row r="85" spans="1:6" ht="47.25" hidden="1" thickTop="1" thickBot="1" x14ac:dyDescent="0.55000000000000004">
      <c r="A85" s="128" t="s">
        <v>910</v>
      </c>
      <c r="B85" s="128" t="s">
        <v>363</v>
      </c>
      <c r="C85" s="455" t="s">
        <v>364</v>
      </c>
      <c r="D85" s="196"/>
      <c r="E85" s="365" t="b">
        <f>D85='d3'!E383</f>
        <v>1</v>
      </c>
      <c r="F85" s="197"/>
    </row>
    <row r="86" spans="1:6" ht="47.25" hidden="1" thickTop="1" thickBot="1" x14ac:dyDescent="0.55000000000000004">
      <c r="A86" s="128" t="s">
        <v>1308</v>
      </c>
      <c r="B86" s="128"/>
      <c r="C86" s="455" t="s">
        <v>610</v>
      </c>
      <c r="D86" s="196">
        <f>SUM(D84:D85)</f>
        <v>0</v>
      </c>
      <c r="E86" s="197"/>
      <c r="F86" s="197"/>
    </row>
    <row r="87" spans="1:6" ht="409.6" hidden="1" thickTop="1" thickBot="1" x14ac:dyDescent="0.55000000000000004">
      <c r="A87" s="128" t="s">
        <v>1417</v>
      </c>
      <c r="B87" s="128" t="s">
        <v>1418</v>
      </c>
      <c r="C87" s="455" t="s">
        <v>1416</v>
      </c>
      <c r="D87" s="196">
        <f>(2000000)-2000000</f>
        <v>0</v>
      </c>
      <c r="E87" s="197"/>
      <c r="F87" s="197"/>
    </row>
    <row r="88" spans="1:6" ht="47.25" hidden="1" thickTop="1" thickBot="1" x14ac:dyDescent="0.55000000000000004">
      <c r="A88" s="128" t="s">
        <v>1304</v>
      </c>
      <c r="B88" s="128"/>
      <c r="C88" s="455" t="s">
        <v>575</v>
      </c>
      <c r="D88" s="196">
        <f>D87</f>
        <v>0</v>
      </c>
      <c r="E88" s="197"/>
      <c r="F88" s="197"/>
    </row>
    <row r="89" spans="1:6" ht="47.25" hidden="1" thickTop="1" thickBot="1" x14ac:dyDescent="0.55000000000000004">
      <c r="A89" s="128" t="s">
        <v>604</v>
      </c>
      <c r="B89" s="128" t="s">
        <v>605</v>
      </c>
      <c r="C89" s="455" t="s">
        <v>451</v>
      </c>
      <c r="D89" s="196">
        <f>SUM(D90)</f>
        <v>0</v>
      </c>
      <c r="E89" s="365" t="b">
        <f>D89='d3'!E420</f>
        <v>1</v>
      </c>
      <c r="F89" s="197"/>
    </row>
    <row r="90" spans="1:6" ht="47.25" hidden="1" thickTop="1" thickBot="1" x14ac:dyDescent="0.55000000000000004">
      <c r="A90" s="128" t="s">
        <v>1304</v>
      </c>
      <c r="B90" s="128"/>
      <c r="C90" s="455" t="s">
        <v>575</v>
      </c>
      <c r="D90" s="196"/>
      <c r="E90" s="197"/>
      <c r="F90" s="197"/>
    </row>
    <row r="91" spans="1:6" ht="69" customHeight="1" thickTop="1" thickBot="1" x14ac:dyDescent="0.55000000000000004">
      <c r="A91" s="811" t="s">
        <v>603</v>
      </c>
      <c r="B91" s="812"/>
      <c r="C91" s="812"/>
      <c r="D91" s="813"/>
      <c r="E91" s="197"/>
      <c r="F91" s="197"/>
    </row>
    <row r="92" spans="1:6" ht="138.75" thickTop="1" thickBot="1" x14ac:dyDescent="0.55000000000000004">
      <c r="A92" s="103" t="s">
        <v>513</v>
      </c>
      <c r="B92" s="103" t="s">
        <v>514</v>
      </c>
      <c r="C92" s="602" t="s">
        <v>515</v>
      </c>
      <c r="D92" s="318">
        <f>26816681.86-700000</f>
        <v>26116681.859999999</v>
      </c>
      <c r="E92" s="601" t="b">
        <f>D92='d3'!J43</f>
        <v>1</v>
      </c>
      <c r="F92" s="197"/>
    </row>
    <row r="93" spans="1:6" ht="138.75" hidden="1" thickTop="1" thickBot="1" x14ac:dyDescent="0.55000000000000004">
      <c r="A93" s="128" t="s">
        <v>1258</v>
      </c>
      <c r="B93" s="128" t="s">
        <v>514</v>
      </c>
      <c r="C93" s="455" t="s">
        <v>515</v>
      </c>
      <c r="D93" s="196">
        <v>0</v>
      </c>
      <c r="E93" s="365" t="b">
        <f>D93='d3'!P393</f>
        <v>1</v>
      </c>
      <c r="F93" s="197"/>
    </row>
    <row r="94" spans="1:6" ht="138.75" hidden="1" thickTop="1" thickBot="1" x14ac:dyDescent="0.55000000000000004">
      <c r="A94" s="128" t="s">
        <v>1258</v>
      </c>
      <c r="B94" s="128" t="s">
        <v>514</v>
      </c>
      <c r="C94" s="455" t="s">
        <v>515</v>
      </c>
      <c r="D94" s="196"/>
      <c r="E94" s="365" t="b">
        <f>D94='d3'!J393</f>
        <v>1</v>
      </c>
      <c r="F94" s="197"/>
    </row>
    <row r="95" spans="1:6" ht="47.25" thickTop="1" thickBot="1" x14ac:dyDescent="0.55000000000000004">
      <c r="A95" s="103" t="s">
        <v>1304</v>
      </c>
      <c r="B95" s="103"/>
      <c r="C95" s="602" t="s">
        <v>575</v>
      </c>
      <c r="D95" s="318">
        <f>D92+D94</f>
        <v>26116681.859999999</v>
      </c>
      <c r="E95" s="197"/>
      <c r="F95" s="197"/>
    </row>
    <row r="96" spans="1:6" ht="47.25" hidden="1" thickTop="1" thickBot="1" x14ac:dyDescent="0.55000000000000004">
      <c r="A96" s="198" t="s">
        <v>1037</v>
      </c>
      <c r="B96" s="198" t="s">
        <v>363</v>
      </c>
      <c r="C96" s="200" t="s">
        <v>364</v>
      </c>
      <c r="D96" s="199">
        <v>0</v>
      </c>
      <c r="E96" s="365" t="b">
        <f>D96='d3'!J101</f>
        <v>1</v>
      </c>
      <c r="F96" s="197"/>
    </row>
    <row r="97" spans="1:12" ht="47.25" hidden="1" thickTop="1" thickBot="1" x14ac:dyDescent="0.55000000000000004">
      <c r="A97" s="198" t="s">
        <v>1117</v>
      </c>
      <c r="B97" s="198" t="s">
        <v>363</v>
      </c>
      <c r="C97" s="200" t="s">
        <v>364</v>
      </c>
      <c r="D97" s="199">
        <v>0</v>
      </c>
      <c r="E97" s="365" t="b">
        <f>D97='d3'!J248</f>
        <v>1</v>
      </c>
      <c r="F97" s="197"/>
    </row>
    <row r="98" spans="1:12" ht="47.25" hidden="1" thickTop="1" thickBot="1" x14ac:dyDescent="0.55000000000000004">
      <c r="A98" s="128" t="s">
        <v>1520</v>
      </c>
      <c r="B98" s="128" t="s">
        <v>363</v>
      </c>
      <c r="C98" s="455" t="s">
        <v>364</v>
      </c>
      <c r="D98" s="196"/>
      <c r="E98" s="365" t="b">
        <f>D98='d3'!J311</f>
        <v>1</v>
      </c>
      <c r="F98" s="197"/>
    </row>
    <row r="99" spans="1:12" ht="47.25" hidden="1" thickTop="1" thickBot="1" x14ac:dyDescent="0.55000000000000004">
      <c r="A99" s="128" t="s">
        <v>910</v>
      </c>
      <c r="B99" s="128" t="s">
        <v>363</v>
      </c>
      <c r="C99" s="455" t="s">
        <v>364</v>
      </c>
      <c r="D99" s="196">
        <v>0</v>
      </c>
      <c r="E99" s="365" t="b">
        <f>D99='d3'!J383</f>
        <v>1</v>
      </c>
      <c r="F99" s="197"/>
    </row>
    <row r="100" spans="1:12" ht="47.25" hidden="1" thickTop="1" thickBot="1" x14ac:dyDescent="0.55000000000000004">
      <c r="A100" s="128" t="s">
        <v>1308</v>
      </c>
      <c r="B100" s="128"/>
      <c r="C100" s="455" t="s">
        <v>610</v>
      </c>
      <c r="D100" s="196">
        <f>SUM(D96:D99)</f>
        <v>0</v>
      </c>
      <c r="E100" s="197"/>
      <c r="F100" s="197"/>
    </row>
    <row r="101" spans="1:12" ht="47.25" hidden="1" thickTop="1" thickBot="1" x14ac:dyDescent="0.55000000000000004">
      <c r="A101" s="449"/>
      <c r="B101" s="449"/>
      <c r="C101" s="451"/>
      <c r="D101" s="456"/>
      <c r="E101" s="197"/>
      <c r="F101" s="197"/>
    </row>
    <row r="102" spans="1:12" ht="84.75" customHeight="1" thickTop="1" thickBot="1" x14ac:dyDescent="0.25">
      <c r="A102" s="644" t="s">
        <v>381</v>
      </c>
      <c r="B102" s="644" t="s">
        <v>381</v>
      </c>
      <c r="C102" s="645" t="s">
        <v>599</v>
      </c>
      <c r="D102" s="646">
        <f>D74+D75+D77+D81+D83+D86+D90+D95+D100+D88</f>
        <v>70023600</v>
      </c>
      <c r="E102" s="643" t="b">
        <f>D102=D103+D104</f>
        <v>1</v>
      </c>
      <c r="F102" s="643" t="b">
        <f>D102=D89+'d7'!G43+'d7'!G44+'d7'!G45+'d7'!G46+'d7'!G47+'d7'!G48+'d7'!G49+'d7'!G50+'d7'!G51+'d7'!G52+'d7'!G53+'d7'!G316+'d7'!G336+'d7'!G41+'d7'!G42+'d7'!G54+'d7'!G329+'d7'!G277</f>
        <v>1</v>
      </c>
    </row>
    <row r="103" spans="1:12" ht="47.25" thickTop="1" thickBot="1" x14ac:dyDescent="0.55000000000000004">
      <c r="A103" s="103" t="s">
        <v>381</v>
      </c>
      <c r="B103" s="103" t="s">
        <v>381</v>
      </c>
      <c r="C103" s="602" t="s">
        <v>386</v>
      </c>
      <c r="D103" s="318">
        <f>'d3'!E39+'d3'!E363+'d3'!E392+'d3'!E418+'d3'!E383+'d3'!E311</f>
        <v>43906918.140000001</v>
      </c>
      <c r="E103" s="643" t="b">
        <f>D103=D73+D76+D82+D85+D89+D78+D84+D80+D79+D87</f>
        <v>1</v>
      </c>
      <c r="F103" s="457"/>
    </row>
    <row r="104" spans="1:12" ht="47.25" thickTop="1" thickBot="1" x14ac:dyDescent="0.55000000000000004">
      <c r="A104" s="103" t="s">
        <v>381</v>
      </c>
      <c r="B104" s="103" t="s">
        <v>381</v>
      </c>
      <c r="C104" s="602" t="s">
        <v>387</v>
      </c>
      <c r="D104" s="318">
        <f>'d3'!J39+'d3'!J363+'d3'!J392+'d3'!J418+'d3'!J311</f>
        <v>26116681.859999999</v>
      </c>
      <c r="E104" s="643" t="b">
        <f>D104=D94+D92+D98</f>
        <v>1</v>
      </c>
      <c r="F104" s="457"/>
    </row>
    <row r="105" spans="1:12" ht="91.5" customHeight="1" thickTop="1" x14ac:dyDescent="0.2">
      <c r="A105" s="15"/>
      <c r="B105" s="16"/>
      <c r="C105" s="16"/>
      <c r="D105" s="16"/>
      <c r="E105" s="13"/>
      <c r="F105" s="13"/>
    </row>
    <row r="106" spans="1:12" ht="45.75" x14ac:dyDescent="0.65">
      <c r="A106" s="15"/>
      <c r="B106" s="834" t="s">
        <v>1515</v>
      </c>
      <c r="C106" s="708"/>
      <c r="D106" s="2" t="s">
        <v>1516</v>
      </c>
      <c r="E106" s="388"/>
      <c r="F106" s="201"/>
      <c r="G106" s="202"/>
      <c r="H106" s="201"/>
      <c r="I106" s="201"/>
      <c r="J106" s="203"/>
      <c r="K106" s="203"/>
      <c r="L106" s="203"/>
    </row>
    <row r="107" spans="1:12" ht="45.75" hidden="1" x14ac:dyDescent="0.65">
      <c r="A107" s="15"/>
      <c r="B107" s="3" t="s">
        <v>1479</v>
      </c>
      <c r="C107" s="319"/>
      <c r="D107" s="3" t="s">
        <v>1480</v>
      </c>
      <c r="E107" s="388"/>
      <c r="F107" s="201"/>
      <c r="G107" s="202"/>
      <c r="H107" s="201"/>
      <c r="I107" s="201"/>
      <c r="J107" s="203"/>
      <c r="K107" s="203"/>
      <c r="L107" s="203"/>
    </row>
    <row r="108" spans="1:12" ht="27.75" customHeight="1" x14ac:dyDescent="0.65">
      <c r="A108" s="76"/>
      <c r="B108" s="3"/>
      <c r="C108" s="3"/>
      <c r="D108" s="3"/>
      <c r="E108" s="389"/>
      <c r="F108" s="13"/>
    </row>
    <row r="109" spans="1:12" ht="42" customHeight="1" x14ac:dyDescent="0.65">
      <c r="A109" s="75"/>
      <c r="B109" s="834" t="s">
        <v>524</v>
      </c>
      <c r="C109" s="708"/>
      <c r="D109" s="3" t="s">
        <v>1374</v>
      </c>
      <c r="E109" s="389"/>
      <c r="F109" s="447"/>
      <c r="G109" s="446"/>
      <c r="H109" s="447"/>
      <c r="I109" s="447"/>
    </row>
    <row r="110" spans="1:12" ht="45.75" x14ac:dyDescent="0.65">
      <c r="A110" s="192"/>
      <c r="B110" s="826"/>
      <c r="C110" s="827"/>
      <c r="D110" s="201"/>
      <c r="E110" s="13"/>
      <c r="F110" s="13"/>
    </row>
    <row r="111" spans="1:12" ht="45.75" x14ac:dyDescent="0.65">
      <c r="A111" s="192"/>
      <c r="B111" s="835"/>
      <c r="C111" s="835"/>
      <c r="D111" s="835"/>
      <c r="E111" s="13"/>
      <c r="F111" s="13"/>
    </row>
    <row r="114" spans="1:4" x14ac:dyDescent="0.2">
      <c r="A114" s="194"/>
      <c r="B114" s="194"/>
      <c r="C114" s="194"/>
    </row>
    <row r="116" spans="1:4" x14ac:dyDescent="0.2">
      <c r="A116" s="194"/>
      <c r="B116" s="194"/>
      <c r="C116" s="194"/>
    </row>
    <row r="120" spans="1:4" x14ac:dyDescent="0.2">
      <c r="A120" s="194"/>
      <c r="B120" s="194"/>
      <c r="C120" s="194"/>
      <c r="D120" s="194"/>
    </row>
    <row r="121" spans="1:4" x14ac:dyDescent="0.2">
      <c r="A121" s="194"/>
      <c r="B121" s="194"/>
      <c r="C121" s="194"/>
      <c r="D121" s="194"/>
    </row>
    <row r="122" spans="1:4" x14ac:dyDescent="0.2">
      <c r="A122" s="194"/>
      <c r="B122" s="194"/>
      <c r="C122" s="194"/>
      <c r="D122" s="194"/>
    </row>
    <row r="123" spans="1:4" x14ac:dyDescent="0.2">
      <c r="A123" s="194"/>
      <c r="B123" s="194"/>
      <c r="C123" s="194"/>
      <c r="D123" s="194"/>
    </row>
  </sheetData>
  <mergeCells count="77">
    <mergeCell ref="B47:C47"/>
    <mergeCell ref="B49:C49"/>
    <mergeCell ref="B111:D111"/>
    <mergeCell ref="A72:D72"/>
    <mergeCell ref="A91:D91"/>
    <mergeCell ref="B56:C56"/>
    <mergeCell ref="B64:C64"/>
    <mergeCell ref="B65:C65"/>
    <mergeCell ref="B63:C63"/>
    <mergeCell ref="B57:C57"/>
    <mergeCell ref="B60:C60"/>
    <mergeCell ref="A68:D68"/>
    <mergeCell ref="B61:C61"/>
    <mergeCell ref="B62:C62"/>
    <mergeCell ref="B58:C58"/>
    <mergeCell ref="B109:C109"/>
    <mergeCell ref="B110:C110"/>
    <mergeCell ref="B50:C50"/>
    <mergeCell ref="B51:C51"/>
    <mergeCell ref="B53:C53"/>
    <mergeCell ref="B54:C54"/>
    <mergeCell ref="B55:C55"/>
    <mergeCell ref="A52:D52"/>
    <mergeCell ref="B59:C59"/>
    <mergeCell ref="B106:C106"/>
    <mergeCell ref="B46:C46"/>
    <mergeCell ref="B28:C28"/>
    <mergeCell ref="B30:C30"/>
    <mergeCell ref="B29:C29"/>
    <mergeCell ref="B40:C40"/>
    <mergeCell ref="B42:C42"/>
    <mergeCell ref="B31:C31"/>
    <mergeCell ref="B32:C32"/>
    <mergeCell ref="B35:C35"/>
    <mergeCell ref="B45:C45"/>
    <mergeCell ref="B38:C38"/>
    <mergeCell ref="B36:C36"/>
    <mergeCell ref="B33:C33"/>
    <mergeCell ref="B34:C34"/>
    <mergeCell ref="N3:O3"/>
    <mergeCell ref="N4:O4"/>
    <mergeCell ref="N5:O5"/>
    <mergeCell ref="A6:D6"/>
    <mergeCell ref="A7:D7"/>
    <mergeCell ref="A5:D5"/>
    <mergeCell ref="B19:C19"/>
    <mergeCell ref="B17:C17"/>
    <mergeCell ref="B26:C26"/>
    <mergeCell ref="B27:C27"/>
    <mergeCell ref="B20:C20"/>
    <mergeCell ref="B24:C24"/>
    <mergeCell ref="B18:C18"/>
    <mergeCell ref="B22:C22"/>
    <mergeCell ref="B23:C23"/>
    <mergeCell ref="B21:C21"/>
    <mergeCell ref="B25:C25"/>
    <mergeCell ref="A9:D9"/>
    <mergeCell ref="A13:D13"/>
    <mergeCell ref="B11:C11"/>
    <mergeCell ref="B12:C12"/>
    <mergeCell ref="B14:C14"/>
    <mergeCell ref="B15:C15"/>
    <mergeCell ref="B16:C16"/>
    <mergeCell ref="B48:C48"/>
    <mergeCell ref="A31:A32"/>
    <mergeCell ref="D31:D32"/>
    <mergeCell ref="B37:C37"/>
    <mergeCell ref="B43:C43"/>
    <mergeCell ref="A43:A44"/>
    <mergeCell ref="D43:D44"/>
    <mergeCell ref="B44:C44"/>
    <mergeCell ref="A33:A34"/>
    <mergeCell ref="D33:D34"/>
    <mergeCell ref="A35:A36"/>
    <mergeCell ref="D35:D36"/>
    <mergeCell ref="B39:C39"/>
    <mergeCell ref="B41:C41"/>
  </mergeCells>
  <pageMargins left="0.23622047244094491" right="0.27559055118110237" top="0.27559055118110237" bottom="0.15748031496062992" header="0.23622047244094491" footer="0.27559055118110237"/>
  <pageSetup paperSize="9" scale="30" fitToHeight="0" orientation="portrait" horizontalDpi="4294967295" verticalDpi="4294967295" r:id="rId1"/>
  <headerFooter alignWithMargins="0">
    <oddFooter>&amp;C&amp;"Times New Roman Cyr,курсив"Сторінка &amp;P з &amp;N</oddFooter>
  </headerFooter>
  <rowBreaks count="1" manualBreakCount="1">
    <brk id="110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156"/>
  <sheetViews>
    <sheetView view="pageBreakPreview" topLeftCell="B1" zoomScale="70" zoomScaleNormal="40" zoomScaleSheetLayoutView="70" workbookViewId="0">
      <pane ySplit="10" topLeftCell="A116" activePane="bottomLeft" state="frozen"/>
      <selection activeCell="G144" sqref="G144"/>
      <selection pane="bottomLeft" activeCell="E135" sqref="E135"/>
    </sheetView>
  </sheetViews>
  <sheetFormatPr defaultColWidth="7.85546875" defaultRowHeight="12.75" x14ac:dyDescent="0.2"/>
  <cols>
    <col min="1" max="1" width="3.28515625" style="170" hidden="1" customWidth="1"/>
    <col min="2" max="3" width="15.42578125" style="11" customWidth="1"/>
    <col min="4" max="4" width="16.85546875" style="11" customWidth="1"/>
    <col min="5" max="5" width="41.5703125" style="11" customWidth="1"/>
    <col min="6" max="6" width="38.5703125" style="11" customWidth="1"/>
    <col min="7" max="8" width="18.140625" style="252" customWidth="1"/>
    <col min="9" max="9" width="20.28515625" style="252" customWidth="1"/>
    <col min="10" max="10" width="23" style="252" customWidth="1"/>
    <col min="11" max="11" width="18.140625" style="252" customWidth="1"/>
    <col min="12" max="14" width="15.42578125" style="170" bestFit="1" customWidth="1"/>
    <col min="15" max="15" width="12.7109375" style="170" customWidth="1"/>
    <col min="16" max="16384" width="7.85546875" style="170"/>
  </cols>
  <sheetData>
    <row r="1" spans="2:18" s="248" customFormat="1" ht="22.7" customHeight="1" x14ac:dyDescent="0.25">
      <c r="B1" s="842"/>
      <c r="C1" s="842"/>
      <c r="D1" s="842"/>
      <c r="E1" s="842"/>
      <c r="F1" s="842"/>
      <c r="G1" s="842"/>
      <c r="H1" s="842"/>
      <c r="I1" s="842"/>
      <c r="J1" s="842"/>
      <c r="K1" s="842"/>
    </row>
    <row r="2" spans="2:18" ht="41.25" customHeight="1" x14ac:dyDescent="0.2">
      <c r="B2" s="332"/>
      <c r="C2" s="332"/>
      <c r="D2" s="332"/>
      <c r="E2" s="332"/>
      <c r="F2" s="332"/>
      <c r="G2" s="797" t="s">
        <v>1318</v>
      </c>
      <c r="H2" s="797"/>
      <c r="I2" s="797"/>
      <c r="J2" s="797"/>
      <c r="K2" s="797"/>
    </row>
    <row r="3" spans="2:18" ht="29.25" customHeight="1" x14ac:dyDescent="0.2">
      <c r="B3" s="332"/>
      <c r="C3" s="332"/>
      <c r="D3" s="332"/>
      <c r="E3" s="332"/>
      <c r="F3" s="332"/>
      <c r="G3" s="333"/>
      <c r="H3" s="333"/>
      <c r="I3" s="333"/>
      <c r="J3" s="333"/>
      <c r="K3" s="333"/>
    </row>
    <row r="4" spans="2:18" ht="31.7" customHeight="1" x14ac:dyDescent="0.2">
      <c r="B4" s="843" t="s">
        <v>1121</v>
      </c>
      <c r="C4" s="792"/>
      <c r="D4" s="792"/>
      <c r="E4" s="792"/>
      <c r="F4" s="792"/>
      <c r="G4" s="792"/>
      <c r="H4" s="792"/>
      <c r="I4" s="792"/>
      <c r="J4" s="792"/>
      <c r="K4" s="792"/>
    </row>
    <row r="5" spans="2:18" ht="31.7" customHeight="1" x14ac:dyDescent="0.2">
      <c r="B5" s="843" t="s">
        <v>1122</v>
      </c>
      <c r="C5" s="792"/>
      <c r="D5" s="792"/>
      <c r="E5" s="792"/>
      <c r="F5" s="792"/>
      <c r="G5" s="792"/>
      <c r="H5" s="792"/>
      <c r="I5" s="792"/>
      <c r="J5" s="792"/>
      <c r="K5" s="792"/>
    </row>
    <row r="6" spans="2:18" ht="24.75" customHeight="1" x14ac:dyDescent="0.2">
      <c r="B6" s="843" t="s">
        <v>1567</v>
      </c>
      <c r="C6" s="792"/>
      <c r="D6" s="792"/>
      <c r="E6" s="792"/>
      <c r="F6" s="792"/>
      <c r="G6" s="792"/>
      <c r="H6" s="792"/>
      <c r="I6" s="792"/>
      <c r="J6" s="792"/>
      <c r="K6" s="792"/>
    </row>
    <row r="7" spans="2:18" ht="18.75" x14ac:dyDescent="0.2">
      <c r="B7" s="782">
        <v>2256400000</v>
      </c>
      <c r="C7" s="783"/>
      <c r="D7" s="334"/>
      <c r="E7" s="334"/>
      <c r="F7" s="334"/>
      <c r="G7" s="334"/>
      <c r="H7" s="334"/>
      <c r="I7" s="334"/>
      <c r="J7" s="334"/>
      <c r="K7" s="334"/>
    </row>
    <row r="8" spans="2:18" ht="19.5" thickBot="1" x14ac:dyDescent="0.25">
      <c r="B8" s="784" t="s">
        <v>490</v>
      </c>
      <c r="C8" s="785"/>
      <c r="D8" s="334"/>
      <c r="E8" s="334"/>
      <c r="F8" s="334"/>
      <c r="G8" s="334"/>
      <c r="H8" s="334"/>
      <c r="I8" s="334"/>
      <c r="J8" s="334"/>
      <c r="K8" s="334"/>
    </row>
    <row r="9" spans="2:18" ht="120" customHeight="1" thickTop="1" thickBot="1" x14ac:dyDescent="0.25">
      <c r="B9" s="335" t="s">
        <v>491</v>
      </c>
      <c r="C9" s="335" t="s">
        <v>492</v>
      </c>
      <c r="D9" s="335" t="s">
        <v>390</v>
      </c>
      <c r="E9" s="335" t="s">
        <v>574</v>
      </c>
      <c r="F9" s="336" t="s">
        <v>1123</v>
      </c>
      <c r="G9" s="336" t="s">
        <v>1124</v>
      </c>
      <c r="H9" s="336" t="s">
        <v>1125</v>
      </c>
      <c r="I9" s="336" t="s">
        <v>1126</v>
      </c>
      <c r="J9" s="336" t="s">
        <v>1262</v>
      </c>
      <c r="K9" s="336" t="s">
        <v>1263</v>
      </c>
      <c r="L9" s="205"/>
      <c r="M9" s="205"/>
      <c r="N9" s="205"/>
      <c r="O9" s="205"/>
      <c r="P9" s="205"/>
      <c r="Q9" s="205"/>
      <c r="R9" s="205"/>
    </row>
    <row r="10" spans="2:18" ht="16.5" thickTop="1" thickBot="1" x14ac:dyDescent="0.25">
      <c r="B10" s="335">
        <v>1</v>
      </c>
      <c r="C10" s="335">
        <v>2</v>
      </c>
      <c r="D10" s="335">
        <v>3</v>
      </c>
      <c r="E10" s="335">
        <v>4</v>
      </c>
      <c r="F10" s="335">
        <v>5</v>
      </c>
      <c r="G10" s="335">
        <v>6</v>
      </c>
      <c r="H10" s="335">
        <v>7</v>
      </c>
      <c r="I10" s="335">
        <v>8</v>
      </c>
      <c r="J10" s="335">
        <v>9</v>
      </c>
      <c r="K10" s="335">
        <v>10</v>
      </c>
      <c r="L10" s="205"/>
      <c r="M10" s="205"/>
      <c r="N10" s="205"/>
      <c r="O10" s="205"/>
      <c r="P10" s="205"/>
      <c r="Q10" s="205"/>
      <c r="R10" s="205"/>
    </row>
    <row r="11" spans="2:18" ht="31.5" hidden="1" thickTop="1" thickBot="1" x14ac:dyDescent="0.25">
      <c r="B11" s="206" t="s">
        <v>148</v>
      </c>
      <c r="C11" s="206"/>
      <c r="D11" s="206"/>
      <c r="E11" s="207" t="s">
        <v>150</v>
      </c>
      <c r="F11" s="206"/>
      <c r="G11" s="206"/>
      <c r="H11" s="206"/>
      <c r="I11" s="207"/>
      <c r="J11" s="208">
        <f>J12</f>
        <v>0</v>
      </c>
      <c r="K11" s="206"/>
      <c r="L11" s="205"/>
      <c r="M11" s="205"/>
      <c r="N11" s="205"/>
      <c r="O11" s="205"/>
      <c r="P11" s="205"/>
      <c r="Q11" s="205"/>
      <c r="R11" s="205"/>
    </row>
    <row r="12" spans="2:18" ht="44.25" hidden="1" thickTop="1" thickBot="1" x14ac:dyDescent="0.25">
      <c r="B12" s="209" t="s">
        <v>149</v>
      </c>
      <c r="C12" s="209"/>
      <c r="D12" s="209"/>
      <c r="E12" s="210" t="s">
        <v>151</v>
      </c>
      <c r="F12" s="209"/>
      <c r="G12" s="209"/>
      <c r="H12" s="209"/>
      <c r="I12" s="210"/>
      <c r="J12" s="211">
        <f>SUM(J13:J18)</f>
        <v>0</v>
      </c>
      <c r="K12" s="209"/>
      <c r="L12" s="205"/>
      <c r="M12" s="205"/>
      <c r="N12" s="205"/>
      <c r="O12" s="205"/>
      <c r="P12" s="205"/>
      <c r="Q12" s="205"/>
      <c r="R12" s="205"/>
    </row>
    <row r="13" spans="2:18" ht="76.5" hidden="1" thickTop="1" thickBot="1" x14ac:dyDescent="0.25">
      <c r="B13" s="212" t="s">
        <v>232</v>
      </c>
      <c r="C13" s="212" t="s">
        <v>233</v>
      </c>
      <c r="D13" s="212" t="s">
        <v>234</v>
      </c>
      <c r="E13" s="212" t="s">
        <v>231</v>
      </c>
      <c r="F13" s="213" t="s">
        <v>520</v>
      </c>
      <c r="G13" s="214"/>
      <c r="H13" s="215"/>
      <c r="I13" s="214"/>
      <c r="J13" s="216"/>
      <c r="K13" s="216"/>
      <c r="L13" s="205"/>
      <c r="M13" s="205"/>
      <c r="N13" s="205"/>
      <c r="O13" s="205"/>
      <c r="P13" s="205"/>
      <c r="Q13" s="205"/>
      <c r="R13" s="205"/>
    </row>
    <row r="14" spans="2:18" ht="91.5" hidden="1" thickTop="1" thickBot="1" x14ac:dyDescent="0.25">
      <c r="B14" s="212" t="s">
        <v>232</v>
      </c>
      <c r="C14" s="212" t="s">
        <v>233</v>
      </c>
      <c r="D14" s="212" t="s">
        <v>234</v>
      </c>
      <c r="E14" s="212" t="s">
        <v>231</v>
      </c>
      <c r="F14" s="213" t="s">
        <v>1101</v>
      </c>
      <c r="G14" s="217" t="s">
        <v>559</v>
      </c>
      <c r="H14" s="218"/>
      <c r="I14" s="219"/>
      <c r="J14" s="216"/>
      <c r="K14" s="219"/>
      <c r="L14" s="205"/>
      <c r="M14" s="205"/>
      <c r="N14" s="205"/>
      <c r="O14" s="205"/>
      <c r="P14" s="205"/>
      <c r="Q14" s="205"/>
      <c r="R14" s="205"/>
    </row>
    <row r="15" spans="2:18" ht="31.5" hidden="1" thickTop="1" thickBot="1" x14ac:dyDescent="0.25">
      <c r="B15" s="212" t="s">
        <v>238</v>
      </c>
      <c r="C15" s="212" t="s">
        <v>239</v>
      </c>
      <c r="D15" s="212" t="s">
        <v>240</v>
      </c>
      <c r="E15" s="212" t="s">
        <v>237</v>
      </c>
      <c r="F15" s="213" t="s">
        <v>520</v>
      </c>
      <c r="G15" s="214"/>
      <c r="H15" s="215"/>
      <c r="I15" s="214"/>
      <c r="J15" s="216"/>
      <c r="K15" s="216"/>
      <c r="L15" s="205"/>
      <c r="M15" s="205"/>
      <c r="N15" s="205"/>
      <c r="O15" s="205"/>
      <c r="P15" s="205"/>
      <c r="Q15" s="205"/>
      <c r="R15" s="205"/>
    </row>
    <row r="16" spans="2:18" ht="61.5" hidden="1" thickTop="1" thickBot="1" x14ac:dyDescent="0.25">
      <c r="B16" s="212" t="s">
        <v>513</v>
      </c>
      <c r="C16" s="212" t="s">
        <v>514</v>
      </c>
      <c r="D16" s="212" t="s">
        <v>43</v>
      </c>
      <c r="E16" s="212" t="s">
        <v>515</v>
      </c>
      <c r="F16" s="213" t="s">
        <v>520</v>
      </c>
      <c r="G16" s="214"/>
      <c r="H16" s="215"/>
      <c r="I16" s="214"/>
      <c r="J16" s="216"/>
      <c r="K16" s="216"/>
      <c r="L16" s="205"/>
      <c r="M16" s="205"/>
      <c r="N16" s="205"/>
      <c r="O16" s="205"/>
      <c r="P16" s="205"/>
      <c r="Q16" s="205"/>
      <c r="R16" s="205"/>
    </row>
    <row r="17" spans="1:18" ht="181.5" hidden="1" thickTop="1" thickBot="1" x14ac:dyDescent="0.25">
      <c r="B17" s="212" t="s">
        <v>513</v>
      </c>
      <c r="C17" s="212" t="s">
        <v>514</v>
      </c>
      <c r="D17" s="212" t="s">
        <v>43</v>
      </c>
      <c r="E17" s="212" t="s">
        <v>515</v>
      </c>
      <c r="F17" s="213" t="s">
        <v>1114</v>
      </c>
      <c r="G17" s="214"/>
      <c r="H17" s="215"/>
      <c r="I17" s="214"/>
      <c r="J17" s="216"/>
      <c r="K17" s="216"/>
      <c r="L17" s="205"/>
      <c r="M17" s="205"/>
      <c r="N17" s="205"/>
      <c r="O17" s="205"/>
      <c r="P17" s="205"/>
      <c r="Q17" s="205"/>
      <c r="R17" s="205"/>
    </row>
    <row r="18" spans="1:18" ht="61.5" hidden="1" thickTop="1" thickBot="1" x14ac:dyDescent="0.25">
      <c r="B18" s="212" t="s">
        <v>513</v>
      </c>
      <c r="C18" s="212" t="s">
        <v>514</v>
      </c>
      <c r="D18" s="212" t="s">
        <v>43</v>
      </c>
      <c r="E18" s="212" t="s">
        <v>515</v>
      </c>
      <c r="F18" s="213" t="s">
        <v>938</v>
      </c>
      <c r="G18" s="214"/>
      <c r="H18" s="215"/>
      <c r="I18" s="214"/>
      <c r="J18" s="216"/>
      <c r="K18" s="216"/>
      <c r="L18" s="205"/>
      <c r="M18" s="205"/>
      <c r="N18" s="205"/>
      <c r="O18" s="205"/>
      <c r="P18" s="205"/>
      <c r="Q18" s="205"/>
      <c r="R18" s="205"/>
    </row>
    <row r="19" spans="1:18" ht="46.5" thickTop="1" thickBot="1" x14ac:dyDescent="0.25">
      <c r="A19" s="249"/>
      <c r="B19" s="500" t="s">
        <v>152</v>
      </c>
      <c r="C19" s="500"/>
      <c r="D19" s="500"/>
      <c r="E19" s="501" t="s">
        <v>0</v>
      </c>
      <c r="F19" s="500"/>
      <c r="G19" s="500"/>
      <c r="H19" s="502">
        <f>H20</f>
        <v>132464787</v>
      </c>
      <c r="I19" s="502">
        <f>I20</f>
        <v>48721089</v>
      </c>
      <c r="J19" s="502">
        <f>J20</f>
        <v>16000000</v>
      </c>
      <c r="K19" s="503"/>
      <c r="L19" s="205"/>
      <c r="M19" s="205"/>
      <c r="N19" s="205"/>
      <c r="O19" s="205"/>
      <c r="P19" s="205"/>
      <c r="Q19" s="205"/>
      <c r="R19" s="205"/>
    </row>
    <row r="20" spans="1:18" ht="44.25" thickTop="1" thickBot="1" x14ac:dyDescent="0.25">
      <c r="A20" s="249"/>
      <c r="B20" s="504" t="s">
        <v>153</v>
      </c>
      <c r="C20" s="504"/>
      <c r="D20" s="504"/>
      <c r="E20" s="505" t="s">
        <v>1</v>
      </c>
      <c r="F20" s="504"/>
      <c r="G20" s="504"/>
      <c r="H20" s="506">
        <f>H21+H23+H24+H25+H26</f>
        <v>132464787</v>
      </c>
      <c r="I20" s="506">
        <f t="shared" ref="I20:J20" si="0">I21+I23+I24+I25+I26</f>
        <v>48721089</v>
      </c>
      <c r="J20" s="506">
        <f t="shared" si="0"/>
        <v>16000000</v>
      </c>
      <c r="K20" s="507"/>
      <c r="L20" s="205"/>
      <c r="M20" s="205"/>
      <c r="N20" s="205"/>
      <c r="O20" s="205"/>
      <c r="P20" s="205"/>
      <c r="Q20" s="205"/>
      <c r="R20" s="205"/>
    </row>
    <row r="21" spans="1:18" ht="76.5" thickTop="1" thickBot="1" x14ac:dyDescent="0.25">
      <c r="A21" s="340"/>
      <c r="B21" s="331" t="s">
        <v>1423</v>
      </c>
      <c r="C21" s="331" t="s">
        <v>1424</v>
      </c>
      <c r="D21" s="331" t="s">
        <v>210</v>
      </c>
      <c r="E21" s="331" t="s">
        <v>1425</v>
      </c>
      <c r="F21" s="337" t="s">
        <v>1495</v>
      </c>
      <c r="G21" s="338" t="s">
        <v>1492</v>
      </c>
      <c r="H21" s="339">
        <v>41197697</v>
      </c>
      <c r="I21" s="339">
        <f>15200000+J21</f>
        <v>20200000</v>
      </c>
      <c r="J21" s="339">
        <v>5000000</v>
      </c>
      <c r="K21" s="342">
        <f>(I21+I22)/H21</f>
        <v>0.66508572068967831</v>
      </c>
      <c r="L21" s="228"/>
      <c r="M21" s="229"/>
      <c r="N21" s="205"/>
      <c r="O21" s="205"/>
      <c r="P21" s="205"/>
      <c r="Q21" s="205"/>
      <c r="R21" s="205"/>
    </row>
    <row r="22" spans="1:18" ht="76.5" hidden="1" thickTop="1" thickBot="1" x14ac:dyDescent="0.25">
      <c r="A22" s="340"/>
      <c r="B22" s="222" t="s">
        <v>1426</v>
      </c>
      <c r="C22" s="222" t="s">
        <v>1427</v>
      </c>
      <c r="D22" s="222" t="s">
        <v>210</v>
      </c>
      <c r="E22" s="222" t="s">
        <v>1428</v>
      </c>
      <c r="F22" s="242" t="s">
        <v>1495</v>
      </c>
      <c r="G22" s="224" t="s">
        <v>1492</v>
      </c>
      <c r="H22" s="225">
        <v>41197697</v>
      </c>
      <c r="I22" s="225">
        <f>J22</f>
        <v>7200000</v>
      </c>
      <c r="J22" s="226">
        <v>7200000</v>
      </c>
      <c r="K22" s="227">
        <f>(I22+I21)/H22</f>
        <v>0.66508572068967831</v>
      </c>
      <c r="L22" s="228"/>
      <c r="M22" s="229"/>
      <c r="N22" s="205"/>
      <c r="O22" s="205"/>
      <c r="P22" s="205"/>
      <c r="Q22" s="205"/>
      <c r="R22" s="205"/>
    </row>
    <row r="23" spans="1:18" ht="91.5" thickTop="1" thickBot="1" x14ac:dyDescent="0.25">
      <c r="A23" s="340"/>
      <c r="B23" s="331" t="s">
        <v>1110</v>
      </c>
      <c r="C23" s="331" t="s">
        <v>311</v>
      </c>
      <c r="D23" s="331" t="s">
        <v>304</v>
      </c>
      <c r="E23" s="331" t="s">
        <v>1322</v>
      </c>
      <c r="F23" s="337" t="s">
        <v>1493</v>
      </c>
      <c r="G23" s="338" t="s">
        <v>1492</v>
      </c>
      <c r="H23" s="339">
        <v>27852755</v>
      </c>
      <c r="I23" s="339">
        <f>9352755+J23</f>
        <v>14352755</v>
      </c>
      <c r="J23" s="339">
        <v>5000000</v>
      </c>
      <c r="K23" s="342">
        <f>I23/H23</f>
        <v>0.51530827022317904</v>
      </c>
      <c r="L23" s="228"/>
      <c r="M23" s="229"/>
      <c r="N23" s="205"/>
      <c r="O23" s="205"/>
      <c r="P23" s="205"/>
      <c r="Q23" s="205"/>
      <c r="R23" s="205"/>
    </row>
    <row r="24" spans="1:18" ht="106.5" thickTop="1" thickBot="1" x14ac:dyDescent="0.25">
      <c r="A24" s="340"/>
      <c r="B24" s="331" t="s">
        <v>1110</v>
      </c>
      <c r="C24" s="331" t="s">
        <v>311</v>
      </c>
      <c r="D24" s="331" t="s">
        <v>304</v>
      </c>
      <c r="E24" s="331" t="s">
        <v>1322</v>
      </c>
      <c r="F24" s="337" t="s">
        <v>1523</v>
      </c>
      <c r="G24" s="338" t="s">
        <v>1492</v>
      </c>
      <c r="H24" s="339">
        <v>25022708</v>
      </c>
      <c r="I24" s="339">
        <f>1000000+J24</f>
        <v>3000000</v>
      </c>
      <c r="J24" s="339">
        <v>2000000</v>
      </c>
      <c r="K24" s="342">
        <f t="shared" ref="K24:K25" si="1">I24/H24</f>
        <v>0.11989110051557969</v>
      </c>
      <c r="L24" s="228"/>
      <c r="M24" s="229"/>
      <c r="N24" s="205"/>
      <c r="O24" s="205"/>
      <c r="P24" s="205"/>
      <c r="Q24" s="205"/>
      <c r="R24" s="205"/>
    </row>
    <row r="25" spans="1:18" ht="91.5" thickTop="1" thickBot="1" x14ac:dyDescent="0.25">
      <c r="A25" s="340"/>
      <c r="B25" s="331" t="s">
        <v>1110</v>
      </c>
      <c r="C25" s="331" t="s">
        <v>311</v>
      </c>
      <c r="D25" s="331" t="s">
        <v>304</v>
      </c>
      <c r="E25" s="331" t="s">
        <v>1322</v>
      </c>
      <c r="F25" s="337" t="s">
        <v>1524</v>
      </c>
      <c r="G25" s="338" t="s">
        <v>1492</v>
      </c>
      <c r="H25" s="339">
        <v>18359547</v>
      </c>
      <c r="I25" s="339">
        <f>1000000+J25</f>
        <v>3000000</v>
      </c>
      <c r="J25" s="339">
        <v>2000000</v>
      </c>
      <c r="K25" s="342">
        <f t="shared" si="1"/>
        <v>0.16340272447898632</v>
      </c>
      <c r="L25" s="228"/>
      <c r="M25" s="229"/>
      <c r="N25" s="205"/>
      <c r="O25" s="205"/>
      <c r="P25" s="205"/>
      <c r="Q25" s="205"/>
      <c r="R25" s="205"/>
    </row>
    <row r="26" spans="1:18" ht="91.5" thickTop="1" thickBot="1" x14ac:dyDescent="0.25">
      <c r="A26" s="340"/>
      <c r="B26" s="331" t="s">
        <v>1110</v>
      </c>
      <c r="C26" s="331" t="s">
        <v>311</v>
      </c>
      <c r="D26" s="331" t="s">
        <v>304</v>
      </c>
      <c r="E26" s="331" t="s">
        <v>1322</v>
      </c>
      <c r="F26" s="337" t="s">
        <v>1494</v>
      </c>
      <c r="G26" s="338" t="s">
        <v>1492</v>
      </c>
      <c r="H26" s="339">
        <v>20032080</v>
      </c>
      <c r="I26" s="339">
        <f>6168334+J26</f>
        <v>8168334</v>
      </c>
      <c r="J26" s="339">
        <v>2000000</v>
      </c>
      <c r="K26" s="342">
        <f>I26/H26</f>
        <v>0.40776264871146678</v>
      </c>
      <c r="L26" s="228"/>
      <c r="M26" s="229"/>
      <c r="N26" s="205"/>
      <c r="O26" s="205"/>
      <c r="P26" s="205"/>
      <c r="Q26" s="205"/>
      <c r="R26" s="205"/>
    </row>
    <row r="27" spans="1:18" ht="61.5" hidden="1" thickTop="1" thickBot="1" x14ac:dyDescent="0.25">
      <c r="B27" s="222" t="s">
        <v>1110</v>
      </c>
      <c r="C27" s="222" t="s">
        <v>311</v>
      </c>
      <c r="D27" s="222" t="s">
        <v>304</v>
      </c>
      <c r="E27" s="222" t="s">
        <v>1248</v>
      </c>
      <c r="F27" s="223" t="s">
        <v>1141</v>
      </c>
      <c r="G27" s="224" t="s">
        <v>999</v>
      </c>
      <c r="H27" s="225">
        <v>4179432</v>
      </c>
      <c r="I27" s="226">
        <f>(49000)+13800</f>
        <v>62800</v>
      </c>
      <c r="J27" s="226">
        <f>(700000)-700000</f>
        <v>0</v>
      </c>
      <c r="K27" s="227">
        <f>(J27+I27)/H27</f>
        <v>1.5025965250780489E-2</v>
      </c>
      <c r="L27" s="230"/>
      <c r="M27" s="229"/>
      <c r="N27" s="205"/>
      <c r="O27" s="205"/>
      <c r="P27" s="205"/>
      <c r="Q27" s="205"/>
      <c r="R27" s="205"/>
    </row>
    <row r="28" spans="1:18" ht="46.5" hidden="1" thickTop="1" thickBot="1" x14ac:dyDescent="0.25">
      <c r="B28" s="423" t="s">
        <v>154</v>
      </c>
      <c r="C28" s="423"/>
      <c r="D28" s="423"/>
      <c r="E28" s="424" t="s">
        <v>18</v>
      </c>
      <c r="F28" s="423"/>
      <c r="G28" s="423"/>
      <c r="H28" s="425">
        <f>H29</f>
        <v>25987032</v>
      </c>
      <c r="I28" s="425">
        <f>I29</f>
        <v>24670053</v>
      </c>
      <c r="J28" s="425">
        <f>J29</f>
        <v>24670053</v>
      </c>
      <c r="K28" s="458"/>
      <c r="L28" s="205"/>
      <c r="M28" s="205"/>
      <c r="N28" s="205"/>
      <c r="O28" s="205"/>
      <c r="P28" s="205"/>
      <c r="Q28" s="205"/>
      <c r="R28" s="205"/>
    </row>
    <row r="29" spans="1:18" ht="44.25" hidden="1" thickTop="1" thickBot="1" x14ac:dyDescent="0.25">
      <c r="B29" s="427" t="s">
        <v>155</v>
      </c>
      <c r="C29" s="427"/>
      <c r="D29" s="427"/>
      <c r="E29" s="428" t="s">
        <v>36</v>
      </c>
      <c r="F29" s="427"/>
      <c r="G29" s="427"/>
      <c r="H29" s="430">
        <f>H33+H32</f>
        <v>25987032</v>
      </c>
      <c r="I29" s="430">
        <f t="shared" ref="I29:J29" si="2">I33+I32</f>
        <v>24670053</v>
      </c>
      <c r="J29" s="430">
        <f t="shared" si="2"/>
        <v>24670053</v>
      </c>
      <c r="K29" s="459"/>
      <c r="L29" s="205"/>
      <c r="M29" s="205"/>
      <c r="N29" s="205"/>
      <c r="O29" s="205"/>
      <c r="P29" s="205"/>
      <c r="Q29" s="205"/>
      <c r="R29" s="205"/>
    </row>
    <row r="30" spans="1:18" ht="91.5" hidden="1" thickTop="1" thickBot="1" x14ac:dyDescent="0.25">
      <c r="B30" s="212" t="s">
        <v>416</v>
      </c>
      <c r="C30" s="212" t="s">
        <v>236</v>
      </c>
      <c r="D30" s="212" t="s">
        <v>234</v>
      </c>
      <c r="E30" s="212" t="s">
        <v>235</v>
      </c>
      <c r="F30" s="213" t="s">
        <v>1102</v>
      </c>
      <c r="G30" s="217" t="s">
        <v>1103</v>
      </c>
      <c r="H30" s="218"/>
      <c r="I30" s="219"/>
      <c r="J30" s="216"/>
      <c r="K30" s="219"/>
      <c r="L30" s="205"/>
      <c r="M30" s="205"/>
      <c r="N30" s="205"/>
      <c r="O30" s="205"/>
      <c r="P30" s="205"/>
      <c r="Q30" s="205"/>
      <c r="R30" s="205"/>
    </row>
    <row r="31" spans="1:18" ht="91.5" hidden="1" thickTop="1" thickBot="1" x14ac:dyDescent="0.25">
      <c r="B31" s="222" t="s">
        <v>214</v>
      </c>
      <c r="C31" s="222" t="s">
        <v>211</v>
      </c>
      <c r="D31" s="222" t="s">
        <v>215</v>
      </c>
      <c r="E31" s="222" t="s">
        <v>19</v>
      </c>
      <c r="F31" s="231" t="s">
        <v>1129</v>
      </c>
      <c r="G31" s="224" t="s">
        <v>609</v>
      </c>
      <c r="H31" s="225">
        <v>24579593</v>
      </c>
      <c r="I31" s="225">
        <f>600000+5500000</f>
        <v>6100000</v>
      </c>
      <c r="J31" s="226"/>
      <c r="K31" s="227">
        <f>(J31+I31)/H31</f>
        <v>0.24817335258561848</v>
      </c>
      <c r="L31" s="205"/>
      <c r="M31" s="205"/>
      <c r="N31" s="205"/>
      <c r="O31" s="205"/>
      <c r="P31" s="205"/>
      <c r="Q31" s="205"/>
      <c r="R31" s="205"/>
    </row>
    <row r="32" spans="1:18" ht="196.5" hidden="1" thickTop="1" thickBot="1" x14ac:dyDescent="0.25">
      <c r="B32" s="222" t="s">
        <v>1188</v>
      </c>
      <c r="C32" s="222" t="s">
        <v>1190</v>
      </c>
      <c r="D32" s="222" t="s">
        <v>304</v>
      </c>
      <c r="E32" s="222" t="s">
        <v>1249</v>
      </c>
      <c r="F32" s="231" t="s">
        <v>1455</v>
      </c>
      <c r="G32" s="225" t="s">
        <v>1276</v>
      </c>
      <c r="H32" s="225">
        <v>5954299</v>
      </c>
      <c r="I32" s="225">
        <f>0+J32</f>
        <v>5841803</v>
      </c>
      <c r="J32" s="226">
        <f>5841803</f>
        <v>5841803</v>
      </c>
      <c r="K32" s="227">
        <v>1</v>
      </c>
      <c r="L32" s="205"/>
      <c r="M32" s="205"/>
      <c r="N32" s="205"/>
      <c r="O32" s="205"/>
      <c r="P32" s="205"/>
      <c r="Q32" s="205"/>
      <c r="R32" s="205"/>
    </row>
    <row r="33" spans="1:18" ht="91.5" hidden="1" thickTop="1" thickBot="1" x14ac:dyDescent="0.25">
      <c r="B33" s="222" t="s">
        <v>1188</v>
      </c>
      <c r="C33" s="222" t="s">
        <v>1190</v>
      </c>
      <c r="D33" s="222" t="s">
        <v>304</v>
      </c>
      <c r="E33" s="222" t="s">
        <v>1249</v>
      </c>
      <c r="F33" s="231" t="s">
        <v>1268</v>
      </c>
      <c r="G33" s="224" t="s">
        <v>1275</v>
      </c>
      <c r="H33" s="225">
        <v>20032733</v>
      </c>
      <c r="I33" s="225">
        <f>0+J33</f>
        <v>18828250</v>
      </c>
      <c r="J33" s="226">
        <f>(11239495)+7588755</f>
        <v>18828250</v>
      </c>
      <c r="K33" s="227">
        <v>1</v>
      </c>
      <c r="L33" s="350" t="s">
        <v>1283</v>
      </c>
      <c r="M33" s="205"/>
      <c r="N33" s="205"/>
      <c r="O33" s="205"/>
      <c r="P33" s="205"/>
      <c r="Q33" s="205"/>
      <c r="R33" s="205"/>
    </row>
    <row r="34" spans="1:18" ht="106.5" hidden="1" thickTop="1" thickBot="1" x14ac:dyDescent="0.25">
      <c r="B34" s="222" t="s">
        <v>1188</v>
      </c>
      <c r="C34" s="222" t="s">
        <v>1190</v>
      </c>
      <c r="D34" s="222" t="s">
        <v>304</v>
      </c>
      <c r="E34" s="222" t="s">
        <v>1249</v>
      </c>
      <c r="F34" s="231" t="s">
        <v>1191</v>
      </c>
      <c r="G34" s="224" t="s">
        <v>1144</v>
      </c>
      <c r="H34" s="225">
        <v>300000</v>
      </c>
      <c r="I34" s="225">
        <v>0</v>
      </c>
      <c r="J34" s="226"/>
      <c r="K34" s="227">
        <f>(J34+I34)/H34</f>
        <v>0</v>
      </c>
      <c r="L34" s="205"/>
      <c r="M34" s="205"/>
      <c r="N34" s="205"/>
      <c r="O34" s="205"/>
      <c r="P34" s="205"/>
      <c r="Q34" s="205"/>
      <c r="R34" s="205"/>
    </row>
    <row r="35" spans="1:18" ht="46.5" thickTop="1" thickBot="1" x14ac:dyDescent="0.25">
      <c r="B35" s="500" t="s">
        <v>156</v>
      </c>
      <c r="C35" s="500"/>
      <c r="D35" s="500"/>
      <c r="E35" s="501" t="s">
        <v>37</v>
      </c>
      <c r="F35" s="500"/>
      <c r="G35" s="500"/>
      <c r="H35" s="502">
        <f t="shared" ref="H35:J36" si="3">H36</f>
        <v>24622660</v>
      </c>
      <c r="I35" s="502">
        <f t="shared" si="3"/>
        <v>21796386.02</v>
      </c>
      <c r="J35" s="502">
        <f t="shared" si="3"/>
        <v>8796386.0199999996</v>
      </c>
      <c r="K35" s="503"/>
      <c r="L35" s="205"/>
      <c r="M35" s="205"/>
      <c r="N35" s="205"/>
      <c r="O35" s="205"/>
      <c r="P35" s="205"/>
      <c r="Q35" s="205"/>
      <c r="R35" s="205"/>
    </row>
    <row r="36" spans="1:18" ht="58.5" thickTop="1" thickBot="1" x14ac:dyDescent="0.25">
      <c r="B36" s="504" t="s">
        <v>157</v>
      </c>
      <c r="C36" s="504"/>
      <c r="D36" s="504"/>
      <c r="E36" s="505" t="s">
        <v>38</v>
      </c>
      <c r="F36" s="504"/>
      <c r="G36" s="504"/>
      <c r="H36" s="506">
        <f>H37</f>
        <v>24622660</v>
      </c>
      <c r="I36" s="506">
        <f t="shared" si="3"/>
        <v>21796386.02</v>
      </c>
      <c r="J36" s="506">
        <f t="shared" si="3"/>
        <v>8796386.0199999996</v>
      </c>
      <c r="K36" s="507"/>
      <c r="L36" s="205"/>
      <c r="M36" s="205"/>
      <c r="N36" s="205"/>
      <c r="O36" s="205"/>
      <c r="P36" s="205"/>
      <c r="Q36" s="205"/>
      <c r="R36" s="205"/>
    </row>
    <row r="37" spans="1:18" ht="121.5" thickTop="1" thickBot="1" x14ac:dyDescent="0.25">
      <c r="B37" s="331" t="s">
        <v>1213</v>
      </c>
      <c r="C37" s="331" t="s">
        <v>1210</v>
      </c>
      <c r="D37" s="331" t="s">
        <v>206</v>
      </c>
      <c r="E37" s="370" t="s">
        <v>1211</v>
      </c>
      <c r="F37" s="348" t="s">
        <v>1491</v>
      </c>
      <c r="G37" s="339" t="s">
        <v>1276</v>
      </c>
      <c r="H37" s="339">
        <v>24622660</v>
      </c>
      <c r="I37" s="341">
        <f>13000000+J37</f>
        <v>21796386.02</v>
      </c>
      <c r="J37" s="339">
        <v>8796386.0199999996</v>
      </c>
      <c r="K37" s="342">
        <f>I37/H37</f>
        <v>0.88521654524734528</v>
      </c>
      <c r="L37" s="205"/>
      <c r="M37" s="205"/>
      <c r="N37" s="205"/>
      <c r="O37" s="205"/>
      <c r="P37" s="205"/>
      <c r="Q37" s="205"/>
      <c r="R37" s="205"/>
    </row>
    <row r="38" spans="1:18" ht="46.5" hidden="1" thickTop="1" thickBot="1" x14ac:dyDescent="0.25">
      <c r="A38" s="250"/>
      <c r="B38" s="233">
        <v>1000000</v>
      </c>
      <c r="C38" s="233"/>
      <c r="D38" s="233"/>
      <c r="E38" s="234" t="s">
        <v>24</v>
      </c>
      <c r="F38" s="233"/>
      <c r="G38" s="233"/>
      <c r="H38" s="235">
        <f>H39</f>
        <v>27064985</v>
      </c>
      <c r="I38" s="235">
        <f>I39</f>
        <v>19955037.289999999</v>
      </c>
      <c r="J38" s="235">
        <f>J39</f>
        <v>0</v>
      </c>
      <c r="K38" s="236"/>
      <c r="L38" s="205"/>
      <c r="M38" s="205"/>
      <c r="N38" s="205"/>
      <c r="O38" s="205"/>
      <c r="P38" s="205"/>
      <c r="Q38" s="205"/>
      <c r="R38" s="205"/>
    </row>
    <row r="39" spans="1:18" ht="44.25" hidden="1" thickTop="1" thickBot="1" x14ac:dyDescent="0.25">
      <c r="A39" s="250"/>
      <c r="B39" s="237">
        <v>1010000</v>
      </c>
      <c r="C39" s="237"/>
      <c r="D39" s="237"/>
      <c r="E39" s="238" t="s">
        <v>39</v>
      </c>
      <c r="F39" s="237"/>
      <c r="G39" s="237"/>
      <c r="H39" s="239">
        <f>SUM(H40:H41)</f>
        <v>27064985</v>
      </c>
      <c r="I39" s="239">
        <f>SUM(I40:I41)</f>
        <v>19955037.289999999</v>
      </c>
      <c r="J39" s="239">
        <f>SUM(J40:J41)</f>
        <v>0</v>
      </c>
      <c r="K39" s="240"/>
      <c r="L39" s="205"/>
      <c r="M39" s="205"/>
      <c r="N39" s="205"/>
      <c r="O39" s="205"/>
      <c r="P39" s="205"/>
      <c r="Q39" s="205"/>
      <c r="R39" s="205"/>
    </row>
    <row r="40" spans="1:18" ht="61.5" hidden="1" thickTop="1" thickBot="1" x14ac:dyDescent="0.25">
      <c r="B40" s="222" t="s">
        <v>176</v>
      </c>
      <c r="C40" s="222" t="s">
        <v>177</v>
      </c>
      <c r="D40" s="222" t="s">
        <v>174</v>
      </c>
      <c r="E40" s="222" t="s">
        <v>463</v>
      </c>
      <c r="F40" s="223" t="s">
        <v>941</v>
      </c>
      <c r="G40" s="225" t="s">
        <v>521</v>
      </c>
      <c r="H40" s="225">
        <v>27064985</v>
      </c>
      <c r="I40" s="225">
        <f>1430336+2994769.5+4929931.79+5600000+(3000000)+2000000</f>
        <v>19955037.289999999</v>
      </c>
      <c r="J40" s="225">
        <f>(4652920)-4652920</f>
        <v>0</v>
      </c>
      <c r="K40" s="241">
        <f>(J40+I40)/H40</f>
        <v>0.73730088119391157</v>
      </c>
      <c r="L40" s="205"/>
      <c r="M40" s="205"/>
      <c r="N40" s="205"/>
      <c r="O40" s="205"/>
      <c r="P40" s="205"/>
      <c r="Q40" s="205"/>
      <c r="R40" s="205"/>
    </row>
    <row r="41" spans="1:18" ht="121.5" hidden="1" thickTop="1" thickBot="1" x14ac:dyDescent="0.25">
      <c r="A41" s="250"/>
      <c r="B41" s="212" t="s">
        <v>919</v>
      </c>
      <c r="C41" s="212" t="s">
        <v>197</v>
      </c>
      <c r="D41" s="212" t="s">
        <v>170</v>
      </c>
      <c r="E41" s="212" t="s">
        <v>34</v>
      </c>
      <c r="F41" s="232" t="s">
        <v>948</v>
      </c>
      <c r="G41" s="217" t="s">
        <v>559</v>
      </c>
      <c r="H41" s="218"/>
      <c r="I41" s="219"/>
      <c r="J41" s="218"/>
      <c r="K41" s="219"/>
      <c r="L41" s="205"/>
      <c r="M41" s="205"/>
      <c r="N41" s="205"/>
      <c r="O41" s="205"/>
      <c r="P41" s="205"/>
      <c r="Q41" s="205"/>
      <c r="R41" s="205"/>
    </row>
    <row r="42" spans="1:18" ht="46.5" thickTop="1" thickBot="1" x14ac:dyDescent="0.25">
      <c r="B42" s="500" t="s">
        <v>22</v>
      </c>
      <c r="C42" s="500"/>
      <c r="D42" s="500"/>
      <c r="E42" s="501" t="s">
        <v>23</v>
      </c>
      <c r="F42" s="500"/>
      <c r="G42" s="500"/>
      <c r="H42" s="502">
        <f t="shared" ref="H42:J42" si="4">H43</f>
        <v>35118863</v>
      </c>
      <c r="I42" s="502">
        <f t="shared" si="4"/>
        <v>33053045</v>
      </c>
      <c r="J42" s="502">
        <f t="shared" si="4"/>
        <v>1000000</v>
      </c>
      <c r="K42" s="503"/>
      <c r="L42" s="205"/>
      <c r="M42" s="205"/>
      <c r="N42" s="205"/>
      <c r="O42" s="205"/>
      <c r="P42" s="205"/>
      <c r="Q42" s="205"/>
      <c r="R42" s="205"/>
    </row>
    <row r="43" spans="1:18" ht="44.25" thickTop="1" thickBot="1" x14ac:dyDescent="0.25">
      <c r="B43" s="504" t="s">
        <v>21</v>
      </c>
      <c r="C43" s="504"/>
      <c r="D43" s="504"/>
      <c r="E43" s="505" t="s">
        <v>35</v>
      </c>
      <c r="F43" s="504"/>
      <c r="G43" s="504"/>
      <c r="H43" s="506">
        <f>H45</f>
        <v>35118863</v>
      </c>
      <c r="I43" s="506">
        <f t="shared" ref="I43:J43" si="5">I45</f>
        <v>33053045</v>
      </c>
      <c r="J43" s="506">
        <f t="shared" si="5"/>
        <v>1000000</v>
      </c>
      <c r="K43" s="507"/>
      <c r="L43" s="205"/>
      <c r="M43" s="205"/>
      <c r="N43" s="205"/>
      <c r="O43" s="205"/>
      <c r="P43" s="205"/>
      <c r="Q43" s="205"/>
      <c r="R43" s="205"/>
    </row>
    <row r="44" spans="1:18" ht="46.5" hidden="1" thickTop="1" thickBot="1" x14ac:dyDescent="0.25">
      <c r="B44" s="331" t="s">
        <v>189</v>
      </c>
      <c r="C44" s="331" t="s">
        <v>190</v>
      </c>
      <c r="D44" s="331" t="s">
        <v>185</v>
      </c>
      <c r="E44" s="331" t="s">
        <v>10</v>
      </c>
      <c r="F44" s="337" t="s">
        <v>1270</v>
      </c>
      <c r="G44" s="338" t="s">
        <v>609</v>
      </c>
      <c r="H44" s="339">
        <v>2102059</v>
      </c>
      <c r="I44" s="341">
        <f>66820+3338.56+J44</f>
        <v>80838.559999999998</v>
      </c>
      <c r="J44" s="341">
        <v>10680</v>
      </c>
      <c r="K44" s="342">
        <f>I44/H44</f>
        <v>3.8456846358736835E-2</v>
      </c>
      <c r="L44" s="205"/>
      <c r="M44" s="205"/>
      <c r="N44" s="205"/>
      <c r="O44" s="205"/>
      <c r="P44" s="205"/>
      <c r="Q44" s="205"/>
      <c r="R44" s="205"/>
    </row>
    <row r="45" spans="1:18" s="251" customFormat="1" ht="76.5" thickTop="1" thickBot="1" x14ac:dyDescent="0.25">
      <c r="B45" s="331" t="s">
        <v>28</v>
      </c>
      <c r="C45" s="331" t="s">
        <v>192</v>
      </c>
      <c r="D45" s="331" t="s">
        <v>195</v>
      </c>
      <c r="E45" s="331" t="s">
        <v>48</v>
      </c>
      <c r="F45" s="337" t="s">
        <v>1266</v>
      </c>
      <c r="G45" s="338" t="s">
        <v>1265</v>
      </c>
      <c r="H45" s="339">
        <v>35118863</v>
      </c>
      <c r="I45" s="341">
        <f>32053045+J45</f>
        <v>33053045</v>
      </c>
      <c r="J45" s="341">
        <v>1000000</v>
      </c>
      <c r="K45" s="342">
        <v>1</v>
      </c>
      <c r="L45" s="351">
        <f>H45-I45-4929869.92</f>
        <v>-2864051.92</v>
      </c>
      <c r="M45" s="243"/>
      <c r="N45" s="243"/>
      <c r="O45" s="243"/>
      <c r="P45" s="243"/>
      <c r="Q45" s="243"/>
      <c r="R45" s="243"/>
    </row>
    <row r="46" spans="1:18" s="251" customFormat="1" ht="16.5" hidden="1" thickTop="1" thickBot="1" x14ac:dyDescent="0.25">
      <c r="B46" s="331"/>
      <c r="C46" s="331"/>
      <c r="D46" s="331"/>
      <c r="E46" s="331"/>
      <c r="F46" s="337"/>
      <c r="G46" s="338"/>
      <c r="H46" s="339"/>
      <c r="I46" s="341"/>
      <c r="J46" s="341"/>
      <c r="K46" s="342"/>
      <c r="L46" s="351"/>
      <c r="M46" s="243"/>
      <c r="N46" s="243"/>
      <c r="O46" s="243"/>
      <c r="P46" s="243"/>
      <c r="Q46" s="243"/>
      <c r="R46" s="243"/>
    </row>
    <row r="47" spans="1:18" s="251" customFormat="1" ht="16.5" hidden="1" thickTop="1" thickBot="1" x14ac:dyDescent="0.25">
      <c r="B47" s="331"/>
      <c r="C47" s="331"/>
      <c r="D47" s="331"/>
      <c r="E47" s="331"/>
      <c r="F47" s="337"/>
      <c r="G47" s="338"/>
      <c r="H47" s="339"/>
      <c r="I47" s="341"/>
      <c r="J47" s="341"/>
      <c r="K47" s="342"/>
      <c r="L47" s="351"/>
      <c r="M47" s="243"/>
      <c r="N47" s="243"/>
      <c r="O47" s="243"/>
      <c r="P47" s="243"/>
      <c r="Q47" s="243"/>
      <c r="R47" s="243"/>
    </row>
    <row r="48" spans="1:18" s="251" customFormat="1" ht="46.5" hidden="1" thickTop="1" thickBot="1" x14ac:dyDescent="0.25">
      <c r="B48" s="174" t="s">
        <v>158</v>
      </c>
      <c r="C48" s="174"/>
      <c r="D48" s="174"/>
      <c r="E48" s="175" t="s">
        <v>562</v>
      </c>
      <c r="F48" s="174"/>
      <c r="G48" s="174"/>
      <c r="H48" s="176">
        <f t="shared" ref="H48:J48" si="6">H49</f>
        <v>4177606</v>
      </c>
      <c r="I48" s="176">
        <f t="shared" si="6"/>
        <v>0</v>
      </c>
      <c r="J48" s="176">
        <f t="shared" si="6"/>
        <v>0</v>
      </c>
      <c r="K48" s="220"/>
      <c r="L48" s="244"/>
      <c r="M48" s="243"/>
      <c r="N48" s="243"/>
      <c r="O48" s="243"/>
      <c r="P48" s="243"/>
      <c r="Q48" s="243"/>
      <c r="R48" s="243"/>
    </row>
    <row r="49" spans="1:18" s="251" customFormat="1" ht="44.25" hidden="1" thickTop="1" thickBot="1" x14ac:dyDescent="0.25">
      <c r="B49" s="178" t="s">
        <v>159</v>
      </c>
      <c r="C49" s="178"/>
      <c r="D49" s="178"/>
      <c r="E49" s="179" t="s">
        <v>563</v>
      </c>
      <c r="F49" s="178"/>
      <c r="G49" s="178"/>
      <c r="H49" s="180">
        <f>H50</f>
        <v>4177606</v>
      </c>
      <c r="I49" s="180">
        <f>I50</f>
        <v>0</v>
      </c>
      <c r="J49" s="180">
        <f>J50</f>
        <v>0</v>
      </c>
      <c r="K49" s="221"/>
      <c r="L49" s="244"/>
      <c r="M49" s="243"/>
      <c r="N49" s="243"/>
      <c r="O49" s="243"/>
      <c r="P49" s="243"/>
      <c r="Q49" s="243"/>
      <c r="R49" s="243"/>
    </row>
    <row r="50" spans="1:18" s="251" customFormat="1" ht="46.5" hidden="1" thickTop="1" thickBot="1" x14ac:dyDescent="0.25">
      <c r="B50" s="222" t="s">
        <v>1154</v>
      </c>
      <c r="C50" s="222" t="s">
        <v>305</v>
      </c>
      <c r="D50" s="222" t="s">
        <v>304</v>
      </c>
      <c r="E50" s="222" t="s">
        <v>1250</v>
      </c>
      <c r="F50" s="242" t="s">
        <v>1161</v>
      </c>
      <c r="G50" s="225" t="s">
        <v>1144</v>
      </c>
      <c r="H50" s="225">
        <v>4177606</v>
      </c>
      <c r="I50" s="225">
        <v>0</v>
      </c>
      <c r="J50" s="226"/>
      <c r="K50" s="241">
        <f>(I50+J50)/H50</f>
        <v>0</v>
      </c>
      <c r="L50" s="244"/>
      <c r="M50" s="243"/>
      <c r="N50" s="243"/>
      <c r="O50" s="243"/>
      <c r="P50" s="243"/>
      <c r="Q50" s="243"/>
      <c r="R50" s="243"/>
    </row>
    <row r="51" spans="1:18" s="251" customFormat="1" ht="46.5" thickTop="1" thickBot="1" x14ac:dyDescent="0.25">
      <c r="B51" s="500" t="s">
        <v>541</v>
      </c>
      <c r="C51" s="500"/>
      <c r="D51" s="500"/>
      <c r="E51" s="501" t="s">
        <v>560</v>
      </c>
      <c r="F51" s="500"/>
      <c r="G51" s="500"/>
      <c r="H51" s="502">
        <f>H52</f>
        <v>137897913</v>
      </c>
      <c r="I51" s="502">
        <f>I52</f>
        <v>62561175.649999999</v>
      </c>
      <c r="J51" s="502">
        <f>J52</f>
        <v>11760000</v>
      </c>
      <c r="K51" s="503"/>
      <c r="L51" s="244"/>
      <c r="M51" s="243"/>
      <c r="N51" s="243"/>
      <c r="O51" s="243"/>
      <c r="P51" s="243"/>
      <c r="Q51" s="243"/>
      <c r="R51" s="243"/>
    </row>
    <row r="52" spans="1:18" s="251" customFormat="1" ht="44.25" thickTop="1" thickBot="1" x14ac:dyDescent="0.25">
      <c r="B52" s="504" t="s">
        <v>542</v>
      </c>
      <c r="C52" s="504"/>
      <c r="D52" s="504"/>
      <c r="E52" s="505" t="s">
        <v>561</v>
      </c>
      <c r="F52" s="504"/>
      <c r="G52" s="504"/>
      <c r="H52" s="506">
        <f>H59+H60</f>
        <v>137897913</v>
      </c>
      <c r="I52" s="506">
        <f t="shared" ref="I52:J52" si="7">I59+I60</f>
        <v>62561175.649999999</v>
      </c>
      <c r="J52" s="506">
        <f t="shared" si="7"/>
        <v>11760000</v>
      </c>
      <c r="K52" s="507"/>
      <c r="L52" s="244"/>
      <c r="M52" s="243"/>
      <c r="N52" s="243"/>
      <c r="O52" s="243"/>
      <c r="P52" s="243"/>
      <c r="Q52" s="243"/>
      <c r="R52" s="243"/>
    </row>
    <row r="53" spans="1:18" s="251" customFormat="1" ht="61.5" hidden="1" thickTop="1" thickBot="1" x14ac:dyDescent="0.25">
      <c r="A53" s="170"/>
      <c r="B53" s="222" t="s">
        <v>549</v>
      </c>
      <c r="C53" s="222" t="s">
        <v>305</v>
      </c>
      <c r="D53" s="222" t="s">
        <v>304</v>
      </c>
      <c r="E53" s="222" t="s">
        <v>469</v>
      </c>
      <c r="F53" s="245" t="s">
        <v>1142</v>
      </c>
      <c r="G53" s="225" t="s">
        <v>1281</v>
      </c>
      <c r="H53" s="225">
        <v>10423167</v>
      </c>
      <c r="I53" s="225">
        <f>1987516+J53</f>
        <v>2297516</v>
      </c>
      <c r="J53" s="225">
        <f>(3000000-2000000)-690000</f>
        <v>310000</v>
      </c>
      <c r="K53" s="241">
        <f>I53/H53</f>
        <v>0.22042398438017927</v>
      </c>
      <c r="L53" s="244"/>
      <c r="M53" s="243"/>
      <c r="N53" s="243"/>
      <c r="O53" s="243"/>
      <c r="P53" s="243"/>
      <c r="Q53" s="243"/>
      <c r="R53" s="243"/>
    </row>
    <row r="54" spans="1:18" s="251" customFormat="1" ht="46.5" hidden="1" thickTop="1" thickBot="1" x14ac:dyDescent="0.25">
      <c r="A54" s="170"/>
      <c r="B54" s="222" t="s">
        <v>549</v>
      </c>
      <c r="C54" s="222" t="s">
        <v>305</v>
      </c>
      <c r="D54" s="222" t="s">
        <v>304</v>
      </c>
      <c r="E54" s="222" t="s">
        <v>469</v>
      </c>
      <c r="F54" s="245" t="s">
        <v>1143</v>
      </c>
      <c r="G54" s="225" t="s">
        <v>522</v>
      </c>
      <c r="H54" s="225">
        <v>19973126</v>
      </c>
      <c r="I54" s="225">
        <v>3000000</v>
      </c>
      <c r="J54" s="225">
        <f>(2000000)-2000000</f>
        <v>0</v>
      </c>
      <c r="K54" s="241">
        <f t="shared" ref="K54:K93" si="8">(I54+J54)/H54</f>
        <v>0.15020182619385669</v>
      </c>
      <c r="L54" s="244"/>
      <c r="M54" s="243"/>
      <c r="N54" s="243"/>
      <c r="O54" s="243"/>
      <c r="P54" s="243"/>
      <c r="Q54" s="243"/>
      <c r="R54" s="243"/>
    </row>
    <row r="55" spans="1:18" s="251" customFormat="1" ht="61.5" hidden="1" thickTop="1" thickBot="1" x14ac:dyDescent="0.25">
      <c r="A55" s="170"/>
      <c r="B55" s="222" t="s">
        <v>549</v>
      </c>
      <c r="C55" s="222" t="s">
        <v>305</v>
      </c>
      <c r="D55" s="222" t="s">
        <v>304</v>
      </c>
      <c r="E55" s="222" t="s">
        <v>469</v>
      </c>
      <c r="F55" s="245" t="s">
        <v>1181</v>
      </c>
      <c r="G55" s="225" t="s">
        <v>1144</v>
      </c>
      <c r="H55" s="225">
        <v>7326277</v>
      </c>
      <c r="I55" s="225">
        <v>0</v>
      </c>
      <c r="J55" s="225"/>
      <c r="K55" s="241">
        <f t="shared" si="8"/>
        <v>0</v>
      </c>
      <c r="L55" s="244"/>
      <c r="M55" s="243"/>
      <c r="N55" s="243"/>
      <c r="O55" s="243"/>
      <c r="P55" s="243"/>
      <c r="Q55" s="243"/>
      <c r="R55" s="243"/>
    </row>
    <row r="56" spans="1:18" s="251" customFormat="1" ht="46.5" hidden="1" thickTop="1" thickBot="1" x14ac:dyDescent="0.25">
      <c r="A56" s="170"/>
      <c r="B56" s="222" t="s">
        <v>549</v>
      </c>
      <c r="C56" s="222" t="s">
        <v>305</v>
      </c>
      <c r="D56" s="222" t="s">
        <v>304</v>
      </c>
      <c r="E56" s="222" t="s">
        <v>469</v>
      </c>
      <c r="F56" s="245" t="s">
        <v>1148</v>
      </c>
      <c r="G56" s="225" t="s">
        <v>1144</v>
      </c>
      <c r="H56" s="225">
        <v>8650378</v>
      </c>
      <c r="I56" s="225">
        <v>0</v>
      </c>
      <c r="J56" s="225"/>
      <c r="K56" s="241">
        <f t="shared" si="8"/>
        <v>0</v>
      </c>
      <c r="L56" s="244"/>
      <c r="M56" s="243"/>
      <c r="N56" s="243"/>
      <c r="O56" s="243"/>
      <c r="P56" s="243"/>
      <c r="Q56" s="243"/>
      <c r="R56" s="243"/>
    </row>
    <row r="57" spans="1:18" s="251" customFormat="1" ht="46.5" hidden="1" thickTop="1" thickBot="1" x14ac:dyDescent="0.25">
      <c r="A57" s="170"/>
      <c r="B57" s="222" t="s">
        <v>549</v>
      </c>
      <c r="C57" s="222" t="s">
        <v>305</v>
      </c>
      <c r="D57" s="222" t="s">
        <v>304</v>
      </c>
      <c r="E57" s="222" t="s">
        <v>469</v>
      </c>
      <c r="F57" s="245" t="s">
        <v>1149</v>
      </c>
      <c r="G57" s="225" t="s">
        <v>521</v>
      </c>
      <c r="H57" s="225">
        <v>68621716</v>
      </c>
      <c r="I57" s="225">
        <v>65923472</v>
      </c>
      <c r="J57" s="225"/>
      <c r="K57" s="241">
        <f t="shared" si="8"/>
        <v>0.96067944439046093</v>
      </c>
      <c r="L57" s="244"/>
      <c r="M57" s="243"/>
      <c r="N57" s="243"/>
      <c r="O57" s="243"/>
      <c r="P57" s="243"/>
      <c r="Q57" s="243"/>
      <c r="R57" s="243"/>
    </row>
    <row r="58" spans="1:18" s="251" customFormat="1" ht="46.5" hidden="1" thickTop="1" thickBot="1" x14ac:dyDescent="0.25">
      <c r="A58" s="170"/>
      <c r="B58" s="222" t="s">
        <v>549</v>
      </c>
      <c r="C58" s="222" t="s">
        <v>305</v>
      </c>
      <c r="D58" s="222" t="s">
        <v>304</v>
      </c>
      <c r="E58" s="222" t="s">
        <v>469</v>
      </c>
      <c r="F58" s="245" t="s">
        <v>1169</v>
      </c>
      <c r="G58" s="225" t="s">
        <v>521</v>
      </c>
      <c r="H58" s="225">
        <v>18370999</v>
      </c>
      <c r="I58" s="225">
        <f>(300000+171778.77+2000000+2000000)</f>
        <v>4471778.7699999996</v>
      </c>
      <c r="J58" s="225"/>
      <c r="K58" s="241">
        <f>(I58+J58)/H58</f>
        <v>0.24341511150264608</v>
      </c>
      <c r="L58" s="244"/>
      <c r="M58" s="243"/>
      <c r="N58" s="243"/>
      <c r="O58" s="243"/>
      <c r="P58" s="243"/>
      <c r="Q58" s="243"/>
      <c r="R58" s="243"/>
    </row>
    <row r="59" spans="1:18" s="251" customFormat="1" ht="61.5" thickTop="1" thickBot="1" x14ac:dyDescent="0.25">
      <c r="A59" s="170"/>
      <c r="B59" s="331" t="s">
        <v>550</v>
      </c>
      <c r="C59" s="331" t="s">
        <v>293</v>
      </c>
      <c r="D59" s="331" t="s">
        <v>295</v>
      </c>
      <c r="E59" s="331" t="s">
        <v>294</v>
      </c>
      <c r="F59" s="335" t="s">
        <v>1527</v>
      </c>
      <c r="G59" s="339" t="s">
        <v>1281</v>
      </c>
      <c r="H59" s="486">
        <v>96666042</v>
      </c>
      <c r="I59" s="339">
        <f>31236400+J59</f>
        <v>33236400</v>
      </c>
      <c r="J59" s="339">
        <v>2000000</v>
      </c>
      <c r="K59" s="487">
        <f>I59/H59</f>
        <v>0.34382704942031245</v>
      </c>
      <c r="L59" s="244"/>
      <c r="M59" s="243"/>
      <c r="N59" s="243"/>
      <c r="O59" s="243"/>
      <c r="P59" s="243"/>
      <c r="Q59" s="243"/>
      <c r="R59" s="243"/>
    </row>
    <row r="60" spans="1:18" s="251" customFormat="1" ht="76.5" thickTop="1" thickBot="1" x14ac:dyDescent="0.25">
      <c r="A60" s="170"/>
      <c r="B60" s="331" t="s">
        <v>551</v>
      </c>
      <c r="C60" s="331" t="s">
        <v>212</v>
      </c>
      <c r="D60" s="331" t="s">
        <v>213</v>
      </c>
      <c r="E60" s="331" t="s">
        <v>41</v>
      </c>
      <c r="F60" s="488" t="s">
        <v>1145</v>
      </c>
      <c r="G60" s="338" t="s">
        <v>1542</v>
      </c>
      <c r="H60" s="489">
        <v>41231871</v>
      </c>
      <c r="I60" s="339">
        <f>(34014775.65-14450000)+J60</f>
        <v>29324775.649999999</v>
      </c>
      <c r="J60" s="339">
        <v>9760000</v>
      </c>
      <c r="K60" s="342">
        <f>I60/H60</f>
        <v>0.71121622518657956</v>
      </c>
      <c r="L60" s="244"/>
      <c r="M60" s="243"/>
      <c r="N60" s="243"/>
      <c r="O60" s="243"/>
      <c r="P60" s="243"/>
      <c r="Q60" s="243"/>
      <c r="R60" s="243"/>
    </row>
    <row r="61" spans="1:18" s="251" customFormat="1" ht="46.5" hidden="1" thickTop="1" thickBot="1" x14ac:dyDescent="0.25">
      <c r="A61" s="170"/>
      <c r="B61" s="438" t="s">
        <v>552</v>
      </c>
      <c r="C61" s="438" t="s">
        <v>197</v>
      </c>
      <c r="D61" s="438" t="s">
        <v>170</v>
      </c>
      <c r="E61" s="438" t="s">
        <v>34</v>
      </c>
      <c r="F61" s="461" t="s">
        <v>1356</v>
      </c>
      <c r="G61" s="224"/>
      <c r="H61" s="460"/>
      <c r="I61" s="225"/>
      <c r="J61" s="225"/>
      <c r="K61" s="227"/>
      <c r="L61" s="244"/>
      <c r="M61" s="243"/>
      <c r="N61" s="243"/>
      <c r="O61" s="243"/>
      <c r="P61" s="243"/>
      <c r="Q61" s="243"/>
      <c r="R61" s="243"/>
    </row>
    <row r="62" spans="1:18" s="251" customFormat="1" ht="91.5" hidden="1" thickTop="1" thickBot="1" x14ac:dyDescent="0.25">
      <c r="A62" s="170"/>
      <c r="B62" s="222" t="s">
        <v>552</v>
      </c>
      <c r="C62" s="222" t="s">
        <v>197</v>
      </c>
      <c r="D62" s="222" t="s">
        <v>170</v>
      </c>
      <c r="E62" s="222" t="s">
        <v>34</v>
      </c>
      <c r="F62" s="246" t="s">
        <v>1146</v>
      </c>
      <c r="G62" s="224" t="s">
        <v>1140</v>
      </c>
      <c r="H62" s="225">
        <v>4730960</v>
      </c>
      <c r="I62" s="225">
        <f>5000</f>
        <v>5000</v>
      </c>
      <c r="J62" s="225"/>
      <c r="K62" s="241">
        <f t="shared" si="8"/>
        <v>1.0568679506907689E-3</v>
      </c>
      <c r="L62" s="244"/>
      <c r="M62" s="243"/>
      <c r="N62" s="243"/>
      <c r="O62" s="243"/>
      <c r="P62" s="243"/>
      <c r="Q62" s="243"/>
      <c r="R62" s="243"/>
    </row>
    <row r="63" spans="1:18" s="251" customFormat="1" ht="46.5" hidden="1" thickTop="1" thickBot="1" x14ac:dyDescent="0.25">
      <c r="A63" s="170"/>
      <c r="B63" s="222" t="s">
        <v>552</v>
      </c>
      <c r="C63" s="222" t="s">
        <v>197</v>
      </c>
      <c r="D63" s="222" t="s">
        <v>170</v>
      </c>
      <c r="E63" s="222" t="s">
        <v>34</v>
      </c>
      <c r="F63" s="231" t="s">
        <v>1357</v>
      </c>
      <c r="G63" s="224" t="s">
        <v>1265</v>
      </c>
      <c r="H63" s="225">
        <v>3936902</v>
      </c>
      <c r="I63" s="225">
        <f>J63</f>
        <v>100000</v>
      </c>
      <c r="J63" s="225">
        <v>100000</v>
      </c>
      <c r="K63" s="227">
        <f>I63/H63</f>
        <v>2.5400683075169257E-2</v>
      </c>
      <c r="L63" s="244"/>
      <c r="M63" s="243"/>
      <c r="N63" s="243"/>
      <c r="O63" s="243"/>
      <c r="P63" s="243"/>
      <c r="Q63" s="243"/>
      <c r="R63" s="243"/>
    </row>
    <row r="64" spans="1:18" s="251" customFormat="1" ht="46.5" hidden="1" thickTop="1" thickBot="1" x14ac:dyDescent="0.25">
      <c r="A64" s="170"/>
      <c r="B64" s="438" t="s">
        <v>552</v>
      </c>
      <c r="C64" s="438" t="s">
        <v>197</v>
      </c>
      <c r="D64" s="438" t="s">
        <v>170</v>
      </c>
      <c r="E64" s="438" t="s">
        <v>34</v>
      </c>
      <c r="F64" s="461" t="s">
        <v>1356</v>
      </c>
      <c r="G64" s="224"/>
      <c r="H64" s="225"/>
      <c r="I64" s="225"/>
      <c r="J64" s="225"/>
      <c r="K64" s="241"/>
      <c r="L64" s="244"/>
      <c r="M64" s="243"/>
      <c r="N64" s="243"/>
      <c r="O64" s="243"/>
      <c r="P64" s="243"/>
      <c r="Q64" s="243"/>
      <c r="R64" s="243"/>
    </row>
    <row r="65" spans="1:18" s="251" customFormat="1" ht="46.5" hidden="1" thickTop="1" thickBot="1" x14ac:dyDescent="0.25">
      <c r="A65" s="170"/>
      <c r="B65" s="222" t="s">
        <v>552</v>
      </c>
      <c r="C65" s="222" t="s">
        <v>197</v>
      </c>
      <c r="D65" s="222" t="s">
        <v>170</v>
      </c>
      <c r="E65" s="222" t="s">
        <v>34</v>
      </c>
      <c r="F65" s="231" t="s">
        <v>1439</v>
      </c>
      <c r="G65" s="224" t="s">
        <v>1281</v>
      </c>
      <c r="H65" s="225">
        <v>7619432.4500000002</v>
      </c>
      <c r="I65" s="225">
        <f>2006390.45+J65</f>
        <v>6506390.4500000002</v>
      </c>
      <c r="J65" s="225">
        <f>(((100000)+1500000)+2000000)+900000</f>
        <v>4500000</v>
      </c>
      <c r="K65" s="227">
        <f>I65/H65</f>
        <v>0.85392061583274492</v>
      </c>
      <c r="L65" s="244"/>
      <c r="M65" s="243"/>
      <c r="N65" s="243"/>
      <c r="O65" s="243"/>
      <c r="P65" s="243"/>
      <c r="Q65" s="243"/>
      <c r="R65" s="243"/>
    </row>
    <row r="66" spans="1:18" s="251" customFormat="1" ht="31.5" hidden="1" thickTop="1" thickBot="1" x14ac:dyDescent="0.25">
      <c r="A66" s="170"/>
      <c r="B66" s="438" t="s">
        <v>552</v>
      </c>
      <c r="C66" s="438" t="s">
        <v>197</v>
      </c>
      <c r="D66" s="438" t="s">
        <v>170</v>
      </c>
      <c r="E66" s="438" t="s">
        <v>34</v>
      </c>
      <c r="F66" s="461" t="s">
        <v>1355</v>
      </c>
      <c r="G66" s="224"/>
      <c r="H66" s="225"/>
      <c r="I66" s="225"/>
      <c r="J66" s="225"/>
      <c r="K66" s="241"/>
      <c r="L66" s="244"/>
      <c r="M66" s="243"/>
      <c r="N66" s="243"/>
      <c r="O66" s="243"/>
      <c r="P66" s="243"/>
      <c r="Q66" s="243"/>
      <c r="R66" s="243"/>
    </row>
    <row r="67" spans="1:18" s="251" customFormat="1" ht="76.5" hidden="1" thickTop="1" thickBot="1" x14ac:dyDescent="0.25">
      <c r="A67" s="170"/>
      <c r="B67" s="222" t="s">
        <v>552</v>
      </c>
      <c r="C67" s="222" t="s">
        <v>197</v>
      </c>
      <c r="D67" s="222" t="s">
        <v>170</v>
      </c>
      <c r="E67" s="222" t="s">
        <v>34</v>
      </c>
      <c r="F67" s="231" t="s">
        <v>1353</v>
      </c>
      <c r="G67" s="225" t="s">
        <v>1276</v>
      </c>
      <c r="H67" s="225">
        <v>1814685</v>
      </c>
      <c r="I67" s="225">
        <f>0+J67</f>
        <v>1814685</v>
      </c>
      <c r="J67" s="225">
        <v>1814685</v>
      </c>
      <c r="K67" s="227">
        <f>I67/H67</f>
        <v>1</v>
      </c>
      <c r="L67" s="244"/>
      <c r="M67" s="243"/>
      <c r="N67" s="243"/>
      <c r="O67" s="243"/>
      <c r="P67" s="243"/>
      <c r="Q67" s="243"/>
      <c r="R67" s="243"/>
    </row>
    <row r="68" spans="1:18" s="251" customFormat="1" ht="46.5" hidden="1" thickTop="1" thickBot="1" x14ac:dyDescent="0.25">
      <c r="A68" s="170"/>
      <c r="B68" s="438" t="s">
        <v>552</v>
      </c>
      <c r="C68" s="438" t="s">
        <v>197</v>
      </c>
      <c r="D68" s="438" t="s">
        <v>170</v>
      </c>
      <c r="E68" s="438" t="s">
        <v>34</v>
      </c>
      <c r="F68" s="461" t="s">
        <v>1354</v>
      </c>
      <c r="G68" s="360"/>
      <c r="H68" s="360"/>
      <c r="I68" s="360"/>
      <c r="J68" s="360"/>
      <c r="K68" s="361"/>
      <c r="L68" s="244"/>
      <c r="M68" s="243"/>
      <c r="N68" s="243"/>
      <c r="O68" s="243"/>
      <c r="P68" s="243"/>
      <c r="Q68" s="243"/>
      <c r="R68" s="243"/>
    </row>
    <row r="69" spans="1:18" s="251" customFormat="1" ht="61.5" hidden="1" thickTop="1" thickBot="1" x14ac:dyDescent="0.25">
      <c r="A69" s="170"/>
      <c r="B69" s="222" t="s">
        <v>552</v>
      </c>
      <c r="C69" s="222" t="s">
        <v>197</v>
      </c>
      <c r="D69" s="222" t="s">
        <v>170</v>
      </c>
      <c r="E69" s="222" t="s">
        <v>34</v>
      </c>
      <c r="F69" s="231" t="s">
        <v>1336</v>
      </c>
      <c r="G69" s="225" t="s">
        <v>1275</v>
      </c>
      <c r="H69" s="225">
        <v>5372119</v>
      </c>
      <c r="I69" s="225">
        <f>98758+J69</f>
        <v>3645877</v>
      </c>
      <c r="J69" s="225">
        <f>(((800000)+4473361)-1008242)-718000</f>
        <v>3547119</v>
      </c>
      <c r="K69" s="227">
        <v>1</v>
      </c>
      <c r="L69" s="244"/>
      <c r="M69" s="243"/>
      <c r="N69" s="243"/>
      <c r="O69" s="243"/>
      <c r="P69" s="243"/>
      <c r="Q69" s="243"/>
      <c r="R69" s="243"/>
    </row>
    <row r="70" spans="1:18" s="251" customFormat="1" ht="46.5" hidden="1" thickTop="1" thickBot="1" x14ac:dyDescent="0.25">
      <c r="A70" s="170"/>
      <c r="B70" s="222" t="s">
        <v>552</v>
      </c>
      <c r="C70" s="222" t="s">
        <v>197</v>
      </c>
      <c r="D70" s="222" t="s">
        <v>170</v>
      </c>
      <c r="E70" s="222" t="s">
        <v>34</v>
      </c>
      <c r="F70" s="231" t="s">
        <v>1337</v>
      </c>
      <c r="G70" s="225" t="s">
        <v>1276</v>
      </c>
      <c r="H70" s="225">
        <v>7772411</v>
      </c>
      <c r="I70" s="225">
        <f t="shared" ref="I70:I77" si="9">0+J70</f>
        <v>7201885</v>
      </c>
      <c r="J70" s="225">
        <f>((800000)+6172411)+229474</f>
        <v>7201885</v>
      </c>
      <c r="K70" s="227">
        <v>1</v>
      </c>
      <c r="L70" s="244"/>
      <c r="M70" s="243"/>
      <c r="N70" s="243"/>
      <c r="O70" s="243"/>
      <c r="P70" s="243"/>
      <c r="Q70" s="243"/>
      <c r="R70" s="243"/>
    </row>
    <row r="71" spans="1:18" s="251" customFormat="1" ht="61.5" hidden="1" thickTop="1" thickBot="1" x14ac:dyDescent="0.25">
      <c r="A71" s="170"/>
      <c r="B71" s="222" t="s">
        <v>552</v>
      </c>
      <c r="C71" s="222" t="s">
        <v>197</v>
      </c>
      <c r="D71" s="222" t="s">
        <v>170</v>
      </c>
      <c r="E71" s="222" t="s">
        <v>34</v>
      </c>
      <c r="F71" s="231" t="s">
        <v>1338</v>
      </c>
      <c r="G71" s="225" t="s">
        <v>1276</v>
      </c>
      <c r="H71" s="225">
        <f>9279628-9279628</f>
        <v>0</v>
      </c>
      <c r="I71" s="225">
        <f t="shared" si="9"/>
        <v>0</v>
      </c>
      <c r="J71" s="225">
        <f>(((800000)+8479628)-752674)-8526954</f>
        <v>0</v>
      </c>
      <c r="K71" s="227">
        <v>1</v>
      </c>
      <c r="L71" s="244"/>
      <c r="M71" s="243"/>
      <c r="N71" s="243"/>
      <c r="O71" s="243"/>
      <c r="P71" s="243"/>
      <c r="Q71" s="243"/>
      <c r="R71" s="243"/>
    </row>
    <row r="72" spans="1:18" s="251" customFormat="1" ht="46.5" hidden="1" thickTop="1" thickBot="1" x14ac:dyDescent="0.25">
      <c r="A72" s="170"/>
      <c r="B72" s="222" t="s">
        <v>552</v>
      </c>
      <c r="C72" s="222" t="s">
        <v>197</v>
      </c>
      <c r="D72" s="222" t="s">
        <v>170</v>
      </c>
      <c r="E72" s="222" t="s">
        <v>34</v>
      </c>
      <c r="F72" s="231" t="s">
        <v>1339</v>
      </c>
      <c r="G72" s="225" t="s">
        <v>1276</v>
      </c>
      <c r="H72" s="225">
        <v>1414397</v>
      </c>
      <c r="I72" s="225">
        <f t="shared" si="9"/>
        <v>1392754</v>
      </c>
      <c r="J72" s="225">
        <f>((216700)+1197697)-21643</f>
        <v>1392754</v>
      </c>
      <c r="K72" s="227">
        <v>1</v>
      </c>
      <c r="L72" s="244"/>
      <c r="M72" s="243"/>
      <c r="N72" s="243"/>
      <c r="O72" s="243"/>
      <c r="P72" s="243"/>
      <c r="Q72" s="243"/>
      <c r="R72" s="243"/>
    </row>
    <row r="73" spans="1:18" s="251" customFormat="1" ht="46.5" hidden="1" thickTop="1" thickBot="1" x14ac:dyDescent="0.25">
      <c r="A73" s="170"/>
      <c r="B73" s="222" t="s">
        <v>552</v>
      </c>
      <c r="C73" s="222" t="s">
        <v>197</v>
      </c>
      <c r="D73" s="222" t="s">
        <v>170</v>
      </c>
      <c r="E73" s="222" t="s">
        <v>34</v>
      </c>
      <c r="F73" s="231" t="s">
        <v>1346</v>
      </c>
      <c r="G73" s="225" t="s">
        <v>1276</v>
      </c>
      <c r="H73" s="225">
        <v>1102662</v>
      </c>
      <c r="I73" s="225">
        <f t="shared" si="9"/>
        <v>1083784</v>
      </c>
      <c r="J73" s="225">
        <f>((500000)+602662)-18878</f>
        <v>1083784</v>
      </c>
      <c r="K73" s="227">
        <v>1</v>
      </c>
      <c r="L73" s="244"/>
      <c r="M73" s="243"/>
      <c r="N73" s="243"/>
      <c r="O73" s="243"/>
      <c r="P73" s="243"/>
      <c r="Q73" s="243"/>
      <c r="R73" s="243"/>
    </row>
    <row r="74" spans="1:18" s="251" customFormat="1" ht="61.5" hidden="1" thickTop="1" thickBot="1" x14ac:dyDescent="0.25">
      <c r="A74" s="170"/>
      <c r="B74" s="222" t="s">
        <v>552</v>
      </c>
      <c r="C74" s="222" t="s">
        <v>197</v>
      </c>
      <c r="D74" s="222" t="s">
        <v>170</v>
      </c>
      <c r="E74" s="222" t="s">
        <v>34</v>
      </c>
      <c r="F74" s="231" t="s">
        <v>1340</v>
      </c>
      <c r="G74" s="225" t="s">
        <v>1276</v>
      </c>
      <c r="H74" s="225">
        <v>2295880</v>
      </c>
      <c r="I74" s="225">
        <f t="shared" si="9"/>
        <v>2272102</v>
      </c>
      <c r="J74" s="225">
        <f>((800000)+1495880)-23778</f>
        <v>2272102</v>
      </c>
      <c r="K74" s="227">
        <v>1</v>
      </c>
      <c r="L74" s="244"/>
      <c r="M74" s="243"/>
      <c r="N74" s="243"/>
      <c r="O74" s="243"/>
      <c r="P74" s="243"/>
      <c r="Q74" s="243"/>
      <c r="R74" s="243"/>
    </row>
    <row r="75" spans="1:18" s="251" customFormat="1" ht="46.5" hidden="1" thickTop="1" thickBot="1" x14ac:dyDescent="0.25">
      <c r="A75" s="170"/>
      <c r="B75" s="222" t="s">
        <v>552</v>
      </c>
      <c r="C75" s="222" t="s">
        <v>197</v>
      </c>
      <c r="D75" s="222" t="s">
        <v>170</v>
      </c>
      <c r="E75" s="222" t="s">
        <v>34</v>
      </c>
      <c r="F75" s="231" t="s">
        <v>1341</v>
      </c>
      <c r="G75" s="225" t="s">
        <v>1276</v>
      </c>
      <c r="H75" s="225">
        <v>130655</v>
      </c>
      <c r="I75" s="225">
        <f t="shared" si="9"/>
        <v>130655</v>
      </c>
      <c r="J75" s="225">
        <f>(119860)+10795</f>
        <v>130655</v>
      </c>
      <c r="K75" s="227">
        <f t="shared" ref="K75:K76" si="10">I75/H75</f>
        <v>1</v>
      </c>
      <c r="L75" s="244"/>
      <c r="M75" s="243"/>
      <c r="N75" s="243"/>
      <c r="O75" s="243"/>
      <c r="P75" s="243"/>
      <c r="Q75" s="243"/>
      <c r="R75" s="243"/>
    </row>
    <row r="76" spans="1:18" s="251" customFormat="1" ht="46.5" hidden="1" thickTop="1" thickBot="1" x14ac:dyDescent="0.25">
      <c r="A76" s="170"/>
      <c r="B76" s="222" t="s">
        <v>552</v>
      </c>
      <c r="C76" s="222" t="s">
        <v>197</v>
      </c>
      <c r="D76" s="222" t="s">
        <v>170</v>
      </c>
      <c r="E76" s="222" t="s">
        <v>34</v>
      </c>
      <c r="F76" s="231" t="s">
        <v>1342</v>
      </c>
      <c r="G76" s="225" t="s">
        <v>1276</v>
      </c>
      <c r="H76" s="225">
        <v>294266</v>
      </c>
      <c r="I76" s="225">
        <f t="shared" si="9"/>
        <v>294266</v>
      </c>
      <c r="J76" s="225">
        <f>(213380)+80886</f>
        <v>294266</v>
      </c>
      <c r="K76" s="227">
        <f t="shared" si="10"/>
        <v>1</v>
      </c>
      <c r="L76" s="244"/>
      <c r="M76" s="243"/>
      <c r="N76" s="243"/>
      <c r="O76" s="243"/>
      <c r="P76" s="243"/>
      <c r="Q76" s="243"/>
      <c r="R76" s="243"/>
    </row>
    <row r="77" spans="1:18" s="251" customFormat="1" ht="76.5" hidden="1" thickTop="1" thickBot="1" x14ac:dyDescent="0.25">
      <c r="A77" s="170"/>
      <c r="B77" s="222" t="s">
        <v>552</v>
      </c>
      <c r="C77" s="222" t="s">
        <v>197</v>
      </c>
      <c r="D77" s="222" t="s">
        <v>170</v>
      </c>
      <c r="E77" s="222" t="s">
        <v>34</v>
      </c>
      <c r="F77" s="231" t="s">
        <v>1343</v>
      </c>
      <c r="G77" s="225" t="s">
        <v>1276</v>
      </c>
      <c r="H77" s="225">
        <v>17944150</v>
      </c>
      <c r="I77" s="225">
        <f t="shared" si="9"/>
        <v>12818630</v>
      </c>
      <c r="J77" s="225">
        <f>((1425470)+16518680)-5125520</f>
        <v>12818630</v>
      </c>
      <c r="K77" s="227">
        <v>1</v>
      </c>
      <c r="L77" s="244"/>
      <c r="M77" s="243"/>
      <c r="N77" s="243"/>
      <c r="O77" s="243"/>
      <c r="P77" s="243"/>
      <c r="Q77" s="243"/>
      <c r="R77" s="243"/>
    </row>
    <row r="78" spans="1:18" s="251" customFormat="1" ht="61.5" hidden="1" thickTop="1" thickBot="1" x14ac:dyDescent="0.25">
      <c r="A78" s="170"/>
      <c r="B78" s="222" t="s">
        <v>552</v>
      </c>
      <c r="C78" s="222" t="s">
        <v>197</v>
      </c>
      <c r="D78" s="222" t="s">
        <v>170</v>
      </c>
      <c r="E78" s="222" t="s">
        <v>34</v>
      </c>
      <c r="F78" s="231" t="s">
        <v>1344</v>
      </c>
      <c r="G78" s="225" t="s">
        <v>1276</v>
      </c>
      <c r="H78" s="225">
        <v>5736181</v>
      </c>
      <c r="I78" s="225">
        <f t="shared" ref="I78:I80" si="11">0+J78</f>
        <v>5067179</v>
      </c>
      <c r="J78" s="225">
        <f>((800000)+2820845)+1446334</f>
        <v>5067179</v>
      </c>
      <c r="K78" s="227">
        <f t="shared" ref="K78" si="12">I78/H78</f>
        <v>0.88337153238365385</v>
      </c>
      <c r="L78" s="244"/>
      <c r="M78" s="243"/>
      <c r="N78" s="243"/>
      <c r="O78" s="243"/>
      <c r="P78" s="243"/>
      <c r="Q78" s="243"/>
      <c r="R78" s="243"/>
    </row>
    <row r="79" spans="1:18" s="251" customFormat="1" ht="61.5" hidden="1" thickTop="1" thickBot="1" x14ac:dyDescent="0.25">
      <c r="A79" s="170"/>
      <c r="B79" s="222" t="s">
        <v>552</v>
      </c>
      <c r="C79" s="222" t="s">
        <v>197</v>
      </c>
      <c r="D79" s="222" t="s">
        <v>170</v>
      </c>
      <c r="E79" s="222" t="s">
        <v>34</v>
      </c>
      <c r="F79" s="231" t="s">
        <v>1345</v>
      </c>
      <c r="G79" s="225" t="s">
        <v>1276</v>
      </c>
      <c r="H79" s="225">
        <v>1063241</v>
      </c>
      <c r="I79" s="225">
        <f t="shared" si="11"/>
        <v>1038211</v>
      </c>
      <c r="J79" s="225">
        <f>((800000)+263241)-25030</f>
        <v>1038211</v>
      </c>
      <c r="K79" s="227">
        <v>1</v>
      </c>
      <c r="L79" s="244"/>
      <c r="M79" s="243"/>
      <c r="N79" s="243"/>
      <c r="O79" s="243"/>
      <c r="P79" s="243"/>
      <c r="Q79" s="243"/>
      <c r="R79" s="243"/>
    </row>
    <row r="80" spans="1:18" s="251" customFormat="1" ht="61.5" hidden="1" thickTop="1" thickBot="1" x14ac:dyDescent="0.25">
      <c r="A80" s="170"/>
      <c r="B80" s="222" t="s">
        <v>552</v>
      </c>
      <c r="C80" s="222" t="s">
        <v>197</v>
      </c>
      <c r="D80" s="222" t="s">
        <v>170</v>
      </c>
      <c r="E80" s="222" t="s">
        <v>34</v>
      </c>
      <c r="F80" s="231" t="s">
        <v>1347</v>
      </c>
      <c r="G80" s="225" t="s">
        <v>1276</v>
      </c>
      <c r="H80" s="225">
        <v>2915336</v>
      </c>
      <c r="I80" s="225">
        <f t="shared" si="11"/>
        <v>2915336</v>
      </c>
      <c r="J80" s="225">
        <v>2915336</v>
      </c>
      <c r="K80" s="227">
        <f>I80/H80</f>
        <v>1</v>
      </c>
      <c r="L80" s="244"/>
      <c r="M80" s="243"/>
      <c r="N80" s="243"/>
      <c r="O80" s="243"/>
      <c r="P80" s="243"/>
      <c r="Q80" s="243"/>
      <c r="R80" s="243"/>
    </row>
    <row r="81" spans="1:18" s="251" customFormat="1" ht="46.5" hidden="1" thickTop="1" thickBot="1" x14ac:dyDescent="0.25">
      <c r="A81" s="170"/>
      <c r="B81" s="222" t="s">
        <v>552</v>
      </c>
      <c r="C81" s="222" t="s">
        <v>197</v>
      </c>
      <c r="D81" s="222" t="s">
        <v>170</v>
      </c>
      <c r="E81" s="222" t="s">
        <v>34</v>
      </c>
      <c r="F81" s="231" t="s">
        <v>1348</v>
      </c>
      <c r="G81" s="225" t="s">
        <v>1265</v>
      </c>
      <c r="H81" s="225">
        <v>2163176</v>
      </c>
      <c r="I81" s="225">
        <f>333866.12+J81</f>
        <v>1685143</v>
      </c>
      <c r="J81" s="225">
        <f>(778960+362316.88)+210000</f>
        <v>1351276.88</v>
      </c>
      <c r="K81" s="227">
        <f>I81/H81</f>
        <v>0.77901335813636985</v>
      </c>
      <c r="L81" s="244" t="s">
        <v>1521</v>
      </c>
      <c r="M81" s="243"/>
      <c r="N81" s="243"/>
      <c r="O81" s="243"/>
      <c r="P81" s="243"/>
      <c r="Q81" s="243"/>
      <c r="R81" s="243"/>
    </row>
    <row r="82" spans="1:18" s="251" customFormat="1" ht="61.5" hidden="1" thickTop="1" thickBot="1" x14ac:dyDescent="0.25">
      <c r="A82" s="170"/>
      <c r="B82" s="222" t="s">
        <v>552</v>
      </c>
      <c r="C82" s="222" t="s">
        <v>197</v>
      </c>
      <c r="D82" s="222" t="s">
        <v>170</v>
      </c>
      <c r="E82" s="222" t="s">
        <v>34</v>
      </c>
      <c r="F82" s="231" t="s">
        <v>1349</v>
      </c>
      <c r="G82" s="225" t="s">
        <v>1265</v>
      </c>
      <c r="H82" s="225">
        <v>990371</v>
      </c>
      <c r="I82" s="225">
        <f>495172+J82</f>
        <v>602150</v>
      </c>
      <c r="J82" s="225">
        <v>106978</v>
      </c>
      <c r="K82" s="227">
        <f>I82/H82</f>
        <v>0.60800447509064781</v>
      </c>
      <c r="L82" s="244" t="s">
        <v>1350</v>
      </c>
      <c r="M82" s="243"/>
      <c r="N82" s="243"/>
      <c r="O82" s="243"/>
      <c r="P82" s="243"/>
      <c r="Q82" s="243"/>
      <c r="R82" s="243"/>
    </row>
    <row r="83" spans="1:18" s="251" customFormat="1" ht="76.5" hidden="1" thickTop="1" thickBot="1" x14ac:dyDescent="0.25">
      <c r="A83" s="170"/>
      <c r="B83" s="222" t="s">
        <v>552</v>
      </c>
      <c r="C83" s="222" t="s">
        <v>197</v>
      </c>
      <c r="D83" s="222" t="s">
        <v>170</v>
      </c>
      <c r="E83" s="222" t="s">
        <v>34</v>
      </c>
      <c r="F83" s="231" t="s">
        <v>1352</v>
      </c>
      <c r="G83" s="225" t="s">
        <v>1265</v>
      </c>
      <c r="H83" s="225">
        <v>3193463</v>
      </c>
      <c r="I83" s="225">
        <f>990793.71+J83</f>
        <v>2706428.58</v>
      </c>
      <c r="J83" s="225">
        <f>500000+1215634.87</f>
        <v>1715634.87</v>
      </c>
      <c r="K83" s="227">
        <f>I83/H83</f>
        <v>0.84749019481359267</v>
      </c>
      <c r="L83" s="244" t="s">
        <v>1350</v>
      </c>
      <c r="M83" s="243"/>
      <c r="N83" s="243"/>
      <c r="O83" s="243"/>
      <c r="P83" s="243"/>
      <c r="Q83" s="243"/>
      <c r="R83" s="243"/>
    </row>
    <row r="84" spans="1:18" s="251" customFormat="1" ht="91.5" hidden="1" thickTop="1" thickBot="1" x14ac:dyDescent="0.25">
      <c r="A84" s="170"/>
      <c r="B84" s="222" t="s">
        <v>552</v>
      </c>
      <c r="C84" s="222" t="s">
        <v>197</v>
      </c>
      <c r="D84" s="222" t="s">
        <v>170</v>
      </c>
      <c r="E84" s="222" t="s">
        <v>34</v>
      </c>
      <c r="F84" s="231" t="s">
        <v>1150</v>
      </c>
      <c r="G84" s="225" t="s">
        <v>1144</v>
      </c>
      <c r="H84" s="225">
        <v>3387286</v>
      </c>
      <c r="I84" s="225">
        <v>0</v>
      </c>
      <c r="J84" s="225">
        <f>(500000)-500000</f>
        <v>0</v>
      </c>
      <c r="K84" s="241">
        <f t="shared" si="8"/>
        <v>0</v>
      </c>
      <c r="L84" s="244"/>
      <c r="M84" s="243"/>
      <c r="N84" s="243"/>
      <c r="O84" s="243"/>
      <c r="P84" s="243"/>
      <c r="Q84" s="243"/>
      <c r="R84" s="243"/>
    </row>
    <row r="85" spans="1:18" s="251" customFormat="1" ht="91.5" hidden="1" thickTop="1" thickBot="1" x14ac:dyDescent="0.25">
      <c r="A85" s="170"/>
      <c r="B85" s="222" t="s">
        <v>552</v>
      </c>
      <c r="C85" s="222" t="s">
        <v>197</v>
      </c>
      <c r="D85" s="222" t="s">
        <v>170</v>
      </c>
      <c r="E85" s="222" t="s">
        <v>34</v>
      </c>
      <c r="F85" s="231" t="s">
        <v>1147</v>
      </c>
      <c r="G85" s="225" t="s">
        <v>1144</v>
      </c>
      <c r="H85" s="225">
        <v>5891152</v>
      </c>
      <c r="I85" s="225">
        <v>0</v>
      </c>
      <c r="J85" s="225">
        <f>(1000000)-1000000</f>
        <v>0</v>
      </c>
      <c r="K85" s="241">
        <f t="shared" si="8"/>
        <v>0</v>
      </c>
      <c r="L85" s="244"/>
      <c r="M85" s="243"/>
      <c r="N85" s="243"/>
      <c r="O85" s="243"/>
      <c r="P85" s="243"/>
      <c r="Q85" s="243"/>
      <c r="R85" s="243"/>
    </row>
    <row r="86" spans="1:18" s="251" customFormat="1" ht="46.5" hidden="1" thickTop="1" thickBot="1" x14ac:dyDescent="0.25">
      <c r="A86" s="170"/>
      <c r="B86" s="222" t="s">
        <v>552</v>
      </c>
      <c r="C86" s="222" t="s">
        <v>197</v>
      </c>
      <c r="D86" s="222" t="s">
        <v>170</v>
      </c>
      <c r="E86" s="222" t="s">
        <v>34</v>
      </c>
      <c r="F86" s="231" t="s">
        <v>1351</v>
      </c>
      <c r="G86" s="225" t="s">
        <v>1275</v>
      </c>
      <c r="H86" s="225">
        <v>1442309</v>
      </c>
      <c r="I86" s="225">
        <f>0+J86</f>
        <v>1165856.81</v>
      </c>
      <c r="J86" s="225">
        <v>1165856.81</v>
      </c>
      <c r="K86" s="227">
        <v>1</v>
      </c>
      <c r="L86" s="244"/>
      <c r="M86" s="243"/>
      <c r="N86" s="243"/>
      <c r="O86" s="243"/>
      <c r="P86" s="243"/>
      <c r="Q86" s="243"/>
      <c r="R86" s="243"/>
    </row>
    <row r="87" spans="1:18" s="251" customFormat="1" ht="61.5" hidden="1" thickTop="1" thickBot="1" x14ac:dyDescent="0.25">
      <c r="A87" s="170"/>
      <c r="B87" s="222" t="s">
        <v>552</v>
      </c>
      <c r="C87" s="222" t="s">
        <v>197</v>
      </c>
      <c r="D87" s="222" t="s">
        <v>170</v>
      </c>
      <c r="E87" s="222" t="s">
        <v>34</v>
      </c>
      <c r="F87" s="231" t="s">
        <v>1365</v>
      </c>
      <c r="G87" s="225" t="s">
        <v>944</v>
      </c>
      <c r="H87" s="225">
        <v>21842639</v>
      </c>
      <c r="I87" s="225">
        <f>3147154.85+J87</f>
        <v>9252879.8499999996</v>
      </c>
      <c r="J87" s="225">
        <f>(5891152)+214573</f>
        <v>6105725</v>
      </c>
      <c r="K87" s="227">
        <f t="shared" ref="K87:K92" si="13">I87/H87</f>
        <v>0.42361547292888918</v>
      </c>
      <c r="L87" s="244"/>
      <c r="M87" s="243"/>
      <c r="N87" s="243"/>
      <c r="O87" s="243"/>
      <c r="P87" s="243"/>
      <c r="Q87" s="243"/>
      <c r="R87" s="243"/>
    </row>
    <row r="88" spans="1:18" s="251" customFormat="1" ht="54" hidden="1" customHeight="1" thickTop="1" thickBot="1" x14ac:dyDescent="0.25">
      <c r="A88" s="170"/>
      <c r="B88" s="222" t="s">
        <v>552</v>
      </c>
      <c r="C88" s="222" t="s">
        <v>197</v>
      </c>
      <c r="D88" s="222" t="s">
        <v>170</v>
      </c>
      <c r="E88" s="222" t="s">
        <v>34</v>
      </c>
      <c r="F88" s="231" t="s">
        <v>1476</v>
      </c>
      <c r="G88" s="225" t="s">
        <v>1276</v>
      </c>
      <c r="H88" s="225">
        <v>428388</v>
      </c>
      <c r="I88" s="225">
        <v>428388</v>
      </c>
      <c r="J88" s="225">
        <f>(428388)-12412</f>
        <v>415976</v>
      </c>
      <c r="K88" s="227">
        <f t="shared" si="13"/>
        <v>1</v>
      </c>
      <c r="L88" s="244"/>
      <c r="M88" s="243"/>
      <c r="N88" s="243"/>
      <c r="O88" s="243"/>
      <c r="P88" s="243"/>
      <c r="Q88" s="243"/>
      <c r="R88" s="243"/>
    </row>
    <row r="89" spans="1:18" s="251" customFormat="1" ht="46.5" hidden="1" thickTop="1" thickBot="1" x14ac:dyDescent="0.25">
      <c r="A89" s="170"/>
      <c r="B89" s="222" t="s">
        <v>552</v>
      </c>
      <c r="C89" s="222" t="s">
        <v>197</v>
      </c>
      <c r="D89" s="222" t="s">
        <v>170</v>
      </c>
      <c r="E89" s="222" t="s">
        <v>34</v>
      </c>
      <c r="F89" s="231" t="s">
        <v>1535</v>
      </c>
      <c r="G89" s="225" t="s">
        <v>1276</v>
      </c>
      <c r="H89" s="225">
        <v>3122498</v>
      </c>
      <c r="I89" s="225">
        <v>3122498</v>
      </c>
      <c r="J89" s="225">
        <f>(3122498)-325803</f>
        <v>2796695</v>
      </c>
      <c r="K89" s="227">
        <f t="shared" si="13"/>
        <v>1</v>
      </c>
      <c r="L89" s="244"/>
      <c r="M89" s="243"/>
      <c r="N89" s="243"/>
      <c r="O89" s="243"/>
      <c r="P89" s="243"/>
      <c r="Q89" s="243"/>
      <c r="R89" s="243"/>
    </row>
    <row r="90" spans="1:18" s="251" customFormat="1" ht="31.5" hidden="1" thickTop="1" thickBot="1" x14ac:dyDescent="0.25">
      <c r="A90" s="170"/>
      <c r="B90" s="222" t="s">
        <v>552</v>
      </c>
      <c r="C90" s="222" t="s">
        <v>197</v>
      </c>
      <c r="D90" s="222" t="s">
        <v>170</v>
      </c>
      <c r="E90" s="222" t="s">
        <v>34</v>
      </c>
      <c r="F90" s="231" t="s">
        <v>1450</v>
      </c>
      <c r="G90" s="225" t="s">
        <v>1276</v>
      </c>
      <c r="H90" s="225">
        <v>738847</v>
      </c>
      <c r="I90" s="225">
        <v>738847</v>
      </c>
      <c r="J90" s="225">
        <f>(738847)-43844</f>
        <v>695003</v>
      </c>
      <c r="K90" s="227">
        <f t="shared" si="13"/>
        <v>1</v>
      </c>
      <c r="L90" s="244"/>
      <c r="M90" s="243"/>
      <c r="N90" s="243"/>
      <c r="O90" s="243"/>
      <c r="P90" s="243"/>
      <c r="Q90" s="243"/>
      <c r="R90" s="243"/>
    </row>
    <row r="91" spans="1:18" s="251" customFormat="1" ht="31.5" hidden="1" thickTop="1" thickBot="1" x14ac:dyDescent="0.25">
      <c r="A91" s="170"/>
      <c r="B91" s="222" t="s">
        <v>552</v>
      </c>
      <c r="C91" s="222" t="s">
        <v>197</v>
      </c>
      <c r="D91" s="222" t="s">
        <v>170</v>
      </c>
      <c r="E91" s="222" t="s">
        <v>34</v>
      </c>
      <c r="F91" s="231" t="s">
        <v>1451</v>
      </c>
      <c r="G91" s="225" t="s">
        <v>1276</v>
      </c>
      <c r="H91" s="225">
        <v>499889</v>
      </c>
      <c r="I91" s="225">
        <v>499889</v>
      </c>
      <c r="J91" s="225">
        <v>499889</v>
      </c>
      <c r="K91" s="227">
        <f t="shared" si="13"/>
        <v>1</v>
      </c>
      <c r="L91" s="244"/>
      <c r="M91" s="243"/>
      <c r="N91" s="243"/>
      <c r="O91" s="243"/>
      <c r="P91" s="243"/>
      <c r="Q91" s="243"/>
      <c r="R91" s="243"/>
    </row>
    <row r="92" spans="1:18" s="251" customFormat="1" ht="61.5" hidden="1" thickTop="1" thickBot="1" x14ac:dyDescent="0.25">
      <c r="A92" s="170"/>
      <c r="B92" s="222" t="s">
        <v>552</v>
      </c>
      <c r="C92" s="222" t="s">
        <v>197</v>
      </c>
      <c r="D92" s="222" t="s">
        <v>170</v>
      </c>
      <c r="E92" s="222" t="s">
        <v>34</v>
      </c>
      <c r="F92" s="231" t="s">
        <v>1452</v>
      </c>
      <c r="G92" s="225" t="s">
        <v>1276</v>
      </c>
      <c r="H92" s="225">
        <v>923291</v>
      </c>
      <c r="I92" s="225">
        <v>923291</v>
      </c>
      <c r="J92" s="225">
        <f>(923291)-17624</f>
        <v>905667</v>
      </c>
      <c r="K92" s="227">
        <f t="shared" si="13"/>
        <v>1</v>
      </c>
      <c r="L92" s="244"/>
      <c r="M92" s="243"/>
      <c r="N92" s="243"/>
      <c r="O92" s="243"/>
      <c r="P92" s="243"/>
      <c r="Q92" s="243"/>
      <c r="R92" s="243"/>
    </row>
    <row r="93" spans="1:18" s="251" customFormat="1" ht="76.5" hidden="1" thickTop="1" thickBot="1" x14ac:dyDescent="0.25">
      <c r="A93" s="170"/>
      <c r="B93" s="222" t="s">
        <v>552</v>
      </c>
      <c r="C93" s="222" t="s">
        <v>197</v>
      </c>
      <c r="D93" s="222" t="s">
        <v>170</v>
      </c>
      <c r="E93" s="222" t="s">
        <v>34</v>
      </c>
      <c r="F93" s="231" t="s">
        <v>907</v>
      </c>
      <c r="G93" s="224" t="s">
        <v>999</v>
      </c>
      <c r="H93" s="225">
        <v>2924077</v>
      </c>
      <c r="I93" s="225">
        <v>100000</v>
      </c>
      <c r="J93" s="225">
        <f>(500000)-500000</f>
        <v>0</v>
      </c>
      <c r="K93" s="241">
        <f t="shared" si="8"/>
        <v>3.4198825817514385E-2</v>
      </c>
      <c r="L93" s="244"/>
      <c r="M93" s="243"/>
      <c r="N93" s="243"/>
      <c r="O93" s="243"/>
      <c r="P93" s="243"/>
      <c r="Q93" s="243"/>
      <c r="R93" s="243"/>
    </row>
    <row r="94" spans="1:18" ht="46.5" thickTop="1" thickBot="1" x14ac:dyDescent="0.25">
      <c r="B94" s="500" t="s">
        <v>25</v>
      </c>
      <c r="C94" s="500"/>
      <c r="D94" s="500"/>
      <c r="E94" s="501" t="s">
        <v>893</v>
      </c>
      <c r="F94" s="500"/>
      <c r="G94" s="500"/>
      <c r="H94" s="502">
        <f>H95</f>
        <v>329578603</v>
      </c>
      <c r="I94" s="502">
        <f>I95</f>
        <v>76926300.799999997</v>
      </c>
      <c r="J94" s="502">
        <f>J95</f>
        <v>16000000</v>
      </c>
      <c r="K94" s="503"/>
      <c r="L94" s="247"/>
      <c r="M94" s="205"/>
      <c r="N94" s="205"/>
      <c r="O94" s="205"/>
      <c r="P94" s="205"/>
      <c r="Q94" s="205"/>
      <c r="R94" s="205"/>
    </row>
    <row r="95" spans="1:18" ht="63" customHeight="1" thickTop="1" thickBot="1" x14ac:dyDescent="0.25">
      <c r="B95" s="504" t="s">
        <v>26</v>
      </c>
      <c r="C95" s="504"/>
      <c r="D95" s="504"/>
      <c r="E95" s="505" t="s">
        <v>894</v>
      </c>
      <c r="F95" s="504"/>
      <c r="G95" s="504"/>
      <c r="H95" s="506">
        <f>H101+H102+H103+H104+H113+H114</f>
        <v>329578603</v>
      </c>
      <c r="I95" s="506">
        <f t="shared" ref="I95:J95" si="14">I101+I102+I103+I104+I113+I114</f>
        <v>76926300.799999997</v>
      </c>
      <c r="J95" s="506">
        <f t="shared" si="14"/>
        <v>16000000</v>
      </c>
      <c r="K95" s="507"/>
      <c r="L95" s="247"/>
      <c r="M95" s="205"/>
      <c r="N95" s="205"/>
      <c r="O95" s="205"/>
      <c r="P95" s="205"/>
      <c r="Q95" s="205"/>
      <c r="R95" s="205"/>
    </row>
    <row r="96" spans="1:18" ht="91.5" hidden="1" thickTop="1" thickBot="1" x14ac:dyDescent="0.25">
      <c r="A96" s="340"/>
      <c r="B96" s="462" t="s">
        <v>433</v>
      </c>
      <c r="C96" s="462" t="s">
        <v>434</v>
      </c>
      <c r="D96" s="462" t="s">
        <v>195</v>
      </c>
      <c r="E96" s="462" t="s">
        <v>1187</v>
      </c>
      <c r="F96" s="242" t="s">
        <v>1130</v>
      </c>
      <c r="G96" s="225" t="s">
        <v>1132</v>
      </c>
      <c r="H96" s="225">
        <v>448128773</v>
      </c>
      <c r="I96" s="225">
        <f>287427907.48+3866315.08+J96</f>
        <v>293494222.56</v>
      </c>
      <c r="J96" s="225">
        <f>(3000000)-800000</f>
        <v>2200000</v>
      </c>
      <c r="K96" s="241">
        <f t="shared" ref="K96:K114" si="15">I96/H96</f>
        <v>0.6549327787974909</v>
      </c>
      <c r="L96" s="247"/>
      <c r="M96" s="205"/>
      <c r="N96" s="205"/>
      <c r="O96" s="205"/>
      <c r="P96" s="205"/>
      <c r="Q96" s="205"/>
      <c r="R96" s="205"/>
    </row>
    <row r="97" spans="1:18" ht="61.5" hidden="1" thickTop="1" thickBot="1" x14ac:dyDescent="0.25">
      <c r="A97" s="340"/>
      <c r="B97" s="462" t="s">
        <v>929</v>
      </c>
      <c r="C97" s="462" t="s">
        <v>305</v>
      </c>
      <c r="D97" s="462" t="s">
        <v>304</v>
      </c>
      <c r="E97" s="462" t="s">
        <v>469</v>
      </c>
      <c r="F97" s="463" t="s">
        <v>1131</v>
      </c>
      <c r="G97" s="225" t="s">
        <v>1281</v>
      </c>
      <c r="H97" s="225">
        <v>6293206</v>
      </c>
      <c r="I97" s="225">
        <f>1639036.69+J97</f>
        <v>6139036.6899999995</v>
      </c>
      <c r="J97" s="225">
        <f>(100000+1000000)+3400000</f>
        <v>4500000</v>
      </c>
      <c r="K97" s="241">
        <f t="shared" si="15"/>
        <v>0.97550226228094228</v>
      </c>
      <c r="L97" s="464">
        <f>1639037+J97</f>
        <v>6139037</v>
      </c>
      <c r="M97" s="205"/>
      <c r="N97" s="205"/>
      <c r="O97" s="205"/>
      <c r="P97" s="205"/>
      <c r="Q97" s="205"/>
      <c r="R97" s="205"/>
    </row>
    <row r="98" spans="1:18" ht="76.5" hidden="1" thickTop="1" thickBot="1" x14ac:dyDescent="0.25">
      <c r="A98" s="340"/>
      <c r="B98" s="462" t="s">
        <v>310</v>
      </c>
      <c r="C98" s="462" t="s">
        <v>311</v>
      </c>
      <c r="D98" s="462" t="s">
        <v>304</v>
      </c>
      <c r="E98" s="462" t="s">
        <v>309</v>
      </c>
      <c r="F98" s="463" t="s">
        <v>942</v>
      </c>
      <c r="G98" s="225" t="s">
        <v>1132</v>
      </c>
      <c r="H98" s="225">
        <f>(9300000+10829899)-20129899</f>
        <v>0</v>
      </c>
      <c r="I98" s="225">
        <f>(7572904.16+J98)-7572904.16</f>
        <v>0</v>
      </c>
      <c r="J98" s="225">
        <f>(200000+2000000)-2200000</f>
        <v>0</v>
      </c>
      <c r="K98" s="241" t="e">
        <f t="shared" si="15"/>
        <v>#DIV/0!</v>
      </c>
      <c r="L98" s="464">
        <f>7572904+J98</f>
        <v>7572904</v>
      </c>
      <c r="M98" s="205"/>
      <c r="N98" s="205"/>
      <c r="O98" s="205"/>
      <c r="P98" s="205"/>
      <c r="Q98" s="205"/>
      <c r="R98" s="205"/>
    </row>
    <row r="99" spans="1:18" ht="46.5" hidden="1" thickTop="1" thickBot="1" x14ac:dyDescent="0.25">
      <c r="A99" s="340"/>
      <c r="B99" s="462" t="s">
        <v>310</v>
      </c>
      <c r="C99" s="462" t="s">
        <v>311</v>
      </c>
      <c r="D99" s="462" t="s">
        <v>304</v>
      </c>
      <c r="E99" s="462" t="s">
        <v>309</v>
      </c>
      <c r="F99" s="463" t="s">
        <v>1368</v>
      </c>
      <c r="G99" s="225" t="s">
        <v>1369</v>
      </c>
      <c r="H99" s="225">
        <f>56437448-56437448</f>
        <v>0</v>
      </c>
      <c r="I99" s="225">
        <f>48973733.31+J99-48973733.31</f>
        <v>0</v>
      </c>
      <c r="J99" s="225">
        <f>(2000000)-2000000</f>
        <v>0</v>
      </c>
      <c r="K99" s="241" t="e">
        <f>I99/H99</f>
        <v>#DIV/0!</v>
      </c>
      <c r="L99" s="464">
        <f>28071676+15122869+2857360+1500000+1458181+J99</f>
        <v>49010086</v>
      </c>
      <c r="M99" s="362"/>
      <c r="N99" s="205"/>
      <c r="O99" s="205"/>
      <c r="P99" s="205"/>
      <c r="Q99" s="205"/>
      <c r="R99" s="205"/>
    </row>
    <row r="100" spans="1:18" ht="61.5" hidden="1" thickTop="1" thickBot="1" x14ac:dyDescent="0.25">
      <c r="A100" s="340"/>
      <c r="B100" s="462" t="s">
        <v>310</v>
      </c>
      <c r="C100" s="462" t="s">
        <v>311</v>
      </c>
      <c r="D100" s="462" t="s">
        <v>304</v>
      </c>
      <c r="E100" s="462" t="s">
        <v>309</v>
      </c>
      <c r="F100" s="463" t="s">
        <v>1370</v>
      </c>
      <c r="G100" s="225" t="s">
        <v>1371</v>
      </c>
      <c r="H100" s="225">
        <f>34056704-34056704</f>
        <v>0</v>
      </c>
      <c r="I100" s="225">
        <f>24032981.17+J100-24032981.17</f>
        <v>0</v>
      </c>
      <c r="J100" s="225">
        <f>1000000-1000000</f>
        <v>0</v>
      </c>
      <c r="K100" s="241" t="e">
        <f>I100/H100</f>
        <v>#DIV/0!</v>
      </c>
      <c r="L100" s="464">
        <f>13051785+7748088+1427600+2095030-176100+J100</f>
        <v>24146403</v>
      </c>
      <c r="M100" s="362"/>
      <c r="N100" s="205"/>
      <c r="O100" s="205"/>
      <c r="P100" s="205"/>
      <c r="Q100" s="205"/>
      <c r="R100" s="205"/>
    </row>
    <row r="101" spans="1:18" ht="111.75" thickTop="1" thickBot="1" x14ac:dyDescent="0.25">
      <c r="A101" s="340"/>
      <c r="B101" s="496" t="s">
        <v>310</v>
      </c>
      <c r="C101" s="496" t="s">
        <v>311</v>
      </c>
      <c r="D101" s="496" t="s">
        <v>304</v>
      </c>
      <c r="E101" s="496" t="s">
        <v>309</v>
      </c>
      <c r="F101" s="497" t="s">
        <v>1544</v>
      </c>
      <c r="G101" s="339" t="s">
        <v>1492</v>
      </c>
      <c r="H101" s="339">
        <v>26289468</v>
      </c>
      <c r="I101" s="339">
        <f>10000000+J101</f>
        <v>15000000</v>
      </c>
      <c r="J101" s="339">
        <v>5000000</v>
      </c>
      <c r="K101" s="487">
        <f t="shared" ref="K101:K104" si="16">I101/H101</f>
        <v>0.57057069393720705</v>
      </c>
      <c r="L101" s="464"/>
      <c r="M101" s="362"/>
      <c r="N101" s="205"/>
      <c r="O101" s="205"/>
      <c r="P101" s="205"/>
      <c r="Q101" s="205"/>
      <c r="R101" s="205"/>
    </row>
    <row r="102" spans="1:18" ht="96" thickTop="1" thickBot="1" x14ac:dyDescent="0.25">
      <c r="A102" s="340"/>
      <c r="B102" s="496" t="s">
        <v>310</v>
      </c>
      <c r="C102" s="496" t="s">
        <v>311</v>
      </c>
      <c r="D102" s="496" t="s">
        <v>304</v>
      </c>
      <c r="E102" s="496" t="s">
        <v>309</v>
      </c>
      <c r="F102" s="497" t="s">
        <v>1545</v>
      </c>
      <c r="G102" s="339" t="s">
        <v>1492</v>
      </c>
      <c r="H102" s="339">
        <v>39661807</v>
      </c>
      <c r="I102" s="339">
        <f>10000000+J102</f>
        <v>15000000</v>
      </c>
      <c r="J102" s="339">
        <v>5000000</v>
      </c>
      <c r="K102" s="487">
        <f t="shared" si="16"/>
        <v>0.37819759447672163</v>
      </c>
      <c r="L102" s="464"/>
      <c r="M102" s="362"/>
      <c r="N102" s="205"/>
      <c r="O102" s="205"/>
      <c r="P102" s="205"/>
      <c r="Q102" s="205"/>
      <c r="R102" s="205"/>
    </row>
    <row r="103" spans="1:18" ht="143.25" thickTop="1" thickBot="1" x14ac:dyDescent="0.25">
      <c r="A103" s="340"/>
      <c r="B103" s="496" t="s">
        <v>310</v>
      </c>
      <c r="C103" s="496" t="s">
        <v>311</v>
      </c>
      <c r="D103" s="496" t="s">
        <v>304</v>
      </c>
      <c r="E103" s="496" t="s">
        <v>309</v>
      </c>
      <c r="F103" s="497" t="s">
        <v>1546</v>
      </c>
      <c r="G103" s="339" t="s">
        <v>1492</v>
      </c>
      <c r="H103" s="339">
        <v>48619051</v>
      </c>
      <c r="I103" s="339">
        <f>10000000+J103</f>
        <v>12000000</v>
      </c>
      <c r="J103" s="339">
        <v>2000000</v>
      </c>
      <c r="K103" s="487">
        <f t="shared" si="16"/>
        <v>0.24681682906562696</v>
      </c>
      <c r="L103" s="464"/>
      <c r="M103" s="362"/>
      <c r="N103" s="205"/>
      <c r="O103" s="205"/>
      <c r="P103" s="205"/>
      <c r="Q103" s="205"/>
      <c r="R103" s="205"/>
    </row>
    <row r="104" spans="1:18" ht="96" thickTop="1" thickBot="1" x14ac:dyDescent="0.25">
      <c r="A104" s="340"/>
      <c r="B104" s="496" t="s">
        <v>310</v>
      </c>
      <c r="C104" s="496" t="s">
        <v>311</v>
      </c>
      <c r="D104" s="496" t="s">
        <v>304</v>
      </c>
      <c r="E104" s="496" t="s">
        <v>309</v>
      </c>
      <c r="F104" s="497" t="s">
        <v>1547</v>
      </c>
      <c r="G104" s="339" t="s">
        <v>1492</v>
      </c>
      <c r="H104" s="339">
        <v>56351562</v>
      </c>
      <c r="I104" s="339">
        <f>10000000+J104</f>
        <v>11000000</v>
      </c>
      <c r="J104" s="339">
        <v>1000000</v>
      </c>
      <c r="K104" s="487">
        <f t="shared" si="16"/>
        <v>0.19520310723596268</v>
      </c>
      <c r="L104" s="464"/>
      <c r="M104" s="362"/>
      <c r="N104" s="205"/>
      <c r="O104" s="205"/>
      <c r="P104" s="205"/>
      <c r="Q104" s="205"/>
      <c r="R104" s="205"/>
    </row>
    <row r="105" spans="1:18" ht="69.75" hidden="1" customHeight="1" thickTop="1" thickBot="1" x14ac:dyDescent="0.25">
      <c r="B105" s="462" t="s">
        <v>516</v>
      </c>
      <c r="C105" s="462" t="s">
        <v>517</v>
      </c>
      <c r="D105" s="462" t="s">
        <v>304</v>
      </c>
      <c r="E105" s="462" t="s">
        <v>1536</v>
      </c>
      <c r="F105" s="463" t="s">
        <v>523</v>
      </c>
      <c r="G105" s="225" t="s">
        <v>944</v>
      </c>
      <c r="H105" s="225">
        <v>21098584</v>
      </c>
      <c r="I105" s="225">
        <f>729041.07+1594.6+J105</f>
        <v>9080635.6699999999</v>
      </c>
      <c r="J105" s="225">
        <f>(500000+9000000)-1150000</f>
        <v>8350000</v>
      </c>
      <c r="K105" s="241">
        <f>I105/H105</f>
        <v>0.43039076319055347</v>
      </c>
      <c r="L105" s="464">
        <f>730636+J105</f>
        <v>9080636</v>
      </c>
      <c r="M105" s="205"/>
      <c r="N105" s="205"/>
      <c r="O105" s="205"/>
      <c r="P105" s="205"/>
      <c r="Q105" s="205"/>
      <c r="R105" s="205"/>
    </row>
    <row r="106" spans="1:18" ht="61.5" hidden="1" thickTop="1" thickBot="1" x14ac:dyDescent="0.25">
      <c r="B106" s="462" t="s">
        <v>314</v>
      </c>
      <c r="C106" s="462" t="s">
        <v>315</v>
      </c>
      <c r="D106" s="462" t="s">
        <v>304</v>
      </c>
      <c r="E106" s="462" t="s">
        <v>462</v>
      </c>
      <c r="F106" s="465" t="s">
        <v>1133</v>
      </c>
      <c r="G106" s="225" t="s">
        <v>945</v>
      </c>
      <c r="H106" s="225">
        <v>15423995</v>
      </c>
      <c r="I106" s="225">
        <f>211261.75+1743.5+J106</f>
        <v>663787.25</v>
      </c>
      <c r="J106" s="225">
        <f>100000+350782</f>
        <v>450782</v>
      </c>
      <c r="K106" s="241">
        <f t="shared" si="15"/>
        <v>4.3036013043313358E-2</v>
      </c>
      <c r="L106" s="464">
        <f>213005+J106</f>
        <v>663787</v>
      </c>
      <c r="M106" s="205"/>
      <c r="N106" s="205"/>
      <c r="O106" s="205"/>
      <c r="P106" s="205"/>
      <c r="Q106" s="205"/>
      <c r="R106" s="205"/>
    </row>
    <row r="107" spans="1:18" ht="92.25" hidden="1" customHeight="1" thickTop="1" thickBot="1" x14ac:dyDescent="0.25">
      <c r="B107" s="462" t="s">
        <v>314</v>
      </c>
      <c r="C107" s="462" t="s">
        <v>315</v>
      </c>
      <c r="D107" s="462" t="s">
        <v>304</v>
      </c>
      <c r="E107" s="462" t="s">
        <v>462</v>
      </c>
      <c r="F107" s="465" t="s">
        <v>1134</v>
      </c>
      <c r="G107" s="225" t="s">
        <v>1132</v>
      </c>
      <c r="H107" s="225">
        <v>14473674</v>
      </c>
      <c r="I107" s="225">
        <f>8250400.29+J107</f>
        <v>8833240.2899999991</v>
      </c>
      <c r="J107" s="225">
        <f>((100000+1760720)+4362554)-5640434</f>
        <v>582840</v>
      </c>
      <c r="K107" s="241">
        <f t="shared" si="15"/>
        <v>0.61029703239136102</v>
      </c>
      <c r="L107" s="464">
        <f>8250400+J107</f>
        <v>8833240</v>
      </c>
      <c r="M107" s="205"/>
      <c r="N107" s="205"/>
      <c r="O107" s="205"/>
      <c r="P107" s="205"/>
      <c r="Q107" s="205"/>
      <c r="R107" s="205"/>
    </row>
    <row r="108" spans="1:18" ht="46.5" hidden="1" thickTop="1" thickBot="1" x14ac:dyDescent="0.25">
      <c r="B108" s="462" t="s">
        <v>314</v>
      </c>
      <c r="C108" s="462" t="s">
        <v>315</v>
      </c>
      <c r="D108" s="462" t="s">
        <v>304</v>
      </c>
      <c r="E108" s="462" t="s">
        <v>462</v>
      </c>
      <c r="F108" s="465" t="s">
        <v>1434</v>
      </c>
      <c r="G108" s="225" t="s">
        <v>943</v>
      </c>
      <c r="H108" s="225">
        <v>80787509</v>
      </c>
      <c r="I108" s="225">
        <f>1618673.51+31922.71+J108</f>
        <v>2046000.22</v>
      </c>
      <c r="J108" s="225">
        <f>(270000)+125404</f>
        <v>395404</v>
      </c>
      <c r="K108" s="241">
        <f t="shared" si="15"/>
        <v>2.5325700041079369E-2</v>
      </c>
      <c r="L108" s="464">
        <f>1618674+J108</f>
        <v>2014078</v>
      </c>
      <c r="M108" s="205"/>
      <c r="N108" s="205"/>
      <c r="O108" s="205"/>
      <c r="P108" s="205"/>
      <c r="Q108" s="205"/>
      <c r="R108" s="205"/>
    </row>
    <row r="109" spans="1:18" ht="46.5" hidden="1" thickTop="1" thickBot="1" x14ac:dyDescent="0.25">
      <c r="B109" s="462" t="s">
        <v>314</v>
      </c>
      <c r="C109" s="462" t="s">
        <v>315</v>
      </c>
      <c r="D109" s="462" t="s">
        <v>304</v>
      </c>
      <c r="E109" s="462" t="s">
        <v>462</v>
      </c>
      <c r="F109" s="466" t="s">
        <v>1238</v>
      </c>
      <c r="G109" s="225" t="s">
        <v>945</v>
      </c>
      <c r="H109" s="225">
        <v>65017720</v>
      </c>
      <c r="I109" s="225">
        <f>22468487.3+J109</f>
        <v>38809572.299999997</v>
      </c>
      <c r="J109" s="225">
        <f>(100000+2000000)+14241085</f>
        <v>16341085</v>
      </c>
      <c r="K109" s="241">
        <f t="shared" si="15"/>
        <v>0.59690761687736815</v>
      </c>
      <c r="L109" s="464">
        <f>22468487+J109</f>
        <v>38809572</v>
      </c>
      <c r="M109" s="205"/>
      <c r="N109" s="205"/>
      <c r="O109" s="205"/>
      <c r="P109" s="205"/>
      <c r="Q109" s="205"/>
      <c r="R109" s="205"/>
    </row>
    <row r="110" spans="1:18" ht="76.5" hidden="1" thickTop="1" thickBot="1" x14ac:dyDescent="0.25">
      <c r="B110" s="462" t="s">
        <v>314</v>
      </c>
      <c r="C110" s="462" t="s">
        <v>315</v>
      </c>
      <c r="D110" s="462" t="s">
        <v>304</v>
      </c>
      <c r="E110" s="462" t="s">
        <v>462</v>
      </c>
      <c r="F110" s="466" t="s">
        <v>1280</v>
      </c>
      <c r="G110" s="225" t="s">
        <v>1282</v>
      </c>
      <c r="H110" s="225">
        <v>14225016</v>
      </c>
      <c r="I110" s="225">
        <f>49956+33089.84+J110</f>
        <v>133045.84</v>
      </c>
      <c r="J110" s="225">
        <v>50000</v>
      </c>
      <c r="K110" s="241">
        <f t="shared" si="15"/>
        <v>9.3529483552074744E-3</v>
      </c>
      <c r="L110" s="464">
        <f>83046+J110</f>
        <v>133046</v>
      </c>
      <c r="M110" s="205"/>
      <c r="N110" s="205"/>
      <c r="O110" s="205"/>
      <c r="P110" s="205"/>
      <c r="Q110" s="205"/>
      <c r="R110" s="205"/>
    </row>
    <row r="111" spans="1:18" ht="61.5" hidden="1" thickTop="1" thickBot="1" x14ac:dyDescent="0.25">
      <c r="B111" s="462" t="s">
        <v>314</v>
      </c>
      <c r="C111" s="462" t="s">
        <v>315</v>
      </c>
      <c r="D111" s="462" t="s">
        <v>304</v>
      </c>
      <c r="E111" s="462" t="s">
        <v>462</v>
      </c>
      <c r="F111" s="466" t="s">
        <v>1279</v>
      </c>
      <c r="G111" s="225" t="s">
        <v>944</v>
      </c>
      <c r="H111" s="225">
        <v>44940000</v>
      </c>
      <c r="I111" s="225">
        <f>151662+J111</f>
        <v>1485988</v>
      </c>
      <c r="J111" s="225">
        <f>((1000000+2334326)+10000000)-12000000</f>
        <v>1334326</v>
      </c>
      <c r="K111" s="241">
        <f t="shared" si="15"/>
        <v>3.3066043613707165E-2</v>
      </c>
      <c r="L111" s="464">
        <f>151662+J111</f>
        <v>1485988</v>
      </c>
      <c r="M111" s="205"/>
      <c r="N111" s="205"/>
      <c r="O111" s="205"/>
      <c r="P111" s="205"/>
      <c r="Q111" s="205"/>
      <c r="R111" s="205"/>
    </row>
    <row r="112" spans="1:18" ht="61.5" hidden="1" thickTop="1" thickBot="1" x14ac:dyDescent="0.25">
      <c r="B112" s="462" t="s">
        <v>314</v>
      </c>
      <c r="C112" s="462" t="s">
        <v>315</v>
      </c>
      <c r="D112" s="462" t="s">
        <v>304</v>
      </c>
      <c r="E112" s="462" t="s">
        <v>462</v>
      </c>
      <c r="F112" s="466" t="s">
        <v>1456</v>
      </c>
      <c r="G112" s="225" t="s">
        <v>1323</v>
      </c>
      <c r="H112" s="225">
        <v>2848861</v>
      </c>
      <c r="I112" s="225">
        <f>102794.48+J112</f>
        <v>2848861.48</v>
      </c>
      <c r="J112" s="225">
        <f>(2000000)+746067</f>
        <v>2746067</v>
      </c>
      <c r="K112" s="241">
        <f t="shared" si="15"/>
        <v>1.0000001684883888</v>
      </c>
      <c r="L112" s="464">
        <f>102794+J112</f>
        <v>2848861</v>
      </c>
      <c r="M112" s="205"/>
      <c r="N112" s="205"/>
      <c r="O112" s="205"/>
      <c r="P112" s="205"/>
      <c r="Q112" s="205"/>
      <c r="R112" s="205"/>
    </row>
    <row r="113" spans="1:18" ht="91.5" thickTop="1" thickBot="1" x14ac:dyDescent="0.25">
      <c r="B113" s="496" t="s">
        <v>314</v>
      </c>
      <c r="C113" s="496" t="s">
        <v>315</v>
      </c>
      <c r="D113" s="496" t="s">
        <v>304</v>
      </c>
      <c r="E113" s="496" t="s">
        <v>462</v>
      </c>
      <c r="F113" s="498" t="s">
        <v>1549</v>
      </c>
      <c r="G113" s="339" t="s">
        <v>1550</v>
      </c>
      <c r="H113" s="339">
        <v>1516892</v>
      </c>
      <c r="I113" s="339">
        <f>J113</f>
        <v>1500000</v>
      </c>
      <c r="J113" s="339">
        <v>1500000</v>
      </c>
      <c r="K113" s="487">
        <f t="shared" si="15"/>
        <v>0.98886407206313964</v>
      </c>
      <c r="L113" s="464"/>
      <c r="M113" s="205"/>
      <c r="N113" s="205"/>
      <c r="O113" s="205"/>
      <c r="P113" s="205"/>
      <c r="Q113" s="205"/>
      <c r="R113" s="205"/>
    </row>
    <row r="114" spans="1:18" ht="76.5" thickTop="1" thickBot="1" x14ac:dyDescent="0.25">
      <c r="B114" s="496" t="s">
        <v>314</v>
      </c>
      <c r="C114" s="496" t="s">
        <v>315</v>
      </c>
      <c r="D114" s="496" t="s">
        <v>304</v>
      </c>
      <c r="E114" s="496" t="s">
        <v>462</v>
      </c>
      <c r="F114" s="498" t="s">
        <v>1457</v>
      </c>
      <c r="G114" s="339" t="s">
        <v>944</v>
      </c>
      <c r="H114" s="339">
        <v>157139823</v>
      </c>
      <c r="I114" s="339">
        <f>20926300.8+J114</f>
        <v>22426300.800000001</v>
      </c>
      <c r="J114" s="339">
        <v>1500000</v>
      </c>
      <c r="K114" s="487">
        <f t="shared" si="15"/>
        <v>0.14271557885107203</v>
      </c>
      <c r="L114" s="464">
        <f>4088+756990+J114</f>
        <v>2261078</v>
      </c>
      <c r="M114" s="205"/>
      <c r="N114" s="205"/>
      <c r="O114" s="205"/>
      <c r="P114" s="205"/>
      <c r="Q114" s="205"/>
      <c r="R114" s="205"/>
    </row>
    <row r="115" spans="1:18" ht="21.75" thickTop="1" thickBot="1" x14ac:dyDescent="0.25">
      <c r="A115" s="249"/>
      <c r="B115" s="690" t="s">
        <v>381</v>
      </c>
      <c r="C115" s="690" t="s">
        <v>381</v>
      </c>
      <c r="D115" s="690" t="s">
        <v>381</v>
      </c>
      <c r="E115" s="690" t="s">
        <v>383</v>
      </c>
      <c r="F115" s="690" t="s">
        <v>381</v>
      </c>
      <c r="G115" s="690" t="s">
        <v>381</v>
      </c>
      <c r="H115" s="690">
        <f>H94+H51+H42+H35+H19</f>
        <v>659682826</v>
      </c>
      <c r="I115" s="690">
        <f t="shared" ref="I115:J115" si="17">I94+I51+I42+I35+I19</f>
        <v>243057996.47</v>
      </c>
      <c r="J115" s="690">
        <f t="shared" si="17"/>
        <v>53556386.019999996</v>
      </c>
      <c r="K115" s="690" t="s">
        <v>381</v>
      </c>
      <c r="L115" s="691" t="b">
        <f>H115=H114+H113+H104+H103+H102+H101+H60+H59+H45+H37+H26+H25+H24+H23+H21</f>
        <v>1</v>
      </c>
      <c r="M115" s="691" t="b">
        <f t="shared" ref="M115:N115" si="18">I115=I114+I113+I104+I103+I102+I101+I60+I59+I45+I37+I26+I25+I24+I23+I21</f>
        <v>1</v>
      </c>
      <c r="N115" s="691" t="b">
        <f t="shared" si="18"/>
        <v>1</v>
      </c>
      <c r="O115" s="205"/>
      <c r="P115" s="205"/>
      <c r="Q115" s="205"/>
      <c r="R115" s="205"/>
    </row>
    <row r="116" spans="1:18" ht="16.5" thickTop="1" x14ac:dyDescent="0.2">
      <c r="B116" s="840" t="s">
        <v>1588</v>
      </c>
      <c r="C116" s="810"/>
      <c r="D116" s="810"/>
      <c r="E116" s="810"/>
      <c r="F116" s="810"/>
      <c r="G116" s="810"/>
      <c r="H116" s="810"/>
      <c r="I116" s="810"/>
      <c r="J116" s="810"/>
      <c r="K116" s="810"/>
      <c r="L116" s="810"/>
      <c r="M116" s="810"/>
      <c r="N116" s="810"/>
      <c r="O116" s="810"/>
      <c r="P116" s="810"/>
      <c r="Q116" s="810"/>
      <c r="R116" s="810"/>
    </row>
    <row r="117" spans="1:18" ht="19.5" customHeight="1" x14ac:dyDescent="0.2">
      <c r="B117" s="841"/>
      <c r="C117" s="841"/>
      <c r="D117" s="841"/>
      <c r="E117" s="841"/>
      <c r="F117" s="841"/>
      <c r="G117" s="841"/>
      <c r="H117" s="841"/>
      <c r="I117" s="841"/>
      <c r="J117" s="841"/>
      <c r="K117" s="841"/>
      <c r="L117" s="340"/>
      <c r="M117" s="340"/>
      <c r="N117" s="340"/>
      <c r="O117" s="340"/>
      <c r="P117" s="340"/>
      <c r="Q117" s="340"/>
      <c r="R117" s="340"/>
    </row>
    <row r="118" spans="1:18" ht="15" x14ac:dyDescent="0.25">
      <c r="B118" s="332"/>
      <c r="C118" s="332"/>
      <c r="D118" s="838" t="s">
        <v>1515</v>
      </c>
      <c r="E118" s="839"/>
      <c r="F118" s="372"/>
      <c r="G118" s="372" t="s">
        <v>1516</v>
      </c>
      <c r="H118" s="352"/>
      <c r="I118" s="346"/>
      <c r="J118" s="346"/>
      <c r="K118" s="344"/>
      <c r="L118" s="340"/>
      <c r="M118" s="340"/>
      <c r="N118" s="340"/>
      <c r="O118" s="340"/>
      <c r="P118" s="340"/>
      <c r="Q118" s="340"/>
      <c r="R118" s="340"/>
    </row>
    <row r="119" spans="1:18" ht="15" hidden="1" x14ac:dyDescent="0.25">
      <c r="B119" s="332"/>
      <c r="C119" s="332"/>
      <c r="D119" s="344" t="s">
        <v>1517</v>
      </c>
      <c r="E119" s="345"/>
      <c r="F119" s="344"/>
      <c r="G119" s="344" t="s">
        <v>1480</v>
      </c>
      <c r="H119" s="352"/>
      <c r="I119" s="346"/>
      <c r="J119" s="346"/>
      <c r="K119" s="344"/>
      <c r="L119" s="340"/>
      <c r="M119" s="340"/>
      <c r="N119" s="340"/>
      <c r="O119" s="340"/>
      <c r="P119" s="340"/>
      <c r="Q119" s="340"/>
      <c r="R119" s="340"/>
    </row>
    <row r="120" spans="1:18" ht="15" x14ac:dyDescent="0.25">
      <c r="B120" s="332"/>
      <c r="C120" s="332"/>
      <c r="D120" s="344"/>
      <c r="E120" s="344"/>
      <c r="F120" s="344"/>
      <c r="G120" s="344"/>
      <c r="H120" s="352"/>
      <c r="I120" s="352"/>
      <c r="J120" s="332"/>
      <c r="K120" s="332"/>
      <c r="L120" s="340"/>
      <c r="M120" s="340"/>
      <c r="N120" s="340"/>
      <c r="O120" s="340"/>
      <c r="P120" s="340"/>
      <c r="Q120" s="340"/>
      <c r="R120" s="340"/>
    </row>
    <row r="121" spans="1:18" ht="15" x14ac:dyDescent="0.25">
      <c r="B121" s="332"/>
      <c r="C121" s="332"/>
      <c r="D121" s="838" t="s">
        <v>524</v>
      </c>
      <c r="E121" s="839"/>
      <c r="F121" s="344"/>
      <c r="G121" s="344" t="s">
        <v>1374</v>
      </c>
      <c r="H121" s="344"/>
      <c r="I121" s="346"/>
      <c r="J121" s="346"/>
      <c r="K121" s="344"/>
      <c r="L121" s="340"/>
      <c r="M121" s="340"/>
      <c r="N121" s="340"/>
      <c r="O121" s="340"/>
      <c r="P121" s="340"/>
      <c r="Q121" s="340"/>
      <c r="R121" s="340"/>
    </row>
    <row r="132" spans="4:11" x14ac:dyDescent="0.2">
      <c r="D132" s="11">
        <f>SUM(D133:D145)+D152</f>
        <v>88281</v>
      </c>
    </row>
    <row r="133" spans="4:11" ht="46.5" x14ac:dyDescent="0.2">
      <c r="K133" s="253"/>
    </row>
    <row r="136" spans="4:11" ht="46.5" x14ac:dyDescent="0.2">
      <c r="G136" s="253"/>
      <c r="K136" s="253"/>
    </row>
    <row r="152" spans="1:12" x14ac:dyDescent="0.2">
      <c r="A152" s="170">
        <v>41057700</v>
      </c>
      <c r="B152" s="11" t="s">
        <v>1406</v>
      </c>
      <c r="D152" s="11">
        <v>88281</v>
      </c>
    </row>
    <row r="153" spans="1:12" x14ac:dyDescent="0.2">
      <c r="G153" s="252" t="e">
        <f>C153=C149+C148+C147+C127+C121+C114+C107+C106+C98+C97+C96+C95+C87+C86+C85+C84+C82+C81+C79+C77+C76+C75+C72+C71+C70+C68+C67+C61+C60+C59+C56+C55+C54+C52+C51+C47+C46+C45+C44+C43+C42+C41+C40+C39+C38+C34+C31+C28+#REF!+#REF!+#REF!+#REF!+C20+C19+C18+C111+C110+C35+C49+C138+C137+C118+C152</f>
        <v>#REF!</v>
      </c>
      <c r="H153" s="252" t="e">
        <f>D153=D149+D148+D147+D127+D121+D114+D107+D106+D98+D97+D96+D95+D87+D86+D85+D84+D82+D81+D79+D77+D76+D75+D72+D71+D70+D68+D67+D61+D60+D59+D56+D55+D54+D52+D51+D47+D46+D45+D44+D43+D42+D41+D40+D39+D38+D34+D31+D28+#REF!+#REF!+#REF!+#REF!+D20+D19+D18+D111+D110+D35+D49+D138+D137+D118+D152</f>
        <v>#VALUE!</v>
      </c>
      <c r="I153" s="252" t="e">
        <f>E153=E149+E148+E147+E127+E121+E114+E107+E106+E98+E97+E96+E95+E87+E86+E85+E84+E82+E81+E79+E77+E76+E75+E72+E71+E70+E68+E67+E61+E60+E59+E56+E55+E54+E52+E51+E47+E46+E45+E44+E43+E42+E41+E40+E39+E38+E34+E31+E28+#REF!+#REF!+#REF!+#REF!+E20+E19+E18+E111+E110+E35+E49+E138+E137+E118+E152</f>
        <v>#VALUE!</v>
      </c>
      <c r="J153" s="252" t="e">
        <f>F153=F149+F148+F147+F127+F121+F114+F107+F106+F98+F97+F96+F95+F87+F86+F85+F84+F82+F81+F79+F77+F76+F75+F72+F71+F70+F68+F67+F61+F60+F59+F56+F55+F54+F52+F51+F47+F46+F45+F44+F43+F42+F41+F40+F39+F38+F34+F31+F28+#REF!+#REF!+#REF!+#REF!+F20+F19+F18+F111+F110+F35+F49+F138+F137+F118+F152</f>
        <v>#VALUE!</v>
      </c>
    </row>
    <row r="154" spans="1:12" x14ac:dyDescent="0.2">
      <c r="G154" s="252" t="b">
        <f>(3453807039-'d2'!C37+7423154+961639+622418100+3715400+4544686)+16400+4309689+6350319+16579700+88281=C153</f>
        <v>0</v>
      </c>
    </row>
    <row r="156" spans="1:12" ht="90" x14ac:dyDescent="1.1499999999999999">
      <c r="L156" s="191"/>
    </row>
  </sheetData>
  <mergeCells count="11">
    <mergeCell ref="D121:E121"/>
    <mergeCell ref="B116:R116"/>
    <mergeCell ref="B117:K117"/>
    <mergeCell ref="B8:C8"/>
    <mergeCell ref="B1:K1"/>
    <mergeCell ref="G2:K2"/>
    <mergeCell ref="B4:K4"/>
    <mergeCell ref="B5:K5"/>
    <mergeCell ref="B7:C7"/>
    <mergeCell ref="B6:K6"/>
    <mergeCell ref="D118:E118"/>
  </mergeCells>
  <printOptions horizontalCentered="1"/>
  <pageMargins left="0.82677165354330717" right="0" top="0.31496062992125984" bottom="0.31496062992125984" header="0.23622047244094491" footer="0.19685039370078741"/>
  <pageSetup paperSize="9" scale="61" fitToHeight="0" orientation="landscape" r:id="rId1"/>
  <headerFooter alignWithMargins="0"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68"/>
  <sheetViews>
    <sheetView view="pageBreakPreview" zoomScale="25" zoomScaleNormal="25" zoomScaleSheetLayoutView="25" zoomScalePageLayoutView="10" workbookViewId="0">
      <pane ySplit="14" topLeftCell="A341" activePane="bottomLeft" state="frozen"/>
      <selection activeCell="B52" sqref="B52:E52"/>
      <selection pane="bottomLeft" activeCell="A354" sqref="A354:XFD354"/>
    </sheetView>
  </sheetViews>
  <sheetFormatPr defaultColWidth="9.140625" defaultRowHeight="12.75" x14ac:dyDescent="0.2"/>
  <cols>
    <col min="1" max="1" width="48" style="192" customWidth="1"/>
    <col min="2" max="2" width="52.5703125" style="192" customWidth="1"/>
    <col min="3" max="3" width="65.7109375" style="192" customWidth="1"/>
    <col min="4" max="4" width="137.7109375" style="192" customWidth="1"/>
    <col min="5" max="5" width="136.7109375" style="286" customWidth="1"/>
    <col min="6" max="6" width="114" style="192" customWidth="1"/>
    <col min="7" max="7" width="55.42578125" style="192" customWidth="1"/>
    <col min="8" max="8" width="63.5703125" style="192" customWidth="1"/>
    <col min="9" max="9" width="62.140625" style="192" customWidth="1"/>
    <col min="10" max="10" width="70.28515625" style="286" customWidth="1"/>
    <col min="11" max="11" width="100.28515625" style="123" customWidth="1"/>
    <col min="12" max="13" width="71.5703125" style="123" bestFit="1" customWidth="1"/>
    <col min="14" max="14" width="71.5703125" style="13" bestFit="1" customWidth="1"/>
    <col min="15" max="15" width="52.140625" style="13" bestFit="1" customWidth="1"/>
    <col min="16" max="16" width="9.140625" style="13"/>
    <col min="17" max="17" width="70.28515625" style="13" customWidth="1"/>
    <col min="18" max="16384" width="9.140625" style="13"/>
  </cols>
  <sheetData>
    <row r="1" spans="1:13" ht="45.75" x14ac:dyDescent="0.2">
      <c r="A1" s="75"/>
      <c r="B1" s="75"/>
      <c r="C1" s="75"/>
      <c r="D1" s="76"/>
      <c r="E1" s="77"/>
      <c r="F1" s="78"/>
      <c r="G1" s="77"/>
      <c r="H1" s="77"/>
      <c r="I1" s="738" t="s">
        <v>592</v>
      </c>
      <c r="J1" s="738"/>
    </row>
    <row r="2" spans="1:13" ht="45.75" x14ac:dyDescent="0.2">
      <c r="A2" s="76"/>
      <c r="B2" s="76"/>
      <c r="C2" s="76"/>
      <c r="D2" s="76"/>
      <c r="E2" s="77"/>
      <c r="F2" s="78"/>
      <c r="G2" s="77"/>
      <c r="H2" s="77"/>
      <c r="I2" s="738" t="s">
        <v>1319</v>
      </c>
      <c r="J2" s="741"/>
    </row>
    <row r="3" spans="1:13" ht="40.700000000000003" customHeight="1" x14ac:dyDescent="0.2">
      <c r="A3" s="76"/>
      <c r="B3" s="76"/>
      <c r="C3" s="76"/>
      <c r="D3" s="76"/>
      <c r="E3" s="77"/>
      <c r="F3" s="78"/>
      <c r="G3" s="77"/>
      <c r="H3" s="77"/>
      <c r="I3" s="738"/>
      <c r="J3" s="741"/>
    </row>
    <row r="4" spans="1:13" ht="45.75" hidden="1" x14ac:dyDescent="0.2">
      <c r="A4" s="76"/>
      <c r="B4" s="76"/>
      <c r="C4" s="76"/>
      <c r="D4" s="76"/>
      <c r="E4" s="77"/>
      <c r="F4" s="78"/>
      <c r="G4" s="77"/>
      <c r="H4" s="77"/>
      <c r="I4" s="76"/>
      <c r="J4" s="78"/>
    </row>
    <row r="5" spans="1:13" ht="45" x14ac:dyDescent="0.2">
      <c r="A5" s="742" t="s">
        <v>566</v>
      </c>
      <c r="B5" s="742"/>
      <c r="C5" s="742"/>
      <c r="D5" s="742"/>
      <c r="E5" s="742"/>
      <c r="F5" s="742"/>
      <c r="G5" s="742"/>
      <c r="H5" s="742"/>
      <c r="I5" s="742"/>
      <c r="J5" s="742"/>
    </row>
    <row r="6" spans="1:13" ht="45" x14ac:dyDescent="0.2">
      <c r="A6" s="742" t="s">
        <v>1127</v>
      </c>
      <c r="B6" s="742"/>
      <c r="C6" s="742"/>
      <c r="D6" s="742"/>
      <c r="E6" s="742"/>
      <c r="F6" s="742"/>
      <c r="G6" s="742"/>
      <c r="H6" s="742"/>
      <c r="I6" s="742"/>
      <c r="J6" s="742"/>
    </row>
    <row r="7" spans="1:13" ht="45" x14ac:dyDescent="0.2">
      <c r="A7" s="742" t="s">
        <v>1538</v>
      </c>
      <c r="B7" s="742"/>
      <c r="C7" s="742"/>
      <c r="D7" s="742"/>
      <c r="E7" s="742"/>
      <c r="F7" s="742"/>
      <c r="G7" s="742"/>
      <c r="H7" s="742"/>
      <c r="I7" s="742"/>
      <c r="J7" s="742"/>
    </row>
    <row r="8" spans="1:13" ht="45" x14ac:dyDescent="0.2">
      <c r="A8" s="742"/>
      <c r="B8" s="742"/>
      <c r="C8" s="742"/>
      <c r="D8" s="742"/>
      <c r="E8" s="742"/>
      <c r="F8" s="742"/>
      <c r="G8" s="742"/>
      <c r="H8" s="742"/>
      <c r="I8" s="742"/>
      <c r="J8" s="742"/>
    </row>
    <row r="9" spans="1:13" ht="45.75" x14ac:dyDescent="0.65">
      <c r="A9" s="743">
        <v>2256400000</v>
      </c>
      <c r="B9" s="744"/>
      <c r="C9" s="712"/>
      <c r="D9" s="712"/>
      <c r="E9" s="712"/>
      <c r="F9" s="712"/>
      <c r="G9" s="712"/>
      <c r="H9" s="712"/>
      <c r="I9" s="712"/>
      <c r="J9" s="712"/>
      <c r="K9" s="139"/>
      <c r="L9" s="139"/>
      <c r="M9" s="139"/>
    </row>
    <row r="10" spans="1:13" ht="45.75" x14ac:dyDescent="0.2">
      <c r="A10" s="748" t="s">
        <v>490</v>
      </c>
      <c r="B10" s="749"/>
      <c r="C10" s="712"/>
      <c r="D10" s="712"/>
      <c r="E10" s="712"/>
      <c r="F10" s="712"/>
      <c r="G10" s="712"/>
      <c r="H10" s="712"/>
      <c r="I10" s="712"/>
      <c r="J10" s="712"/>
      <c r="K10" s="139"/>
      <c r="L10" s="139"/>
      <c r="M10" s="139"/>
    </row>
    <row r="11" spans="1:13" ht="53.45" customHeight="1" thickBot="1" x14ac:dyDescent="0.25">
      <c r="A11" s="77"/>
      <c r="B11" s="77"/>
      <c r="C11" s="77"/>
      <c r="D11" s="77"/>
      <c r="E11" s="77"/>
      <c r="F11" s="78"/>
      <c r="G11" s="77"/>
      <c r="H11" s="77"/>
      <c r="I11" s="77"/>
      <c r="J11" s="316" t="s">
        <v>404</v>
      </c>
      <c r="K11" s="139"/>
      <c r="L11" s="139"/>
      <c r="M11" s="139"/>
    </row>
    <row r="12" spans="1:13" ht="104.25" customHeight="1" thickTop="1" thickBot="1" x14ac:dyDescent="0.25">
      <c r="A12" s="855" t="s">
        <v>491</v>
      </c>
      <c r="B12" s="855" t="s">
        <v>492</v>
      </c>
      <c r="C12" s="855" t="s">
        <v>390</v>
      </c>
      <c r="D12" s="855" t="s">
        <v>567</v>
      </c>
      <c r="E12" s="855" t="s">
        <v>495</v>
      </c>
      <c r="F12" s="855" t="s">
        <v>496</v>
      </c>
      <c r="G12" s="855" t="s">
        <v>383</v>
      </c>
      <c r="H12" s="855" t="s">
        <v>12</v>
      </c>
      <c r="I12" s="856" t="s">
        <v>52</v>
      </c>
      <c r="J12" s="746"/>
      <c r="K12" s="139"/>
      <c r="L12" s="139"/>
      <c r="M12" s="139"/>
    </row>
    <row r="13" spans="1:13" ht="406.5" customHeight="1" thickTop="1" thickBot="1" x14ac:dyDescent="0.25">
      <c r="A13" s="856"/>
      <c r="B13" s="746"/>
      <c r="C13" s="746"/>
      <c r="D13" s="856"/>
      <c r="E13" s="856"/>
      <c r="F13" s="856"/>
      <c r="G13" s="856"/>
      <c r="H13" s="856"/>
      <c r="I13" s="320" t="s">
        <v>384</v>
      </c>
      <c r="J13" s="320" t="s">
        <v>385</v>
      </c>
      <c r="K13" s="139"/>
      <c r="L13" s="139"/>
      <c r="M13" s="139"/>
    </row>
    <row r="14" spans="1:13" s="4" customFormat="1" ht="47.25" thickTop="1" thickBot="1" x14ac:dyDescent="0.25">
      <c r="A14" s="103" t="s">
        <v>2</v>
      </c>
      <c r="B14" s="103" t="s">
        <v>3</v>
      </c>
      <c r="C14" s="103" t="s">
        <v>14</v>
      </c>
      <c r="D14" s="103" t="s">
        <v>5</v>
      </c>
      <c r="E14" s="103" t="s">
        <v>392</v>
      </c>
      <c r="F14" s="103" t="s">
        <v>393</v>
      </c>
      <c r="G14" s="103" t="s">
        <v>394</v>
      </c>
      <c r="H14" s="103" t="s">
        <v>395</v>
      </c>
      <c r="I14" s="103" t="s">
        <v>396</v>
      </c>
      <c r="J14" s="103" t="s">
        <v>397</v>
      </c>
      <c r="K14" s="133"/>
      <c r="L14" s="133"/>
      <c r="M14" s="133"/>
    </row>
    <row r="15" spans="1:13" s="4" customFormat="1" ht="148.69999999999999" customHeight="1" thickTop="1" thickBot="1" x14ac:dyDescent="0.25">
      <c r="A15" s="508" t="s">
        <v>148</v>
      </c>
      <c r="B15" s="508"/>
      <c r="C15" s="508"/>
      <c r="D15" s="509" t="s">
        <v>150</v>
      </c>
      <c r="E15" s="508"/>
      <c r="F15" s="508"/>
      <c r="G15" s="510">
        <f>G16</f>
        <v>276327135</v>
      </c>
      <c r="H15" s="510">
        <f t="shared" ref="H15:J15" si="0">H16</f>
        <v>204994653.13999999</v>
      </c>
      <c r="I15" s="510">
        <f>I16</f>
        <v>71332481.859999999</v>
      </c>
      <c r="J15" s="510">
        <f t="shared" si="0"/>
        <v>66116681.859999999</v>
      </c>
      <c r="K15" s="96" t="b">
        <f>H16='d3'!E16-'d3'!E18+'d7'!H17+'d7'!H20+'d7'!H22+H21</f>
        <v>1</v>
      </c>
      <c r="L15" s="96" t="b">
        <f>I16='d3'!J16-'d3'!J18+I17+I20+I22+I21</f>
        <v>1</v>
      </c>
      <c r="M15" s="96" t="b">
        <f>J16='d3'!K16-'d3'!K18+J17+J20+J22+J21</f>
        <v>1</v>
      </c>
    </row>
    <row r="16" spans="1:13" s="4" customFormat="1" ht="157.69999999999999" customHeight="1" thickTop="1" thickBot="1" x14ac:dyDescent="0.25">
      <c r="A16" s="511" t="s">
        <v>149</v>
      </c>
      <c r="B16" s="511"/>
      <c r="C16" s="511"/>
      <c r="D16" s="512" t="s">
        <v>151</v>
      </c>
      <c r="E16" s="513"/>
      <c r="F16" s="513"/>
      <c r="G16" s="513">
        <f>SUM(G17:G54)</f>
        <v>276327135</v>
      </c>
      <c r="H16" s="513">
        <f>SUM(H17:H54)</f>
        <v>204994653.13999999</v>
      </c>
      <c r="I16" s="513">
        <f>SUM(I17:I54)</f>
        <v>71332481.859999999</v>
      </c>
      <c r="J16" s="513">
        <f>SUM(J17:J54)</f>
        <v>66116681.859999999</v>
      </c>
      <c r="K16" s="133"/>
      <c r="L16" s="133"/>
      <c r="M16" s="133"/>
    </row>
    <row r="17" spans="1:13" ht="276" hidden="1" thickTop="1" thickBot="1" x14ac:dyDescent="0.25">
      <c r="A17" s="128" t="s">
        <v>232</v>
      </c>
      <c r="B17" s="128" t="s">
        <v>233</v>
      </c>
      <c r="C17" s="128" t="s">
        <v>234</v>
      </c>
      <c r="D17" s="128" t="s">
        <v>231</v>
      </c>
      <c r="E17" s="255" t="s">
        <v>1044</v>
      </c>
      <c r="F17" s="196" t="s">
        <v>859</v>
      </c>
      <c r="G17" s="196">
        <f t="shared" ref="G17:G33" si="1">H17+I17</f>
        <v>0</v>
      </c>
      <c r="H17" s="256">
        <v>0</v>
      </c>
      <c r="I17" s="196">
        <v>0</v>
      </c>
      <c r="J17" s="196">
        <v>0</v>
      </c>
      <c r="K17" s="254"/>
      <c r="L17" s="254"/>
      <c r="M17" s="254"/>
    </row>
    <row r="18" spans="1:13" ht="367.5" hidden="1" thickTop="1" thickBot="1" x14ac:dyDescent="0.25">
      <c r="A18" s="128" t="s">
        <v>232</v>
      </c>
      <c r="B18" s="128" t="s">
        <v>233</v>
      </c>
      <c r="C18" s="128" t="s">
        <v>234</v>
      </c>
      <c r="D18" s="128" t="s">
        <v>231</v>
      </c>
      <c r="E18" s="196" t="s">
        <v>1221</v>
      </c>
      <c r="F18" s="196" t="s">
        <v>861</v>
      </c>
      <c r="G18" s="196">
        <f t="shared" si="1"/>
        <v>0</v>
      </c>
      <c r="H18" s="256">
        <v>0</v>
      </c>
      <c r="I18" s="196">
        <v>0</v>
      </c>
      <c r="J18" s="196">
        <v>0</v>
      </c>
      <c r="K18" s="257"/>
      <c r="L18" s="257"/>
      <c r="M18" s="257"/>
    </row>
    <row r="19" spans="1:13" ht="276" hidden="1" thickTop="1" thickBot="1" x14ac:dyDescent="0.25">
      <c r="A19" s="41" t="s">
        <v>232</v>
      </c>
      <c r="B19" s="41" t="s">
        <v>233</v>
      </c>
      <c r="C19" s="41" t="s">
        <v>234</v>
      </c>
      <c r="D19" s="41" t="s">
        <v>231</v>
      </c>
      <c r="E19" s="258" t="s">
        <v>874</v>
      </c>
      <c r="F19" s="73" t="s">
        <v>875</v>
      </c>
      <c r="G19" s="73">
        <f t="shared" si="1"/>
        <v>0</v>
      </c>
      <c r="H19" s="259"/>
      <c r="I19" s="73"/>
      <c r="J19" s="73"/>
      <c r="K19" s="260"/>
      <c r="L19" s="150"/>
      <c r="M19" s="139"/>
    </row>
    <row r="20" spans="1:13" ht="276" hidden="1" thickTop="1" thickBot="1" x14ac:dyDescent="0.25">
      <c r="A20" s="128" t="s">
        <v>232</v>
      </c>
      <c r="B20" s="128" t="s">
        <v>233</v>
      </c>
      <c r="C20" s="128" t="s">
        <v>234</v>
      </c>
      <c r="D20" s="128" t="s">
        <v>231</v>
      </c>
      <c r="E20" s="255" t="s">
        <v>1160</v>
      </c>
      <c r="F20" s="196" t="s">
        <v>1159</v>
      </c>
      <c r="G20" s="196">
        <f t="shared" si="1"/>
        <v>0</v>
      </c>
      <c r="H20" s="256">
        <v>0</v>
      </c>
      <c r="I20" s="196">
        <v>0</v>
      </c>
      <c r="J20" s="196">
        <v>0</v>
      </c>
      <c r="K20" s="260"/>
      <c r="L20" s="150"/>
      <c r="M20" s="139"/>
    </row>
    <row r="21" spans="1:13" ht="276" hidden="1" thickTop="1" thickBot="1" x14ac:dyDescent="0.25">
      <c r="A21" s="128" t="s">
        <v>232</v>
      </c>
      <c r="B21" s="128" t="s">
        <v>233</v>
      </c>
      <c r="C21" s="128" t="s">
        <v>234</v>
      </c>
      <c r="D21" s="128" t="s">
        <v>231</v>
      </c>
      <c r="E21" s="255" t="s">
        <v>1477</v>
      </c>
      <c r="F21" s="196" t="s">
        <v>1478</v>
      </c>
      <c r="G21" s="196">
        <f t="shared" si="1"/>
        <v>0</v>
      </c>
      <c r="H21" s="256">
        <v>0</v>
      </c>
      <c r="I21" s="196">
        <v>0</v>
      </c>
      <c r="J21" s="196">
        <v>0</v>
      </c>
      <c r="K21" s="260"/>
      <c r="L21" s="150"/>
      <c r="M21" s="139"/>
    </row>
    <row r="22" spans="1:13" ht="276" hidden="1" thickTop="1" thickBot="1" x14ac:dyDescent="0.25">
      <c r="A22" s="128" t="s">
        <v>232</v>
      </c>
      <c r="B22" s="128" t="s">
        <v>233</v>
      </c>
      <c r="C22" s="128" t="s">
        <v>234</v>
      </c>
      <c r="D22" s="128" t="s">
        <v>231</v>
      </c>
      <c r="E22" s="255" t="s">
        <v>1294</v>
      </c>
      <c r="F22" s="196" t="s">
        <v>1295</v>
      </c>
      <c r="G22" s="196">
        <f t="shared" si="1"/>
        <v>0</v>
      </c>
      <c r="H22" s="256">
        <v>0</v>
      </c>
      <c r="I22" s="196">
        <v>0</v>
      </c>
      <c r="J22" s="196">
        <v>0</v>
      </c>
      <c r="K22" s="260"/>
      <c r="L22" s="150"/>
      <c r="M22" s="139"/>
    </row>
    <row r="23" spans="1:13" ht="367.5" hidden="1" thickTop="1" thickBot="1" x14ac:dyDescent="0.25">
      <c r="A23" s="128" t="s">
        <v>625</v>
      </c>
      <c r="B23" s="128" t="s">
        <v>362</v>
      </c>
      <c r="C23" s="128" t="s">
        <v>626</v>
      </c>
      <c r="D23" s="128" t="s">
        <v>627</v>
      </c>
      <c r="E23" s="255" t="s">
        <v>1309</v>
      </c>
      <c r="F23" s="196" t="s">
        <v>1310</v>
      </c>
      <c r="G23" s="196">
        <f t="shared" si="1"/>
        <v>0</v>
      </c>
      <c r="H23" s="256">
        <f>'d3'!E20</f>
        <v>0</v>
      </c>
      <c r="I23" s="196">
        <v>0</v>
      </c>
      <c r="J23" s="196">
        <v>0</v>
      </c>
      <c r="K23" s="260"/>
      <c r="L23" s="150"/>
      <c r="M23" s="139"/>
    </row>
    <row r="24" spans="1:13" ht="321.75" thickTop="1" thickBot="1" x14ac:dyDescent="0.25">
      <c r="A24" s="103" t="s">
        <v>247</v>
      </c>
      <c r="B24" s="103" t="s">
        <v>43</v>
      </c>
      <c r="C24" s="103" t="s">
        <v>42</v>
      </c>
      <c r="D24" s="103" t="s">
        <v>248</v>
      </c>
      <c r="E24" s="321" t="s">
        <v>1414</v>
      </c>
      <c r="F24" s="318" t="s">
        <v>1376</v>
      </c>
      <c r="G24" s="318">
        <f t="shared" si="1"/>
        <v>32410000</v>
      </c>
      <c r="H24" s="322">
        <f>21000000+1410000+10000000</f>
        <v>32410000</v>
      </c>
      <c r="I24" s="318">
        <v>0</v>
      </c>
      <c r="J24" s="318">
        <v>0</v>
      </c>
      <c r="K24" s="857" t="b">
        <f>H24+H26+H25+H28+H27='d3'!E21</f>
        <v>1</v>
      </c>
      <c r="L24" s="853"/>
      <c r="M24" s="853"/>
    </row>
    <row r="25" spans="1:13" ht="138.75" thickTop="1" thickBot="1" x14ac:dyDescent="0.25">
      <c r="A25" s="103" t="s">
        <v>247</v>
      </c>
      <c r="B25" s="103" t="s">
        <v>43</v>
      </c>
      <c r="C25" s="103" t="s">
        <v>42</v>
      </c>
      <c r="D25" s="103" t="s">
        <v>248</v>
      </c>
      <c r="E25" s="321" t="s">
        <v>1569</v>
      </c>
      <c r="F25" s="318"/>
      <c r="G25" s="318">
        <f t="shared" ref="G25" si="2">H25+I25</f>
        <v>850000</v>
      </c>
      <c r="H25" s="322">
        <f>950000-100000</f>
        <v>850000</v>
      </c>
      <c r="I25" s="318">
        <v>0</v>
      </c>
      <c r="J25" s="318">
        <v>0</v>
      </c>
      <c r="K25" s="857"/>
      <c r="L25" s="853"/>
      <c r="M25" s="853"/>
    </row>
    <row r="26" spans="1:13" ht="184.7" customHeight="1" thickTop="1" thickBot="1" x14ac:dyDescent="0.25">
      <c r="A26" s="103" t="s">
        <v>247</v>
      </c>
      <c r="B26" s="103" t="s">
        <v>43</v>
      </c>
      <c r="C26" s="103" t="s">
        <v>42</v>
      </c>
      <c r="D26" s="103" t="s">
        <v>248</v>
      </c>
      <c r="E26" s="321" t="s">
        <v>1560</v>
      </c>
      <c r="F26" s="318"/>
      <c r="G26" s="318">
        <f t="shared" si="1"/>
        <v>1881400</v>
      </c>
      <c r="H26" s="322">
        <f>112000+1669400+100000</f>
        <v>1881400</v>
      </c>
      <c r="I26" s="318">
        <v>0</v>
      </c>
      <c r="J26" s="318">
        <v>0</v>
      </c>
      <c r="K26" s="858"/>
      <c r="L26" s="854"/>
      <c r="M26" s="854"/>
    </row>
    <row r="27" spans="1:13" ht="184.7" hidden="1" customHeight="1" thickTop="1" thickBot="1" x14ac:dyDescent="0.25">
      <c r="A27" s="128" t="s">
        <v>247</v>
      </c>
      <c r="B27" s="128" t="s">
        <v>43</v>
      </c>
      <c r="C27" s="128" t="s">
        <v>42</v>
      </c>
      <c r="D27" s="128" t="s">
        <v>248</v>
      </c>
      <c r="E27" s="255" t="s">
        <v>1278</v>
      </c>
      <c r="F27" s="196" t="s">
        <v>940</v>
      </c>
      <c r="G27" s="196">
        <f t="shared" si="1"/>
        <v>0</v>
      </c>
      <c r="H27" s="256">
        <v>0</v>
      </c>
      <c r="I27" s="196">
        <v>0</v>
      </c>
      <c r="J27" s="196">
        <v>0</v>
      </c>
      <c r="K27" s="139"/>
      <c r="L27" s="139"/>
      <c r="M27" s="139"/>
    </row>
    <row r="28" spans="1:13" ht="276" thickTop="1" thickBot="1" x14ac:dyDescent="0.25">
      <c r="A28" s="103" t="s">
        <v>247</v>
      </c>
      <c r="B28" s="103" t="s">
        <v>43</v>
      </c>
      <c r="C28" s="103" t="s">
        <v>42</v>
      </c>
      <c r="D28" s="103" t="s">
        <v>248</v>
      </c>
      <c r="E28" s="318" t="s">
        <v>1570</v>
      </c>
      <c r="F28" s="330" t="s">
        <v>1200</v>
      </c>
      <c r="G28" s="318">
        <f>H28+I28</f>
        <v>73310000</v>
      </c>
      <c r="H28" s="318">
        <f>90000000-10000000+32000000-67690000+1000000-2000000+30000000</f>
        <v>73310000</v>
      </c>
      <c r="I28" s="318">
        <v>0</v>
      </c>
      <c r="J28" s="318">
        <v>0</v>
      </c>
      <c r="K28" s="139"/>
      <c r="L28" s="139"/>
      <c r="M28" s="139"/>
    </row>
    <row r="29" spans="1:13" ht="138.75" thickTop="1" thickBot="1" x14ac:dyDescent="0.25">
      <c r="A29" s="103" t="s">
        <v>238</v>
      </c>
      <c r="B29" s="103" t="s">
        <v>239</v>
      </c>
      <c r="C29" s="103" t="s">
        <v>240</v>
      </c>
      <c r="D29" s="103" t="s">
        <v>237</v>
      </c>
      <c r="E29" s="321" t="s">
        <v>1044</v>
      </c>
      <c r="F29" s="318" t="s">
        <v>859</v>
      </c>
      <c r="G29" s="318">
        <f t="shared" si="1"/>
        <v>4883000</v>
      </c>
      <c r="H29" s="318">
        <f>'d3'!E24</f>
        <v>4883000</v>
      </c>
      <c r="I29" s="318">
        <f>'d3'!J24</f>
        <v>0</v>
      </c>
      <c r="J29" s="318">
        <f>'d3'!K24</f>
        <v>0</v>
      </c>
      <c r="K29" s="96" t="b">
        <f>H29='d3'!E24</f>
        <v>1</v>
      </c>
      <c r="L29" s="480" t="b">
        <f>I29='d3'!J24</f>
        <v>1</v>
      </c>
      <c r="M29" s="600" t="b">
        <f>J29='d3'!K24</f>
        <v>1</v>
      </c>
    </row>
    <row r="30" spans="1:13" ht="184.5" hidden="1" thickTop="1" thickBot="1" x14ac:dyDescent="0.25">
      <c r="A30" s="41" t="s">
        <v>982</v>
      </c>
      <c r="B30" s="41" t="s">
        <v>983</v>
      </c>
      <c r="C30" s="41" t="s">
        <v>240</v>
      </c>
      <c r="D30" s="41" t="s">
        <v>984</v>
      </c>
      <c r="E30" s="258" t="s">
        <v>1044</v>
      </c>
      <c r="F30" s="73" t="s">
        <v>859</v>
      </c>
      <c r="G30" s="196">
        <f t="shared" si="1"/>
        <v>0</v>
      </c>
      <c r="H30" s="196">
        <f>'d3'!E25</f>
        <v>0</v>
      </c>
      <c r="I30" s="196">
        <f>'d3'!J25</f>
        <v>0</v>
      </c>
      <c r="J30" s="196">
        <f>'d3'!K25</f>
        <v>0</v>
      </c>
      <c r="K30" s="254" t="b">
        <f>H30='d3'!E25</f>
        <v>1</v>
      </c>
      <c r="L30" s="261" t="b">
        <f>I30='d3'!J25</f>
        <v>1</v>
      </c>
      <c r="M30" s="262" t="b">
        <f>J30='d3'!K25</f>
        <v>1</v>
      </c>
    </row>
    <row r="31" spans="1:13" ht="184.5" hidden="1" thickTop="1" thickBot="1" x14ac:dyDescent="0.25">
      <c r="A31" s="128" t="s">
        <v>1435</v>
      </c>
      <c r="B31" s="128" t="s">
        <v>212</v>
      </c>
      <c r="C31" s="128" t="s">
        <v>213</v>
      </c>
      <c r="D31" s="128" t="s">
        <v>41</v>
      </c>
      <c r="E31" s="255" t="s">
        <v>1477</v>
      </c>
      <c r="F31" s="196" t="s">
        <v>1478</v>
      </c>
      <c r="G31" s="196">
        <f t="shared" si="1"/>
        <v>0</v>
      </c>
      <c r="H31" s="196">
        <v>0</v>
      </c>
      <c r="I31" s="196">
        <v>0</v>
      </c>
      <c r="J31" s="196">
        <v>0</v>
      </c>
      <c r="K31" s="254" t="b">
        <f>'d3'!E27='d7'!H31</f>
        <v>1</v>
      </c>
      <c r="L31" s="261" t="b">
        <f>I31='d3'!J27</f>
        <v>1</v>
      </c>
      <c r="M31" s="262" t="b">
        <f>J31='d3'!K27</f>
        <v>1</v>
      </c>
    </row>
    <row r="32" spans="1:13" ht="138.75" thickTop="1" thickBot="1" x14ac:dyDescent="0.25">
      <c r="A32" s="103" t="s">
        <v>299</v>
      </c>
      <c r="B32" s="103" t="s">
        <v>300</v>
      </c>
      <c r="C32" s="103" t="s">
        <v>170</v>
      </c>
      <c r="D32" s="103" t="s">
        <v>442</v>
      </c>
      <c r="E32" s="321" t="s">
        <v>1560</v>
      </c>
      <c r="F32" s="318"/>
      <c r="G32" s="318">
        <f t="shared" si="1"/>
        <v>329335</v>
      </c>
      <c r="H32" s="318">
        <f>'d3'!E28</f>
        <v>329335</v>
      </c>
      <c r="I32" s="318">
        <f>'d3'!J28</f>
        <v>0</v>
      </c>
      <c r="J32" s="318">
        <f>'d3'!K28</f>
        <v>0</v>
      </c>
      <c r="K32" s="96" t="b">
        <f>H32='d3'!E28</f>
        <v>1</v>
      </c>
      <c r="L32" s="480" t="b">
        <f>I32='d3'!J28</f>
        <v>1</v>
      </c>
      <c r="M32" s="600" t="b">
        <f>J32='d3'!K28</f>
        <v>1</v>
      </c>
    </row>
    <row r="33" spans="1:13" ht="292.5" customHeight="1" thickTop="1" thickBot="1" x14ac:dyDescent="0.7">
      <c r="A33" s="730" t="s">
        <v>339</v>
      </c>
      <c r="B33" s="730" t="s">
        <v>338</v>
      </c>
      <c r="C33" s="730" t="s">
        <v>170</v>
      </c>
      <c r="D33" s="608" t="s">
        <v>440</v>
      </c>
      <c r="E33" s="730" t="s">
        <v>1560</v>
      </c>
      <c r="F33" s="730"/>
      <c r="G33" s="722">
        <f t="shared" si="1"/>
        <v>5215800</v>
      </c>
      <c r="H33" s="722">
        <f>'d3'!E30</f>
        <v>0</v>
      </c>
      <c r="I33" s="722">
        <f>'d3'!J30</f>
        <v>5215800</v>
      </c>
      <c r="J33" s="722">
        <f>'d3'!K30</f>
        <v>0</v>
      </c>
      <c r="K33" s="96" t="b">
        <f>H33='d3'!E30</f>
        <v>1</v>
      </c>
      <c r="L33" s="480" t="b">
        <f>I33='d3'!J30</f>
        <v>1</v>
      </c>
      <c r="M33" s="600" t="b">
        <f>J33='d3'!K30</f>
        <v>1</v>
      </c>
    </row>
    <row r="34" spans="1:13" ht="138.75" customHeight="1" thickTop="1" thickBot="1" x14ac:dyDescent="0.25">
      <c r="A34" s="761"/>
      <c r="B34" s="761"/>
      <c r="C34" s="761"/>
      <c r="D34" s="609" t="s">
        <v>441</v>
      </c>
      <c r="E34" s="761"/>
      <c r="F34" s="761"/>
      <c r="G34" s="862"/>
      <c r="H34" s="862"/>
      <c r="I34" s="862"/>
      <c r="J34" s="862"/>
      <c r="K34" s="139"/>
      <c r="L34" s="139"/>
      <c r="M34" s="139"/>
    </row>
    <row r="35" spans="1:13" ht="230.25" thickTop="1" thickBot="1" x14ac:dyDescent="0.25">
      <c r="A35" s="103" t="s">
        <v>916</v>
      </c>
      <c r="B35" s="103" t="s">
        <v>257</v>
      </c>
      <c r="C35" s="103" t="s">
        <v>170</v>
      </c>
      <c r="D35" s="103" t="s">
        <v>255</v>
      </c>
      <c r="E35" s="318" t="s">
        <v>1571</v>
      </c>
      <c r="F35" s="330" t="s">
        <v>1180</v>
      </c>
      <c r="G35" s="318">
        <f t="shared" ref="G35:G42" si="3">H35+I35</f>
        <v>2362000</v>
      </c>
      <c r="H35" s="318">
        <f>'d3'!E32</f>
        <v>2362000</v>
      </c>
      <c r="I35" s="318">
        <f>'d3'!J32</f>
        <v>0</v>
      </c>
      <c r="J35" s="318">
        <f>'d3'!K32</f>
        <v>0</v>
      </c>
      <c r="K35" s="139"/>
      <c r="L35" s="139"/>
      <c r="M35" s="139"/>
    </row>
    <row r="36" spans="1:13" ht="276" thickTop="1" thickBot="1" x14ac:dyDescent="0.25">
      <c r="A36" s="103" t="s">
        <v>1222</v>
      </c>
      <c r="B36" s="103" t="s">
        <v>1223</v>
      </c>
      <c r="C36" s="103" t="s">
        <v>1197</v>
      </c>
      <c r="D36" s="103" t="s">
        <v>1224</v>
      </c>
      <c r="E36" s="318" t="s">
        <v>1570</v>
      </c>
      <c r="F36" s="330" t="s">
        <v>1200</v>
      </c>
      <c r="G36" s="318">
        <f t="shared" si="3"/>
        <v>66000000</v>
      </c>
      <c r="H36" s="318">
        <f>5000000+3000000+8000000+10000000</f>
        <v>26000000</v>
      </c>
      <c r="I36" s="318">
        <f>25000000+15000000</f>
        <v>40000000</v>
      </c>
      <c r="J36" s="318">
        <f>25000000+15000000</f>
        <v>40000000</v>
      </c>
      <c r="K36" s="96" t="b">
        <f>H36+H37='d3'!E35</f>
        <v>1</v>
      </c>
      <c r="L36" s="480" t="b">
        <f>I36+I37='d3'!J35</f>
        <v>1</v>
      </c>
      <c r="M36" s="480" t="b">
        <f>J36+J37='d3'!K35</f>
        <v>1</v>
      </c>
    </row>
    <row r="37" spans="1:13" ht="367.5" hidden="1" thickTop="1" thickBot="1" x14ac:dyDescent="0.25">
      <c r="A37" s="128" t="s">
        <v>1222</v>
      </c>
      <c r="B37" s="128" t="s">
        <v>1223</v>
      </c>
      <c r="C37" s="128" t="s">
        <v>1197</v>
      </c>
      <c r="D37" s="128" t="s">
        <v>1224</v>
      </c>
      <c r="E37" s="196" t="s">
        <v>1419</v>
      </c>
      <c r="F37" s="196" t="s">
        <v>861</v>
      </c>
      <c r="G37" s="196">
        <f t="shared" si="3"/>
        <v>0</v>
      </c>
      <c r="H37" s="196">
        <v>0</v>
      </c>
      <c r="I37" s="196">
        <v>0</v>
      </c>
      <c r="J37" s="196">
        <v>0</v>
      </c>
      <c r="K37" s="139"/>
      <c r="L37" s="139"/>
      <c r="M37" s="139"/>
    </row>
    <row r="38" spans="1:13" ht="138.75" thickTop="1" thickBot="1" x14ac:dyDescent="0.25">
      <c r="A38" s="103" t="s">
        <v>1198</v>
      </c>
      <c r="B38" s="103" t="s">
        <v>1199</v>
      </c>
      <c r="C38" s="103" t="s">
        <v>1197</v>
      </c>
      <c r="D38" s="103" t="s">
        <v>1196</v>
      </c>
      <c r="E38" s="103" t="s">
        <v>1572</v>
      </c>
      <c r="F38" s="318"/>
      <c r="G38" s="318">
        <f t="shared" si="3"/>
        <v>5000000</v>
      </c>
      <c r="H38" s="318">
        <v>5000000</v>
      </c>
      <c r="I38" s="318">
        <v>0</v>
      </c>
      <c r="J38" s="318">
        <v>0</v>
      </c>
      <c r="K38" s="96" t="b">
        <f>H38+H39='d3'!E36</f>
        <v>1</v>
      </c>
      <c r="L38" s="480" t="b">
        <f>I38+I39='d3'!J36</f>
        <v>1</v>
      </c>
      <c r="M38" s="480" t="b">
        <f>J38+J39='d3'!K36</f>
        <v>1</v>
      </c>
    </row>
    <row r="39" spans="1:13" ht="184.5" thickTop="1" thickBot="1" x14ac:dyDescent="0.25">
      <c r="A39" s="103" t="s">
        <v>1198</v>
      </c>
      <c r="B39" s="103" t="s">
        <v>1199</v>
      </c>
      <c r="C39" s="103" t="s">
        <v>1197</v>
      </c>
      <c r="D39" s="103" t="s">
        <v>1196</v>
      </c>
      <c r="E39" s="318" t="s">
        <v>1573</v>
      </c>
      <c r="F39" s="330"/>
      <c r="G39" s="318">
        <f>H39+I39</f>
        <v>3862000</v>
      </c>
      <c r="H39" s="318">
        <v>3862000</v>
      </c>
      <c r="I39" s="318">
        <v>0</v>
      </c>
      <c r="J39" s="318">
        <v>0</v>
      </c>
      <c r="K39" s="13"/>
      <c r="L39" s="13"/>
      <c r="M39" s="13"/>
    </row>
    <row r="40" spans="1:13" ht="184.5" thickTop="1" thickBot="1" x14ac:dyDescent="0.25">
      <c r="A40" s="103" t="s">
        <v>241</v>
      </c>
      <c r="B40" s="103" t="s">
        <v>242</v>
      </c>
      <c r="C40" s="103" t="s">
        <v>243</v>
      </c>
      <c r="D40" s="103" t="s">
        <v>244</v>
      </c>
      <c r="E40" s="318" t="s">
        <v>1574</v>
      </c>
      <c r="F40" s="318"/>
      <c r="G40" s="318">
        <f t="shared" si="3"/>
        <v>10200000</v>
      </c>
      <c r="H40" s="318">
        <f>'d3'!E38</f>
        <v>10200000</v>
      </c>
      <c r="I40" s="318">
        <f>'d3'!J38</f>
        <v>0</v>
      </c>
      <c r="J40" s="318">
        <f>'d3'!K38</f>
        <v>0</v>
      </c>
      <c r="K40" s="96" t="b">
        <f>H40='d3'!E38</f>
        <v>1</v>
      </c>
      <c r="L40" s="480" t="b">
        <f>I40='d3'!J38</f>
        <v>1</v>
      </c>
      <c r="M40" s="600" t="b">
        <f>J40='d3'!K38</f>
        <v>1</v>
      </c>
    </row>
    <row r="41" spans="1:13" ht="230.25" thickTop="1" thickBot="1" x14ac:dyDescent="0.25">
      <c r="A41" s="103" t="s">
        <v>245</v>
      </c>
      <c r="B41" s="103" t="s">
        <v>246</v>
      </c>
      <c r="C41" s="103" t="s">
        <v>43</v>
      </c>
      <c r="D41" s="103" t="s">
        <v>443</v>
      </c>
      <c r="E41" s="321" t="s">
        <v>1560</v>
      </c>
      <c r="F41" s="318"/>
      <c r="G41" s="318">
        <f t="shared" si="3"/>
        <v>1178000</v>
      </c>
      <c r="H41" s="322">
        <f>'d3'!E41</f>
        <v>1178000</v>
      </c>
      <c r="I41" s="318">
        <f>'d3'!J41</f>
        <v>0</v>
      </c>
      <c r="J41" s="318">
        <f>'d3'!K41</f>
        <v>0</v>
      </c>
      <c r="K41" s="96" t="b">
        <f>H41='d3'!E41</f>
        <v>1</v>
      </c>
      <c r="L41" s="480" t="b">
        <f>I41='d3'!J41</f>
        <v>1</v>
      </c>
      <c r="M41" s="480" t="b">
        <f>J41='d3'!K41</f>
        <v>1</v>
      </c>
    </row>
    <row r="42" spans="1:13" ht="138.75" thickTop="1" thickBot="1" x14ac:dyDescent="0.25">
      <c r="A42" s="103" t="s">
        <v>576</v>
      </c>
      <c r="B42" s="103" t="s">
        <v>363</v>
      </c>
      <c r="C42" s="103" t="s">
        <v>43</v>
      </c>
      <c r="D42" s="103" t="s">
        <v>364</v>
      </c>
      <c r="E42" s="321" t="s">
        <v>1560</v>
      </c>
      <c r="F42" s="318"/>
      <c r="G42" s="318">
        <f t="shared" si="3"/>
        <v>155600</v>
      </c>
      <c r="H42" s="322">
        <f>'d3'!E42</f>
        <v>155600</v>
      </c>
      <c r="I42" s="318">
        <f>'d3'!J42</f>
        <v>0</v>
      </c>
      <c r="J42" s="318">
        <f>'d3'!K42</f>
        <v>0</v>
      </c>
      <c r="K42" s="96" t="b">
        <f>H42='d3'!E42</f>
        <v>1</v>
      </c>
      <c r="L42" s="480" t="b">
        <f>I42='d3'!J42</f>
        <v>1</v>
      </c>
      <c r="M42" s="480" t="b">
        <f>J42='d3'!K42</f>
        <v>1</v>
      </c>
    </row>
    <row r="43" spans="1:13" ht="276" thickTop="1" thickBot="1" x14ac:dyDescent="0.25">
      <c r="A43" s="103" t="s">
        <v>513</v>
      </c>
      <c r="B43" s="103" t="s">
        <v>514</v>
      </c>
      <c r="C43" s="103" t="s">
        <v>43</v>
      </c>
      <c r="D43" s="103" t="s">
        <v>515</v>
      </c>
      <c r="E43" s="318" t="s">
        <v>1201</v>
      </c>
      <c r="F43" s="330" t="s">
        <v>1200</v>
      </c>
      <c r="G43" s="318">
        <f t="shared" ref="G43:G54" si="4">H43+I43</f>
        <v>63690000</v>
      </c>
      <c r="H43" s="318">
        <f>35873318.14-300000+2000000</f>
        <v>37573318.140000001</v>
      </c>
      <c r="I43" s="318">
        <f>26816681.86-700000</f>
        <v>26116681.859999999</v>
      </c>
      <c r="J43" s="318">
        <f>26816681.86-700000</f>
        <v>26116681.859999999</v>
      </c>
      <c r="K43" s="96" t="b">
        <f>H43+H44+H45+H46+H47+H48+H53+H49+H51+H52+H50+H54='d3'!E43</f>
        <v>1</v>
      </c>
      <c r="L43" s="480" t="b">
        <f>I43+I44+I45+I46+I47+I48+I53+I51+I52+I49+I50+I54='d3'!J43</f>
        <v>1</v>
      </c>
      <c r="M43" s="480" t="b">
        <f>J43+J44+J45+J46+J47+J48+J53+J51+J52+J49+J50+J54='d3'!K43</f>
        <v>1</v>
      </c>
    </row>
    <row r="44" spans="1:13" ht="367.5" hidden="1" thickTop="1" thickBot="1" x14ac:dyDescent="0.25">
      <c r="A44" s="103" t="s">
        <v>513</v>
      </c>
      <c r="B44" s="103" t="s">
        <v>514</v>
      </c>
      <c r="C44" s="103" t="s">
        <v>43</v>
      </c>
      <c r="D44" s="103" t="s">
        <v>515</v>
      </c>
      <c r="E44" s="318" t="s">
        <v>1419</v>
      </c>
      <c r="F44" s="318" t="s">
        <v>861</v>
      </c>
      <c r="G44" s="318">
        <f t="shared" si="4"/>
        <v>0</v>
      </c>
      <c r="H44" s="318"/>
      <c r="I44" s="318"/>
      <c r="J44" s="318"/>
      <c r="K44" s="254"/>
      <c r="L44" s="261"/>
      <c r="M44" s="262"/>
    </row>
    <row r="45" spans="1:13" ht="276" hidden="1" thickTop="1" thickBot="1" x14ac:dyDescent="0.25">
      <c r="A45" s="103" t="s">
        <v>513</v>
      </c>
      <c r="B45" s="103" t="s">
        <v>514</v>
      </c>
      <c r="C45" s="103" t="s">
        <v>43</v>
      </c>
      <c r="D45" s="103" t="s">
        <v>515</v>
      </c>
      <c r="E45" s="318" t="s">
        <v>1049</v>
      </c>
      <c r="F45" s="318" t="s">
        <v>939</v>
      </c>
      <c r="G45" s="318">
        <f t="shared" si="4"/>
        <v>0</v>
      </c>
      <c r="H45" s="318"/>
      <c r="I45" s="318"/>
      <c r="J45" s="318"/>
      <c r="K45" s="254"/>
      <c r="L45" s="261"/>
      <c r="M45" s="262"/>
    </row>
    <row r="46" spans="1:13" ht="184.5" thickTop="1" thickBot="1" x14ac:dyDescent="0.25">
      <c r="A46" s="103" t="s">
        <v>513</v>
      </c>
      <c r="B46" s="103" t="s">
        <v>514</v>
      </c>
      <c r="C46" s="103" t="s">
        <v>43</v>
      </c>
      <c r="D46" s="103" t="s">
        <v>515</v>
      </c>
      <c r="E46" s="318" t="s">
        <v>1411</v>
      </c>
      <c r="F46" s="318" t="s">
        <v>1335</v>
      </c>
      <c r="G46" s="318">
        <f t="shared" si="4"/>
        <v>5000000</v>
      </c>
      <c r="H46" s="318">
        <v>5000000</v>
      </c>
      <c r="I46" s="318">
        <v>0</v>
      </c>
      <c r="J46" s="318">
        <v>0</v>
      </c>
      <c r="K46" s="254"/>
      <c r="L46" s="261"/>
      <c r="M46" s="262"/>
    </row>
    <row r="47" spans="1:13" ht="367.5" hidden="1" thickTop="1" thickBot="1" x14ac:dyDescent="0.25">
      <c r="A47" s="128" t="s">
        <v>513</v>
      </c>
      <c r="B47" s="128" t="s">
        <v>514</v>
      </c>
      <c r="C47" s="128" t="s">
        <v>43</v>
      </c>
      <c r="D47" s="128" t="s">
        <v>515</v>
      </c>
      <c r="E47" s="196" t="s">
        <v>1372</v>
      </c>
      <c r="F47" s="196" t="s">
        <v>1334</v>
      </c>
      <c r="G47" s="196">
        <f t="shared" si="4"/>
        <v>0</v>
      </c>
      <c r="H47" s="196"/>
      <c r="I47" s="196"/>
      <c r="J47" s="196"/>
      <c r="K47" s="254"/>
      <c r="L47" s="261"/>
      <c r="M47" s="262"/>
    </row>
    <row r="48" spans="1:13" ht="276" hidden="1" thickTop="1" thickBot="1" x14ac:dyDescent="0.25">
      <c r="A48" s="128" t="s">
        <v>513</v>
      </c>
      <c r="B48" s="128" t="s">
        <v>514</v>
      </c>
      <c r="C48" s="128" t="s">
        <v>43</v>
      </c>
      <c r="D48" s="128" t="s">
        <v>515</v>
      </c>
      <c r="E48" s="196" t="s">
        <v>1412</v>
      </c>
      <c r="F48" s="196" t="s">
        <v>1377</v>
      </c>
      <c r="G48" s="196">
        <f>H48+I48</f>
        <v>0</v>
      </c>
      <c r="H48" s="196"/>
      <c r="I48" s="196"/>
      <c r="J48" s="196"/>
      <c r="K48" s="254"/>
      <c r="L48" s="261"/>
      <c r="M48" s="262"/>
    </row>
    <row r="49" spans="1:13" ht="321.75" hidden="1" thickTop="1" thickBot="1" x14ac:dyDescent="0.25">
      <c r="A49" s="128" t="s">
        <v>513</v>
      </c>
      <c r="B49" s="128" t="s">
        <v>514</v>
      </c>
      <c r="C49" s="128" t="s">
        <v>43</v>
      </c>
      <c r="D49" s="128" t="s">
        <v>515</v>
      </c>
      <c r="E49" s="196" t="s">
        <v>1438</v>
      </c>
      <c r="F49" s="196" t="s">
        <v>1045</v>
      </c>
      <c r="G49" s="196">
        <f t="shared" si="4"/>
        <v>0</v>
      </c>
      <c r="H49" s="196"/>
      <c r="I49" s="196"/>
      <c r="J49" s="196"/>
      <c r="K49" s="254"/>
      <c r="L49" s="261"/>
      <c r="M49" s="262"/>
    </row>
    <row r="50" spans="1:13" ht="230.25" hidden="1" thickTop="1" thickBot="1" x14ac:dyDescent="0.25">
      <c r="A50" s="128" t="s">
        <v>513</v>
      </c>
      <c r="B50" s="128" t="s">
        <v>514</v>
      </c>
      <c r="C50" s="128" t="s">
        <v>43</v>
      </c>
      <c r="D50" s="128" t="s">
        <v>515</v>
      </c>
      <c r="E50" s="196" t="s">
        <v>1436</v>
      </c>
      <c r="F50" s="196" t="s">
        <v>1437</v>
      </c>
      <c r="G50" s="196">
        <f t="shared" si="4"/>
        <v>0</v>
      </c>
      <c r="H50" s="196"/>
      <c r="I50" s="196"/>
      <c r="J50" s="196"/>
      <c r="K50" s="254"/>
      <c r="L50" s="261"/>
      <c r="M50" s="262"/>
    </row>
    <row r="51" spans="1:13" ht="276" hidden="1" thickTop="1" thickBot="1" x14ac:dyDescent="0.25">
      <c r="A51" s="128" t="s">
        <v>513</v>
      </c>
      <c r="B51" s="128" t="s">
        <v>514</v>
      </c>
      <c r="C51" s="128" t="s">
        <v>43</v>
      </c>
      <c r="D51" s="128" t="s">
        <v>515</v>
      </c>
      <c r="E51" s="196" t="s">
        <v>1332</v>
      </c>
      <c r="F51" s="196" t="s">
        <v>1333</v>
      </c>
      <c r="G51" s="196">
        <f t="shared" si="4"/>
        <v>0</v>
      </c>
      <c r="H51" s="196"/>
      <c r="I51" s="196"/>
      <c r="J51" s="196"/>
      <c r="K51" s="254"/>
      <c r="L51" s="261"/>
      <c r="M51" s="262"/>
    </row>
    <row r="52" spans="1:13" ht="391.5" hidden="1" thickTop="1" thickBot="1" x14ac:dyDescent="0.25">
      <c r="A52" s="128" t="s">
        <v>513</v>
      </c>
      <c r="B52" s="128" t="s">
        <v>514</v>
      </c>
      <c r="C52" s="128" t="s">
        <v>43</v>
      </c>
      <c r="D52" s="128" t="s">
        <v>515</v>
      </c>
      <c r="E52" s="467" t="s">
        <v>1360</v>
      </c>
      <c r="F52" s="196" t="s">
        <v>1361</v>
      </c>
      <c r="G52" s="196">
        <f t="shared" si="4"/>
        <v>0</v>
      </c>
      <c r="H52" s="196"/>
      <c r="I52" s="196"/>
      <c r="J52" s="196"/>
      <c r="K52" s="254"/>
      <c r="L52" s="261"/>
      <c r="M52" s="262"/>
    </row>
    <row r="53" spans="1:13" ht="230.25" hidden="1" thickTop="1" thickBot="1" x14ac:dyDescent="0.25">
      <c r="A53" s="128" t="s">
        <v>513</v>
      </c>
      <c r="B53" s="128" t="s">
        <v>514</v>
      </c>
      <c r="C53" s="128" t="s">
        <v>43</v>
      </c>
      <c r="D53" s="128" t="s">
        <v>515</v>
      </c>
      <c r="E53" s="196" t="s">
        <v>1312</v>
      </c>
      <c r="F53" s="196" t="s">
        <v>956</v>
      </c>
      <c r="G53" s="196">
        <f t="shared" si="4"/>
        <v>0</v>
      </c>
      <c r="H53" s="196"/>
      <c r="I53" s="196"/>
      <c r="J53" s="196"/>
      <c r="K53" s="254"/>
      <c r="L53" s="261"/>
      <c r="M53" s="262"/>
    </row>
    <row r="54" spans="1:13" ht="230.25" hidden="1" thickTop="1" thickBot="1" x14ac:dyDescent="0.25">
      <c r="A54" s="128" t="s">
        <v>513</v>
      </c>
      <c r="B54" s="128" t="s">
        <v>514</v>
      </c>
      <c r="C54" s="128" t="s">
        <v>43</v>
      </c>
      <c r="D54" s="128" t="s">
        <v>515</v>
      </c>
      <c r="E54" s="196" t="s">
        <v>1481</v>
      </c>
      <c r="F54" s="196" t="s">
        <v>1482</v>
      </c>
      <c r="G54" s="196">
        <f t="shared" si="4"/>
        <v>0</v>
      </c>
      <c r="H54" s="196"/>
      <c r="I54" s="196"/>
      <c r="J54" s="196"/>
      <c r="K54" s="254"/>
      <c r="L54" s="261"/>
      <c r="M54" s="262"/>
    </row>
    <row r="55" spans="1:13" ht="136.5" thickTop="1" thickBot="1" x14ac:dyDescent="0.25">
      <c r="A55" s="508" t="s">
        <v>152</v>
      </c>
      <c r="B55" s="508"/>
      <c r="C55" s="508"/>
      <c r="D55" s="509" t="s">
        <v>0</v>
      </c>
      <c r="E55" s="508"/>
      <c r="F55" s="508"/>
      <c r="G55" s="510">
        <f>G56</f>
        <v>2365027215.9200001</v>
      </c>
      <c r="H55" s="510">
        <f t="shared" ref="H55:J55" si="5">H56</f>
        <v>2104616704</v>
      </c>
      <c r="I55" s="510">
        <f t="shared" si="5"/>
        <v>260410511.92000002</v>
      </c>
      <c r="J55" s="510">
        <f t="shared" si="5"/>
        <v>50575911.920000002</v>
      </c>
      <c r="K55" s="96" t="b">
        <f>H55='d3'!E45</f>
        <v>1</v>
      </c>
      <c r="L55" s="480" t="b">
        <f>I55='d3'!J45</f>
        <v>1</v>
      </c>
      <c r="M55" s="600" t="b">
        <f>J55='d3'!K44</f>
        <v>1</v>
      </c>
    </row>
    <row r="56" spans="1:13" ht="172.5" customHeight="1" thickTop="1" thickBot="1" x14ac:dyDescent="0.25">
      <c r="A56" s="511" t="s">
        <v>153</v>
      </c>
      <c r="B56" s="511"/>
      <c r="C56" s="511"/>
      <c r="D56" s="512" t="s">
        <v>1</v>
      </c>
      <c r="E56" s="513"/>
      <c r="F56" s="513"/>
      <c r="G56" s="513">
        <f>SUM(G57:G100)</f>
        <v>2365027215.9200001</v>
      </c>
      <c r="H56" s="513">
        <f>SUM(H57:H100)</f>
        <v>2104616704</v>
      </c>
      <c r="I56" s="513">
        <f>SUM(I57:I100)</f>
        <v>260410511.92000002</v>
      </c>
      <c r="J56" s="513">
        <f>SUM(J57:J100)</f>
        <v>50575911.920000002</v>
      </c>
      <c r="K56" s="139"/>
      <c r="L56" s="139"/>
      <c r="M56" s="139"/>
    </row>
    <row r="57" spans="1:13" ht="138.75" thickTop="1" thickBot="1" x14ac:dyDescent="0.25">
      <c r="A57" s="103" t="s">
        <v>198</v>
      </c>
      <c r="B57" s="103" t="s">
        <v>199</v>
      </c>
      <c r="C57" s="103" t="s">
        <v>201</v>
      </c>
      <c r="D57" s="103" t="s">
        <v>202</v>
      </c>
      <c r="E57" s="321" t="s">
        <v>1429</v>
      </c>
      <c r="F57" s="318" t="s">
        <v>1177</v>
      </c>
      <c r="G57" s="318">
        <f t="shared" ref="G57:G74" si="6">H57+I57</f>
        <v>647450702</v>
      </c>
      <c r="H57" s="318">
        <f>'d3'!E47-H58-H59</f>
        <v>551264032</v>
      </c>
      <c r="I57" s="318">
        <f>'d3'!J47-I58-I59</f>
        <v>96186670</v>
      </c>
      <c r="J57" s="318">
        <f>'d3'!K47-J58-J59</f>
        <v>500000</v>
      </c>
      <c r="K57" s="96" t="b">
        <f>H57+H58+H59='d3'!E47</f>
        <v>1</v>
      </c>
      <c r="L57" s="480" t="b">
        <f>I57+I58+I59='d3'!J47</f>
        <v>1</v>
      </c>
      <c r="M57" s="480" t="b">
        <f>J57+J58+J59='d3'!K47</f>
        <v>1</v>
      </c>
    </row>
    <row r="58" spans="1:13" ht="184.5" hidden="1" thickTop="1" thickBot="1" x14ac:dyDescent="0.25">
      <c r="A58" s="41" t="s">
        <v>198</v>
      </c>
      <c r="B58" s="41" t="s">
        <v>199</v>
      </c>
      <c r="C58" s="41" t="s">
        <v>201</v>
      </c>
      <c r="D58" s="41" t="s">
        <v>202</v>
      </c>
      <c r="E58" s="258" t="s">
        <v>449</v>
      </c>
      <c r="F58" s="263" t="s">
        <v>450</v>
      </c>
      <c r="G58" s="73">
        <f>H58+I58</f>
        <v>0</v>
      </c>
      <c r="H58" s="73">
        <v>0</v>
      </c>
      <c r="I58" s="73">
        <f>(30333+15000)-45333</f>
        <v>0</v>
      </c>
      <c r="J58" s="73">
        <f>(30333+15000)-45333</f>
        <v>0</v>
      </c>
      <c r="K58" s="139"/>
      <c r="L58" s="139"/>
      <c r="M58" s="139"/>
    </row>
    <row r="59" spans="1:13" ht="367.5" thickTop="1" thickBot="1" x14ac:dyDescent="0.25">
      <c r="A59" s="103" t="s">
        <v>198</v>
      </c>
      <c r="B59" s="103" t="s">
        <v>199</v>
      </c>
      <c r="C59" s="103" t="s">
        <v>201</v>
      </c>
      <c r="D59" s="103" t="s">
        <v>202</v>
      </c>
      <c r="E59" s="318" t="s">
        <v>1419</v>
      </c>
      <c r="F59" s="318" t="s">
        <v>861</v>
      </c>
      <c r="G59" s="318">
        <f t="shared" si="6"/>
        <v>100000</v>
      </c>
      <c r="H59" s="318">
        <v>100000</v>
      </c>
      <c r="I59" s="318"/>
      <c r="J59" s="318"/>
      <c r="K59" s="139"/>
      <c r="L59" s="139"/>
      <c r="M59" s="139"/>
    </row>
    <row r="60" spans="1:13" ht="138.75" thickTop="1" thickBot="1" x14ac:dyDescent="0.25">
      <c r="A60" s="103" t="s">
        <v>642</v>
      </c>
      <c r="B60" s="103" t="s">
        <v>643</v>
      </c>
      <c r="C60" s="103" t="s">
        <v>204</v>
      </c>
      <c r="D60" s="103" t="s">
        <v>1288</v>
      </c>
      <c r="E60" s="321" t="s">
        <v>1429</v>
      </c>
      <c r="F60" s="318" t="s">
        <v>1177</v>
      </c>
      <c r="G60" s="318">
        <f t="shared" si="6"/>
        <v>596555748.91999996</v>
      </c>
      <c r="H60" s="318">
        <f>'d3'!E49-H61-H62-H63</f>
        <v>501207617</v>
      </c>
      <c r="I60" s="318">
        <f>'d3'!J49-I61-I62-I63</f>
        <v>95348131.920000002</v>
      </c>
      <c r="J60" s="318">
        <f>'d3'!K49-J61-J62-J63</f>
        <v>17725911.920000002</v>
      </c>
      <c r="K60" s="96" t="b">
        <f>H60+H61+H62+H63='d3'!E49</f>
        <v>1</v>
      </c>
      <c r="L60" s="480" t="b">
        <f>I60+I61+I62+I63='d3'!J49</f>
        <v>1</v>
      </c>
      <c r="M60" s="480" t="b">
        <f>J60+J61+J62='d3'!K49</f>
        <v>1</v>
      </c>
    </row>
    <row r="61" spans="1:13" ht="184.5" hidden="1" thickTop="1" thickBot="1" x14ac:dyDescent="0.25">
      <c r="A61" s="128" t="s">
        <v>642</v>
      </c>
      <c r="B61" s="128" t="s">
        <v>643</v>
      </c>
      <c r="C61" s="128" t="s">
        <v>204</v>
      </c>
      <c r="D61" s="128" t="s">
        <v>1288</v>
      </c>
      <c r="E61" s="255" t="s">
        <v>1415</v>
      </c>
      <c r="F61" s="196" t="s">
        <v>450</v>
      </c>
      <c r="G61" s="196">
        <f t="shared" si="6"/>
        <v>0</v>
      </c>
      <c r="H61" s="196">
        <v>0</v>
      </c>
      <c r="I61" s="196">
        <v>0</v>
      </c>
      <c r="J61" s="196">
        <v>0</v>
      </c>
      <c r="K61" s="258"/>
      <c r="L61" s="139"/>
      <c r="M61" s="139"/>
    </row>
    <row r="62" spans="1:13" ht="138.75" hidden="1" thickTop="1" thickBot="1" x14ac:dyDescent="0.25">
      <c r="A62" s="41" t="s">
        <v>642</v>
      </c>
      <c r="B62" s="41" t="s">
        <v>643</v>
      </c>
      <c r="C62" s="41" t="s">
        <v>204</v>
      </c>
      <c r="D62" s="128" t="s">
        <v>1288</v>
      </c>
      <c r="E62" s="255" t="s">
        <v>1176</v>
      </c>
      <c r="F62" s="196" t="s">
        <v>1177</v>
      </c>
      <c r="G62" s="73">
        <f>H62+I62</f>
        <v>0</v>
      </c>
      <c r="H62" s="73">
        <v>0</v>
      </c>
      <c r="I62" s="73">
        <v>0</v>
      </c>
      <c r="J62" s="73">
        <v>0</v>
      </c>
      <c r="K62" s="139"/>
      <c r="L62" s="139"/>
      <c r="M62" s="139"/>
    </row>
    <row r="63" spans="1:13" ht="367.5" thickTop="1" thickBot="1" x14ac:dyDescent="0.25">
      <c r="A63" s="103" t="s">
        <v>642</v>
      </c>
      <c r="B63" s="103" t="s">
        <v>643</v>
      </c>
      <c r="C63" s="103" t="s">
        <v>204</v>
      </c>
      <c r="D63" s="103" t="s">
        <v>1288</v>
      </c>
      <c r="E63" s="318" t="s">
        <v>1419</v>
      </c>
      <c r="F63" s="318" t="s">
        <v>861</v>
      </c>
      <c r="G63" s="318">
        <f t="shared" si="6"/>
        <v>200000</v>
      </c>
      <c r="H63" s="318">
        <v>200000</v>
      </c>
      <c r="I63" s="318"/>
      <c r="J63" s="318"/>
      <c r="K63" s="139"/>
      <c r="L63" s="139"/>
      <c r="M63" s="139"/>
    </row>
    <row r="64" spans="1:13" ht="276" thickTop="1" thickBot="1" x14ac:dyDescent="0.25">
      <c r="A64" s="103" t="s">
        <v>651</v>
      </c>
      <c r="B64" s="103" t="s">
        <v>652</v>
      </c>
      <c r="C64" s="103" t="s">
        <v>207</v>
      </c>
      <c r="D64" s="103" t="s">
        <v>1289</v>
      </c>
      <c r="E64" s="321" t="s">
        <v>1429</v>
      </c>
      <c r="F64" s="318" t="s">
        <v>1177</v>
      </c>
      <c r="G64" s="318">
        <f t="shared" si="6"/>
        <v>32303482</v>
      </c>
      <c r="H64" s="318">
        <f>'d3'!E50-H65</f>
        <v>32131332</v>
      </c>
      <c r="I64" s="318">
        <f>'d3'!J50-I65</f>
        <v>172150</v>
      </c>
      <c r="J64" s="318">
        <f>'d3'!K50-J65</f>
        <v>0</v>
      </c>
      <c r="K64" s="96" t="b">
        <f>H64+H65='d3'!E50</f>
        <v>1</v>
      </c>
      <c r="L64" s="96" t="b">
        <f>I64+I65='d3'!J50</f>
        <v>1</v>
      </c>
      <c r="M64" s="96" t="b">
        <f>J64+J65='d3'!K50</f>
        <v>1</v>
      </c>
    </row>
    <row r="65" spans="1:13" ht="230.25" hidden="1" thickTop="1" thickBot="1" x14ac:dyDescent="0.25">
      <c r="A65" s="41" t="s">
        <v>651</v>
      </c>
      <c r="B65" s="41" t="s">
        <v>652</v>
      </c>
      <c r="C65" s="41" t="s">
        <v>207</v>
      </c>
      <c r="D65" s="41" t="s">
        <v>497</v>
      </c>
      <c r="E65" s="258" t="s">
        <v>584</v>
      </c>
      <c r="F65" s="73" t="s">
        <v>407</v>
      </c>
      <c r="G65" s="73">
        <f t="shared" si="6"/>
        <v>0</v>
      </c>
      <c r="H65" s="73">
        <v>0</v>
      </c>
      <c r="I65" s="73"/>
      <c r="J65" s="73"/>
      <c r="K65" s="258" t="s">
        <v>564</v>
      </c>
      <c r="L65" s="139"/>
      <c r="M65" s="139"/>
    </row>
    <row r="66" spans="1:13" ht="184.5" thickTop="1" thickBot="1" x14ac:dyDescent="0.25">
      <c r="A66" s="103" t="s">
        <v>1002</v>
      </c>
      <c r="B66" s="103" t="s">
        <v>1003</v>
      </c>
      <c r="C66" s="103" t="s">
        <v>207</v>
      </c>
      <c r="D66" s="103" t="s">
        <v>1290</v>
      </c>
      <c r="E66" s="321" t="s">
        <v>1429</v>
      </c>
      <c r="F66" s="318" t="s">
        <v>1177</v>
      </c>
      <c r="G66" s="318">
        <f t="shared" si="6"/>
        <v>20546805</v>
      </c>
      <c r="H66" s="318">
        <f>'d3'!E51</f>
        <v>19796805</v>
      </c>
      <c r="I66" s="318">
        <f>'d3'!J51</f>
        <v>750000</v>
      </c>
      <c r="J66" s="318">
        <f>'d3'!K51</f>
        <v>750000</v>
      </c>
      <c r="K66" s="264"/>
      <c r="L66" s="139"/>
      <c r="M66" s="139"/>
    </row>
    <row r="67" spans="1:13" ht="138.75" thickTop="1" thickBot="1" x14ac:dyDescent="0.25">
      <c r="A67" s="103" t="s">
        <v>660</v>
      </c>
      <c r="B67" s="103" t="s">
        <v>661</v>
      </c>
      <c r="C67" s="103" t="s">
        <v>204</v>
      </c>
      <c r="D67" s="103" t="s">
        <v>1291</v>
      </c>
      <c r="E67" s="321" t="s">
        <v>1429</v>
      </c>
      <c r="F67" s="318" t="s">
        <v>1177</v>
      </c>
      <c r="G67" s="318">
        <f t="shared" si="6"/>
        <v>722076353</v>
      </c>
      <c r="H67" s="318">
        <f>'d3'!E53</f>
        <v>722076353</v>
      </c>
      <c r="I67" s="318">
        <f>'d3'!J53</f>
        <v>0</v>
      </c>
      <c r="J67" s="318">
        <f>'d3'!K53</f>
        <v>0</v>
      </c>
      <c r="K67" s="264"/>
      <c r="L67" s="139"/>
      <c r="M67" s="139"/>
    </row>
    <row r="68" spans="1:13" ht="184.5" thickTop="1" thickBot="1" x14ac:dyDescent="0.25">
      <c r="A68" s="103" t="s">
        <v>1138</v>
      </c>
      <c r="B68" s="103" t="s">
        <v>1139</v>
      </c>
      <c r="C68" s="103" t="s">
        <v>207</v>
      </c>
      <c r="D68" s="103" t="s">
        <v>1292</v>
      </c>
      <c r="E68" s="321" t="s">
        <v>1429</v>
      </c>
      <c r="F68" s="318" t="s">
        <v>1177</v>
      </c>
      <c r="G68" s="318">
        <f t="shared" ref="G68" si="7">H68+I68</f>
        <v>10990650</v>
      </c>
      <c r="H68" s="318">
        <f>'d3'!E54</f>
        <v>10990650</v>
      </c>
      <c r="I68" s="318">
        <f>'d3'!J54</f>
        <v>0</v>
      </c>
      <c r="J68" s="318">
        <f>'d3'!K54</f>
        <v>0</v>
      </c>
      <c r="K68" s="264"/>
      <c r="L68" s="139"/>
      <c r="M68" s="139"/>
    </row>
    <row r="69" spans="1:13" ht="138.75" hidden="1" thickTop="1" thickBot="1" x14ac:dyDescent="0.25">
      <c r="A69" s="103" t="s">
        <v>933</v>
      </c>
      <c r="B69" s="103" t="s">
        <v>934</v>
      </c>
      <c r="C69" s="103" t="s">
        <v>204</v>
      </c>
      <c r="D69" s="103" t="s">
        <v>937</v>
      </c>
      <c r="E69" s="594" t="s">
        <v>1167</v>
      </c>
      <c r="F69" s="595"/>
      <c r="G69" s="318">
        <f t="shared" si="6"/>
        <v>0</v>
      </c>
      <c r="H69" s="318">
        <f>'d3'!E57</f>
        <v>0</v>
      </c>
      <c r="I69" s="318">
        <f>'d3'!J57</f>
        <v>0</v>
      </c>
      <c r="J69" s="318">
        <f>'d3'!K57</f>
        <v>0</v>
      </c>
      <c r="K69" s="267"/>
      <c r="L69" s="139"/>
      <c r="M69" s="139"/>
    </row>
    <row r="70" spans="1:13" ht="138.75" thickTop="1" thickBot="1" x14ac:dyDescent="0.25">
      <c r="A70" s="103" t="s">
        <v>662</v>
      </c>
      <c r="B70" s="103" t="s">
        <v>206</v>
      </c>
      <c r="C70" s="103" t="s">
        <v>181</v>
      </c>
      <c r="D70" s="103" t="s">
        <v>499</v>
      </c>
      <c r="E70" s="321" t="s">
        <v>1429</v>
      </c>
      <c r="F70" s="318" t="s">
        <v>1177</v>
      </c>
      <c r="G70" s="318">
        <f t="shared" si="6"/>
        <v>39433020</v>
      </c>
      <c r="H70" s="318">
        <f>'d3'!E58-H71</f>
        <v>38329360</v>
      </c>
      <c r="I70" s="318">
        <f>'d3'!J58-I71</f>
        <v>1103660</v>
      </c>
      <c r="J70" s="318">
        <f>'d3'!K58-J71</f>
        <v>0</v>
      </c>
      <c r="K70" s="96" t="b">
        <f>H70+H71='d3'!E58</f>
        <v>1</v>
      </c>
      <c r="L70" s="96" t="b">
        <f>I70+I71='d3'!J58</f>
        <v>1</v>
      </c>
      <c r="M70" s="96" t="b">
        <f>J70+J71='d3'!K58</f>
        <v>1</v>
      </c>
    </row>
    <row r="71" spans="1:13" ht="367.5" thickTop="1" thickBot="1" x14ac:dyDescent="0.25">
      <c r="A71" s="103" t="s">
        <v>662</v>
      </c>
      <c r="B71" s="103" t="s">
        <v>206</v>
      </c>
      <c r="C71" s="103" t="s">
        <v>181</v>
      </c>
      <c r="D71" s="103" t="s">
        <v>499</v>
      </c>
      <c r="E71" s="318" t="s">
        <v>1419</v>
      </c>
      <c r="F71" s="318" t="s">
        <v>861</v>
      </c>
      <c r="G71" s="318">
        <f t="shared" si="6"/>
        <v>50000</v>
      </c>
      <c r="H71" s="318">
        <v>50000</v>
      </c>
      <c r="I71" s="318"/>
      <c r="J71" s="318"/>
      <c r="K71" s="139"/>
      <c r="L71" s="139"/>
      <c r="M71" s="139"/>
    </row>
    <row r="72" spans="1:13" ht="184.5" thickTop="1" thickBot="1" x14ac:dyDescent="0.25">
      <c r="A72" s="103" t="s">
        <v>663</v>
      </c>
      <c r="B72" s="103" t="s">
        <v>664</v>
      </c>
      <c r="C72" s="103" t="s">
        <v>209</v>
      </c>
      <c r="D72" s="103" t="s">
        <v>665</v>
      </c>
      <c r="E72" s="321" t="s">
        <v>1429</v>
      </c>
      <c r="F72" s="318" t="s">
        <v>1177</v>
      </c>
      <c r="G72" s="318">
        <f t="shared" si="6"/>
        <v>201107896</v>
      </c>
      <c r="H72" s="318">
        <f>'d3'!E60-H73</f>
        <v>165769836</v>
      </c>
      <c r="I72" s="318">
        <f>'d3'!J60-I73</f>
        <v>35338060</v>
      </c>
      <c r="J72" s="318">
        <f>'d3'!K60-J73</f>
        <v>300000</v>
      </c>
      <c r="K72" s="96" t="b">
        <f>H72+H73='d3'!E60</f>
        <v>1</v>
      </c>
      <c r="L72" s="96" t="b">
        <f>I72+I73='d3'!J60</f>
        <v>1</v>
      </c>
      <c r="M72" s="96" t="b">
        <f>J72+J73='d3'!K60</f>
        <v>1</v>
      </c>
    </row>
    <row r="73" spans="1:13" ht="367.5" thickTop="1" thickBot="1" x14ac:dyDescent="0.25">
      <c r="A73" s="103" t="s">
        <v>663</v>
      </c>
      <c r="B73" s="103" t="s">
        <v>664</v>
      </c>
      <c r="C73" s="103" t="s">
        <v>209</v>
      </c>
      <c r="D73" s="103" t="s">
        <v>665</v>
      </c>
      <c r="E73" s="318" t="s">
        <v>1419</v>
      </c>
      <c r="F73" s="318" t="s">
        <v>861</v>
      </c>
      <c r="G73" s="318">
        <f t="shared" si="6"/>
        <v>50000</v>
      </c>
      <c r="H73" s="318">
        <v>50000</v>
      </c>
      <c r="I73" s="318"/>
      <c r="J73" s="318"/>
      <c r="K73" s="139"/>
      <c r="L73" s="139"/>
      <c r="M73" s="139"/>
    </row>
    <row r="74" spans="1:13" ht="184.5" thickTop="1" thickBot="1" x14ac:dyDescent="0.25">
      <c r="A74" s="103" t="s">
        <v>667</v>
      </c>
      <c r="B74" s="103" t="s">
        <v>666</v>
      </c>
      <c r="C74" s="103" t="s">
        <v>209</v>
      </c>
      <c r="D74" s="103" t="s">
        <v>668</v>
      </c>
      <c r="E74" s="321" t="s">
        <v>1429</v>
      </c>
      <c r="F74" s="318" t="s">
        <v>1177</v>
      </c>
      <c r="G74" s="318">
        <f t="shared" si="6"/>
        <v>25730400</v>
      </c>
      <c r="H74" s="318">
        <f>'d3'!E61</f>
        <v>25730400</v>
      </c>
      <c r="I74" s="318">
        <f>'d3'!J61</f>
        <v>0</v>
      </c>
      <c r="J74" s="318">
        <f>'d3'!K61</f>
        <v>0</v>
      </c>
      <c r="K74" s="139"/>
      <c r="L74" s="139"/>
      <c r="M74" s="139"/>
    </row>
    <row r="75" spans="1:13" ht="138.75" thickTop="1" thickBot="1" x14ac:dyDescent="0.25">
      <c r="A75" s="103" t="s">
        <v>672</v>
      </c>
      <c r="B75" s="103" t="s">
        <v>673</v>
      </c>
      <c r="C75" s="103" t="s">
        <v>210</v>
      </c>
      <c r="D75" s="103" t="s">
        <v>501</v>
      </c>
      <c r="E75" s="321" t="s">
        <v>1429</v>
      </c>
      <c r="F75" s="318" t="s">
        <v>1177</v>
      </c>
      <c r="G75" s="318">
        <f t="shared" ref="G75" si="8">H75+I75</f>
        <v>24360623</v>
      </c>
      <c r="H75" s="318">
        <f>'d3'!E63</f>
        <v>23848783</v>
      </c>
      <c r="I75" s="318">
        <f>'d3'!J63</f>
        <v>511840</v>
      </c>
      <c r="J75" s="318">
        <f>'d3'!K63</f>
        <v>300000</v>
      </c>
      <c r="K75" s="139"/>
      <c r="L75" s="139"/>
      <c r="M75" s="139"/>
    </row>
    <row r="76" spans="1:13" ht="138.75" thickTop="1" thickBot="1" x14ac:dyDescent="0.25">
      <c r="A76" s="103" t="s">
        <v>674</v>
      </c>
      <c r="B76" s="103" t="s">
        <v>675</v>
      </c>
      <c r="C76" s="103" t="s">
        <v>210</v>
      </c>
      <c r="D76" s="103" t="s">
        <v>337</v>
      </c>
      <c r="E76" s="321" t="s">
        <v>1429</v>
      </c>
      <c r="F76" s="318" t="s">
        <v>1177</v>
      </c>
      <c r="G76" s="318">
        <f>H76+I76</f>
        <v>534300</v>
      </c>
      <c r="H76" s="318">
        <f>'d3'!E64-H77</f>
        <v>534300</v>
      </c>
      <c r="I76" s="318">
        <f>'d3'!J64-I77</f>
        <v>0</v>
      </c>
      <c r="J76" s="318">
        <f>'d3'!K64-J77</f>
        <v>0</v>
      </c>
      <c r="K76" s="598" t="b">
        <f>H76+H77='d3'!E64</f>
        <v>1</v>
      </c>
      <c r="L76" s="599" t="b">
        <f>I76+I77='d3'!J64</f>
        <v>1</v>
      </c>
      <c r="M76" s="599" t="b">
        <f>J76+J77='d3'!K64</f>
        <v>1</v>
      </c>
    </row>
    <row r="77" spans="1:13" ht="230.25" hidden="1" customHeight="1" thickTop="1" thickBot="1" x14ac:dyDescent="0.25">
      <c r="A77" s="596" t="s">
        <v>674</v>
      </c>
      <c r="B77" s="596" t="s">
        <v>675</v>
      </c>
      <c r="C77" s="596" t="s">
        <v>210</v>
      </c>
      <c r="D77" s="596" t="s">
        <v>337</v>
      </c>
      <c r="E77" s="321" t="s">
        <v>1176</v>
      </c>
      <c r="F77" s="318" t="s">
        <v>1177</v>
      </c>
      <c r="G77" s="597">
        <f>H77+I77</f>
        <v>0</v>
      </c>
      <c r="H77" s="597"/>
      <c r="I77" s="597"/>
      <c r="J77" s="597"/>
      <c r="K77" s="258" t="s">
        <v>565</v>
      </c>
      <c r="L77" s="139"/>
      <c r="M77" s="139"/>
    </row>
    <row r="78" spans="1:13" ht="138.75" thickTop="1" thickBot="1" x14ac:dyDescent="0.25">
      <c r="A78" s="103" t="s">
        <v>678</v>
      </c>
      <c r="B78" s="103" t="s">
        <v>679</v>
      </c>
      <c r="C78" s="103" t="s">
        <v>210</v>
      </c>
      <c r="D78" s="103" t="s">
        <v>680</v>
      </c>
      <c r="E78" s="321" t="s">
        <v>1429</v>
      </c>
      <c r="F78" s="318" t="s">
        <v>1177</v>
      </c>
      <c r="G78" s="318">
        <f t="shared" ref="G78:G79" si="9">H78+I78</f>
        <v>1114123</v>
      </c>
      <c r="H78" s="318">
        <f>'d3'!E66</f>
        <v>1114123</v>
      </c>
      <c r="I78" s="318">
        <f>'d3'!J66</f>
        <v>0</v>
      </c>
      <c r="J78" s="318">
        <f>'d3'!K66</f>
        <v>0</v>
      </c>
      <c r="K78" s="139"/>
      <c r="L78" s="139"/>
      <c r="M78" s="139"/>
    </row>
    <row r="79" spans="1:13" ht="138.75" thickTop="1" thickBot="1" x14ac:dyDescent="0.25">
      <c r="A79" s="103" t="s">
        <v>681</v>
      </c>
      <c r="B79" s="103" t="s">
        <v>682</v>
      </c>
      <c r="C79" s="103" t="s">
        <v>210</v>
      </c>
      <c r="D79" s="103" t="s">
        <v>683</v>
      </c>
      <c r="E79" s="321" t="s">
        <v>1429</v>
      </c>
      <c r="F79" s="318" t="s">
        <v>1177</v>
      </c>
      <c r="G79" s="318">
        <f t="shared" si="9"/>
        <v>4927300</v>
      </c>
      <c r="H79" s="318">
        <f>'d3'!E67</f>
        <v>4927300</v>
      </c>
      <c r="I79" s="318">
        <f>'d3'!J67</f>
        <v>0</v>
      </c>
      <c r="J79" s="318">
        <f>'d3'!K67</f>
        <v>0</v>
      </c>
      <c r="K79" s="139"/>
      <c r="L79" s="139"/>
      <c r="M79" s="139"/>
    </row>
    <row r="80" spans="1:13" ht="138.75" thickTop="1" thickBot="1" x14ac:dyDescent="0.25">
      <c r="A80" s="103" t="s">
        <v>648</v>
      </c>
      <c r="B80" s="103" t="s">
        <v>649</v>
      </c>
      <c r="C80" s="103" t="s">
        <v>210</v>
      </c>
      <c r="D80" s="103" t="s">
        <v>650</v>
      </c>
      <c r="E80" s="321" t="s">
        <v>1429</v>
      </c>
      <c r="F80" s="318" t="s">
        <v>1177</v>
      </c>
      <c r="G80" s="318">
        <f t="shared" ref="G80:G81" si="10">H80+I80</f>
        <v>4021213</v>
      </c>
      <c r="H80" s="318">
        <f>'d3'!E68</f>
        <v>4021213</v>
      </c>
      <c r="I80" s="318">
        <f>'d3'!J68</f>
        <v>0</v>
      </c>
      <c r="J80" s="318">
        <f>'d3'!K68</f>
        <v>0</v>
      </c>
      <c r="K80" s="139"/>
      <c r="L80" s="139"/>
      <c r="M80" s="139"/>
    </row>
    <row r="81" spans="1:13" ht="367.5" hidden="1" customHeight="1" thickTop="1" thickBot="1" x14ac:dyDescent="0.25">
      <c r="A81" s="41" t="s">
        <v>656</v>
      </c>
      <c r="B81" s="41" t="s">
        <v>657</v>
      </c>
      <c r="C81" s="41" t="s">
        <v>210</v>
      </c>
      <c r="D81" s="41" t="s">
        <v>658</v>
      </c>
      <c r="E81" s="255" t="s">
        <v>1176</v>
      </c>
      <c r="F81" s="196" t="s">
        <v>1177</v>
      </c>
      <c r="G81" s="73">
        <f t="shared" si="10"/>
        <v>0</v>
      </c>
      <c r="H81" s="73">
        <f>'d3'!E70</f>
        <v>0</v>
      </c>
      <c r="I81" s="73">
        <f>'d3'!J70</f>
        <v>0</v>
      </c>
      <c r="J81" s="73">
        <f>'d3'!K70</f>
        <v>0</v>
      </c>
      <c r="K81" s="139"/>
      <c r="L81" s="139"/>
      <c r="M81" s="139"/>
    </row>
    <row r="82" spans="1:13" ht="321.75" hidden="1" customHeight="1" thickTop="1" thickBot="1" x14ac:dyDescent="0.25">
      <c r="A82" s="41" t="s">
        <v>985</v>
      </c>
      <c r="B82" s="41" t="s">
        <v>986</v>
      </c>
      <c r="C82" s="41" t="s">
        <v>210</v>
      </c>
      <c r="D82" s="41" t="s">
        <v>987</v>
      </c>
      <c r="E82" s="255" t="s">
        <v>1176</v>
      </c>
      <c r="F82" s="196" t="s">
        <v>1177</v>
      </c>
      <c r="G82" s="73">
        <f t="shared" ref="G82" si="11">H82+I82</f>
        <v>0</v>
      </c>
      <c r="H82" s="73">
        <f>'d3'!E71</f>
        <v>0</v>
      </c>
      <c r="I82" s="73">
        <f>'d3'!J71</f>
        <v>0</v>
      </c>
      <c r="J82" s="73">
        <f>'d3'!K71</f>
        <v>0</v>
      </c>
      <c r="K82" s="139"/>
      <c r="L82" s="139"/>
      <c r="M82" s="139"/>
    </row>
    <row r="83" spans="1:13" ht="409.6" hidden="1" customHeight="1" thickTop="1" thickBot="1" x14ac:dyDescent="0.25">
      <c r="A83" s="41" t="s">
        <v>1005</v>
      </c>
      <c r="B83" s="41" t="s">
        <v>1007</v>
      </c>
      <c r="C83" s="41" t="s">
        <v>210</v>
      </c>
      <c r="D83" s="41" t="s">
        <v>1009</v>
      </c>
      <c r="E83" s="255" t="s">
        <v>1176</v>
      </c>
      <c r="F83" s="196" t="s">
        <v>1177</v>
      </c>
      <c r="G83" s="73">
        <f>H83+I83</f>
        <v>0</v>
      </c>
      <c r="H83" s="73">
        <f>'d3'!E73</f>
        <v>0</v>
      </c>
      <c r="I83" s="73">
        <f>'d3'!J73</f>
        <v>0</v>
      </c>
      <c r="J83" s="73">
        <f>'d3'!K73</f>
        <v>0</v>
      </c>
      <c r="K83" s="139"/>
      <c r="L83" s="139"/>
      <c r="M83" s="139"/>
    </row>
    <row r="84" spans="1:13" ht="409.6" hidden="1" customHeight="1" thickTop="1" x14ac:dyDescent="0.2">
      <c r="A84" s="755" t="s">
        <v>1024</v>
      </c>
      <c r="B84" s="755" t="s">
        <v>1025</v>
      </c>
      <c r="C84" s="755" t="s">
        <v>210</v>
      </c>
      <c r="D84" s="755" t="s">
        <v>1026</v>
      </c>
      <c r="E84" s="255" t="s">
        <v>1176</v>
      </c>
      <c r="F84" s="196" t="s">
        <v>1177</v>
      </c>
      <c r="G84" s="844">
        <f>H84+I84</f>
        <v>0</v>
      </c>
      <c r="H84" s="844">
        <f>'d3'!E74</f>
        <v>0</v>
      </c>
      <c r="I84" s="844">
        <f>'d3'!J74</f>
        <v>0</v>
      </c>
      <c r="J84" s="844">
        <f>'d3'!K74</f>
        <v>0</v>
      </c>
      <c r="K84" s="139"/>
      <c r="L84" s="139"/>
      <c r="M84" s="139"/>
    </row>
    <row r="85" spans="1:13" ht="122.25" hidden="1" customHeight="1" thickBot="1" x14ac:dyDescent="0.25">
      <c r="A85" s="736"/>
      <c r="B85" s="736"/>
      <c r="C85" s="736"/>
      <c r="D85" s="736"/>
      <c r="E85" s="255" t="s">
        <v>1176</v>
      </c>
      <c r="F85" s="196" t="s">
        <v>1177</v>
      </c>
      <c r="G85" s="736"/>
      <c r="H85" s="736"/>
      <c r="I85" s="736">
        <f>'d3'!J75</f>
        <v>0</v>
      </c>
      <c r="J85" s="736">
        <f>'d3'!K75</f>
        <v>0</v>
      </c>
      <c r="K85" s="139"/>
      <c r="L85" s="139"/>
      <c r="M85" s="139"/>
    </row>
    <row r="86" spans="1:13" ht="230.25" hidden="1" thickTop="1" thickBot="1" x14ac:dyDescent="0.25">
      <c r="A86" s="128" t="s">
        <v>645</v>
      </c>
      <c r="B86" s="128" t="s">
        <v>646</v>
      </c>
      <c r="C86" s="128" t="s">
        <v>210</v>
      </c>
      <c r="D86" s="128" t="s">
        <v>647</v>
      </c>
      <c r="E86" s="255" t="s">
        <v>1429</v>
      </c>
      <c r="F86" s="196" t="s">
        <v>1177</v>
      </c>
      <c r="G86" s="196">
        <f t="shared" ref="G86:G100" si="12">H86+I86</f>
        <v>0</v>
      </c>
      <c r="H86" s="196">
        <f>'d3'!E76</f>
        <v>0</v>
      </c>
      <c r="I86" s="196">
        <f>'d3'!J76</f>
        <v>0</v>
      </c>
      <c r="J86" s="196">
        <f>'d3'!K76</f>
        <v>0</v>
      </c>
      <c r="K86" s="139"/>
      <c r="L86" s="139"/>
      <c r="M86" s="139"/>
    </row>
    <row r="87" spans="1:13" ht="276" hidden="1" thickTop="1" thickBot="1" x14ac:dyDescent="0.25">
      <c r="A87" s="128" t="s">
        <v>946</v>
      </c>
      <c r="B87" s="128" t="s">
        <v>947</v>
      </c>
      <c r="C87" s="128" t="s">
        <v>210</v>
      </c>
      <c r="D87" s="128" t="s">
        <v>1483</v>
      </c>
      <c r="E87" s="255" t="s">
        <v>1429</v>
      </c>
      <c r="F87" s="196" t="s">
        <v>1177</v>
      </c>
      <c r="G87" s="196">
        <f t="shared" si="12"/>
        <v>0</v>
      </c>
      <c r="H87" s="196">
        <f>'d3'!E77</f>
        <v>0</v>
      </c>
      <c r="I87" s="196">
        <f>'d3'!J77</f>
        <v>0</v>
      </c>
      <c r="J87" s="196">
        <f>'d3'!K77</f>
        <v>0</v>
      </c>
      <c r="K87" s="139"/>
      <c r="L87" s="139"/>
      <c r="M87" s="139"/>
    </row>
    <row r="88" spans="1:13" ht="276" hidden="1" thickTop="1" thickBot="1" x14ac:dyDescent="0.25">
      <c r="A88" s="128" t="s">
        <v>1011</v>
      </c>
      <c r="B88" s="128" t="s">
        <v>1013</v>
      </c>
      <c r="C88" s="128" t="s">
        <v>210</v>
      </c>
      <c r="D88" s="128" t="s">
        <v>1014</v>
      </c>
      <c r="E88" s="255" t="s">
        <v>1429</v>
      </c>
      <c r="F88" s="196" t="s">
        <v>1177</v>
      </c>
      <c r="G88" s="196">
        <f t="shared" si="12"/>
        <v>0</v>
      </c>
      <c r="H88" s="196">
        <f>'d3'!E79</f>
        <v>0</v>
      </c>
      <c r="I88" s="196">
        <f>'d3'!J79</f>
        <v>0</v>
      </c>
      <c r="J88" s="196">
        <f>'d3'!K79</f>
        <v>0</v>
      </c>
      <c r="K88" s="139"/>
      <c r="L88" s="139"/>
      <c r="M88" s="139"/>
    </row>
    <row r="89" spans="1:13" ht="230.25" hidden="1" thickTop="1" thickBot="1" x14ac:dyDescent="0.25">
      <c r="A89" s="41" t="s">
        <v>1057</v>
      </c>
      <c r="B89" s="41" t="s">
        <v>1058</v>
      </c>
      <c r="C89" s="41" t="s">
        <v>210</v>
      </c>
      <c r="D89" s="41" t="s">
        <v>1056</v>
      </c>
      <c r="E89" s="258" t="s">
        <v>583</v>
      </c>
      <c r="F89" s="73" t="s">
        <v>411</v>
      </c>
      <c r="G89" s="73">
        <f t="shared" si="12"/>
        <v>0</v>
      </c>
      <c r="H89" s="73">
        <f>'d3'!E80</f>
        <v>0</v>
      </c>
      <c r="I89" s="73">
        <f>'d3'!J80</f>
        <v>0</v>
      </c>
      <c r="J89" s="73">
        <f>'d3'!K80</f>
        <v>0</v>
      </c>
      <c r="K89" s="139"/>
      <c r="L89" s="139"/>
      <c r="M89" s="139"/>
    </row>
    <row r="90" spans="1:13" ht="367.5" thickTop="1" thickBot="1" x14ac:dyDescent="0.25">
      <c r="A90" s="103" t="s">
        <v>1423</v>
      </c>
      <c r="B90" s="103" t="s">
        <v>1424</v>
      </c>
      <c r="C90" s="103" t="s">
        <v>210</v>
      </c>
      <c r="D90" s="103" t="s">
        <v>1425</v>
      </c>
      <c r="E90" s="318" t="s">
        <v>1419</v>
      </c>
      <c r="F90" s="318" t="s">
        <v>861</v>
      </c>
      <c r="G90" s="318">
        <f t="shared" si="12"/>
        <v>5000000</v>
      </c>
      <c r="H90" s="318">
        <f>'d3'!E82</f>
        <v>0</v>
      </c>
      <c r="I90" s="318">
        <f>'d3'!J82</f>
        <v>5000000</v>
      </c>
      <c r="J90" s="318">
        <f>'d3'!K82</f>
        <v>5000000</v>
      </c>
      <c r="K90" s="139"/>
      <c r="L90" s="139"/>
      <c r="M90" s="139"/>
    </row>
    <row r="91" spans="1:13" ht="367.5" hidden="1" thickTop="1" thickBot="1" x14ac:dyDescent="0.25">
      <c r="A91" s="128" t="s">
        <v>1426</v>
      </c>
      <c r="B91" s="128" t="s">
        <v>1427</v>
      </c>
      <c r="C91" s="128" t="s">
        <v>210</v>
      </c>
      <c r="D91" s="128" t="s">
        <v>1428</v>
      </c>
      <c r="E91" s="196" t="s">
        <v>1419</v>
      </c>
      <c r="F91" s="196" t="s">
        <v>861</v>
      </c>
      <c r="G91" s="196">
        <f t="shared" si="12"/>
        <v>0</v>
      </c>
      <c r="H91" s="196">
        <f>'d3'!E83</f>
        <v>0</v>
      </c>
      <c r="I91" s="196">
        <f>'d3'!J83</f>
        <v>0</v>
      </c>
      <c r="J91" s="196">
        <f>'d3'!K83</f>
        <v>0</v>
      </c>
      <c r="K91" s="139"/>
      <c r="L91" s="139"/>
      <c r="M91" s="139"/>
    </row>
    <row r="92" spans="1:13" ht="230.25" hidden="1" thickTop="1" thickBot="1" x14ac:dyDescent="0.25">
      <c r="A92" s="128" t="s">
        <v>1499</v>
      </c>
      <c r="B92" s="128" t="s">
        <v>1500</v>
      </c>
      <c r="C92" s="128" t="s">
        <v>210</v>
      </c>
      <c r="D92" s="128" t="s">
        <v>1504</v>
      </c>
      <c r="E92" s="255" t="s">
        <v>1429</v>
      </c>
      <c r="F92" s="196" t="s">
        <v>1177</v>
      </c>
      <c r="G92" s="196">
        <f t="shared" si="12"/>
        <v>0</v>
      </c>
      <c r="H92" s="196">
        <f>'d3'!E85</f>
        <v>0</v>
      </c>
      <c r="I92" s="196">
        <f>'d3'!J85</f>
        <v>0</v>
      </c>
      <c r="J92" s="196">
        <f>'d3'!K85</f>
        <v>0</v>
      </c>
      <c r="K92" s="139"/>
      <c r="L92" s="139"/>
      <c r="M92" s="139"/>
    </row>
    <row r="93" spans="1:13" ht="230.25" hidden="1" thickTop="1" thickBot="1" x14ac:dyDescent="0.25">
      <c r="A93" s="128" t="s">
        <v>1501</v>
      </c>
      <c r="B93" s="128" t="s">
        <v>1502</v>
      </c>
      <c r="C93" s="128" t="s">
        <v>210</v>
      </c>
      <c r="D93" s="128" t="s">
        <v>1503</v>
      </c>
      <c r="E93" s="255" t="s">
        <v>1429</v>
      </c>
      <c r="F93" s="196" t="s">
        <v>1177</v>
      </c>
      <c r="G93" s="196">
        <f t="shared" si="12"/>
        <v>0</v>
      </c>
      <c r="H93" s="196">
        <f>'d3'!E86</f>
        <v>0</v>
      </c>
      <c r="I93" s="196">
        <f>'d3'!J86</f>
        <v>0</v>
      </c>
      <c r="J93" s="196">
        <f>'d3'!K86</f>
        <v>0</v>
      </c>
      <c r="K93" s="139"/>
      <c r="L93" s="139"/>
      <c r="M93" s="139"/>
    </row>
    <row r="94" spans="1:13" ht="230.25" thickTop="1" thickBot="1" x14ac:dyDescent="0.25">
      <c r="A94" s="103" t="s">
        <v>431</v>
      </c>
      <c r="B94" s="103" t="s">
        <v>432</v>
      </c>
      <c r="C94" s="103" t="s">
        <v>185</v>
      </c>
      <c r="D94" s="103" t="s">
        <v>430</v>
      </c>
      <c r="E94" s="321" t="s">
        <v>1429</v>
      </c>
      <c r="F94" s="318" t="s">
        <v>1177</v>
      </c>
      <c r="G94" s="318">
        <f t="shared" si="12"/>
        <v>715000</v>
      </c>
      <c r="H94" s="318">
        <f>'d3'!E88</f>
        <v>715000</v>
      </c>
      <c r="I94" s="318">
        <f>'d3'!J88</f>
        <v>0</v>
      </c>
      <c r="J94" s="318">
        <f>'d3'!K88</f>
        <v>0</v>
      </c>
      <c r="K94" s="139"/>
      <c r="L94" s="139"/>
      <c r="M94" s="139"/>
    </row>
    <row r="95" spans="1:13" ht="184.5" thickTop="1" thickBot="1" x14ac:dyDescent="0.25">
      <c r="A95" s="103" t="s">
        <v>1243</v>
      </c>
      <c r="B95" s="103" t="s">
        <v>1210</v>
      </c>
      <c r="C95" s="103" t="s">
        <v>206</v>
      </c>
      <c r="D95" s="485" t="s">
        <v>1211</v>
      </c>
      <c r="E95" s="321" t="s">
        <v>1202</v>
      </c>
      <c r="F95" s="318" t="s">
        <v>1175</v>
      </c>
      <c r="G95" s="318">
        <f t="shared" si="12"/>
        <v>1759600</v>
      </c>
      <c r="H95" s="318">
        <f>'d3'!E89</f>
        <v>1759600</v>
      </c>
      <c r="I95" s="318">
        <f>'d3'!J89</f>
        <v>0</v>
      </c>
      <c r="J95" s="318">
        <f>'d3'!K89</f>
        <v>0</v>
      </c>
      <c r="K95" s="139"/>
      <c r="L95" s="139"/>
      <c r="M95" s="139"/>
    </row>
    <row r="96" spans="1:13" ht="162.75" hidden="1" customHeight="1" thickTop="1" thickBot="1" x14ac:dyDescent="0.25">
      <c r="A96" s="128" t="s">
        <v>1110</v>
      </c>
      <c r="B96" s="128" t="s">
        <v>311</v>
      </c>
      <c r="C96" s="128" t="s">
        <v>304</v>
      </c>
      <c r="D96" s="128" t="s">
        <v>1529</v>
      </c>
      <c r="E96" s="255" t="s">
        <v>1429</v>
      </c>
      <c r="F96" s="196" t="s">
        <v>1177</v>
      </c>
      <c r="G96" s="196">
        <f t="shared" si="12"/>
        <v>0</v>
      </c>
      <c r="H96" s="196">
        <v>0</v>
      </c>
      <c r="I96" s="196">
        <v>0</v>
      </c>
      <c r="J96" s="196">
        <v>0</v>
      </c>
    </row>
    <row r="97" spans="1:13" ht="367.5" thickTop="1" thickBot="1" x14ac:dyDescent="0.25">
      <c r="A97" s="103" t="s">
        <v>1110</v>
      </c>
      <c r="B97" s="103" t="s">
        <v>311</v>
      </c>
      <c r="C97" s="103" t="s">
        <v>304</v>
      </c>
      <c r="D97" s="103" t="s">
        <v>1543</v>
      </c>
      <c r="E97" s="318" t="s">
        <v>1419</v>
      </c>
      <c r="F97" s="318" t="s">
        <v>861</v>
      </c>
      <c r="G97" s="318">
        <f t="shared" si="12"/>
        <v>11000000</v>
      </c>
      <c r="H97" s="318">
        <v>0</v>
      </c>
      <c r="I97" s="318">
        <v>11000000</v>
      </c>
      <c r="J97" s="318">
        <v>11000000</v>
      </c>
      <c r="K97" s="96" t="b">
        <f>H96+H97='d3'!E93</f>
        <v>1</v>
      </c>
      <c r="L97" s="480" t="b">
        <f>I96+I97='d3'!J93</f>
        <v>1</v>
      </c>
      <c r="M97" s="480" t="b">
        <f>J96+J97='d3'!K93</f>
        <v>1</v>
      </c>
    </row>
    <row r="98" spans="1:13" ht="138.75" thickTop="1" thickBot="1" x14ac:dyDescent="0.25">
      <c r="A98" s="103" t="s">
        <v>1100</v>
      </c>
      <c r="B98" s="103" t="s">
        <v>212</v>
      </c>
      <c r="C98" s="103" t="s">
        <v>213</v>
      </c>
      <c r="D98" s="103" t="s">
        <v>41</v>
      </c>
      <c r="E98" s="321" t="s">
        <v>1429</v>
      </c>
      <c r="F98" s="318" t="s">
        <v>1177</v>
      </c>
      <c r="G98" s="318">
        <f t="shared" si="12"/>
        <v>15000000</v>
      </c>
      <c r="H98" s="318">
        <f>'d3'!E95</f>
        <v>0</v>
      </c>
      <c r="I98" s="318">
        <f>'d3'!J95</f>
        <v>15000000</v>
      </c>
      <c r="J98" s="318">
        <f>'d3'!K95</f>
        <v>15000000</v>
      </c>
      <c r="K98" s="139"/>
      <c r="L98" s="139"/>
      <c r="M98" s="139"/>
    </row>
    <row r="99" spans="1:13" ht="184.5" hidden="1" thickTop="1" thickBot="1" x14ac:dyDescent="0.25">
      <c r="A99" s="128" t="s">
        <v>1236</v>
      </c>
      <c r="B99" s="128" t="s">
        <v>1199</v>
      </c>
      <c r="C99" s="128" t="s">
        <v>1197</v>
      </c>
      <c r="D99" s="128" t="s">
        <v>1196</v>
      </c>
      <c r="E99" s="128" t="s">
        <v>1413</v>
      </c>
      <c r="F99" s="196" t="s">
        <v>1296</v>
      </c>
      <c r="G99" s="196">
        <f t="shared" si="12"/>
        <v>0</v>
      </c>
      <c r="H99" s="196">
        <f>'d3'!E98</f>
        <v>0</v>
      </c>
      <c r="I99" s="196">
        <f>'d3'!J98</f>
        <v>0</v>
      </c>
      <c r="J99" s="196">
        <f>'d3'!K98</f>
        <v>0</v>
      </c>
      <c r="K99" s="139"/>
      <c r="L99" s="139"/>
      <c r="M99" s="139"/>
    </row>
    <row r="100" spans="1:13" ht="138.75" hidden="1" thickTop="1" thickBot="1" x14ac:dyDescent="0.25">
      <c r="A100" s="41" t="s">
        <v>1037</v>
      </c>
      <c r="B100" s="41" t="s">
        <v>363</v>
      </c>
      <c r="C100" s="41" t="s">
        <v>43</v>
      </c>
      <c r="D100" s="41" t="s">
        <v>364</v>
      </c>
      <c r="E100" s="258" t="s">
        <v>583</v>
      </c>
      <c r="F100" s="73" t="s">
        <v>411</v>
      </c>
      <c r="G100" s="73">
        <f t="shared" si="12"/>
        <v>0</v>
      </c>
      <c r="H100" s="73">
        <f>'d3'!E101</f>
        <v>0</v>
      </c>
      <c r="I100" s="73">
        <f>'d3'!J101</f>
        <v>0</v>
      </c>
      <c r="J100" s="73">
        <f>'d3'!K101</f>
        <v>0</v>
      </c>
      <c r="K100" s="139"/>
      <c r="L100" s="139"/>
      <c r="M100" s="139"/>
    </row>
    <row r="101" spans="1:13" ht="136.5" thickTop="1" thickBot="1" x14ac:dyDescent="0.25">
      <c r="A101" s="508" t="s">
        <v>154</v>
      </c>
      <c r="B101" s="508"/>
      <c r="C101" s="508"/>
      <c r="D101" s="509" t="s">
        <v>18</v>
      </c>
      <c r="E101" s="508"/>
      <c r="F101" s="508"/>
      <c r="G101" s="510">
        <f>G102</f>
        <v>100871555</v>
      </c>
      <c r="H101" s="510">
        <f t="shared" ref="H101:J101" si="13">H102</f>
        <v>90671555</v>
      </c>
      <c r="I101" s="510">
        <f t="shared" si="13"/>
        <v>10200000</v>
      </c>
      <c r="J101" s="510">
        <f t="shared" si="13"/>
        <v>10200000</v>
      </c>
      <c r="K101" s="96" t="b">
        <f>H101='d3'!E103-'d3'!E105+H103+H104</f>
        <v>1</v>
      </c>
      <c r="L101" s="96" t="b">
        <f>I101='d3'!J103-'d3'!J105+'d7'!I103+I104</f>
        <v>1</v>
      </c>
      <c r="M101" s="96" t="b">
        <f>J101='d3'!K103-'d3'!K105+'d7'!J103+J104</f>
        <v>1</v>
      </c>
    </row>
    <row r="102" spans="1:13" ht="172.5" customHeight="1" thickTop="1" thickBot="1" x14ac:dyDescent="0.25">
      <c r="A102" s="511" t="s">
        <v>155</v>
      </c>
      <c r="B102" s="511"/>
      <c r="C102" s="511"/>
      <c r="D102" s="512" t="s">
        <v>36</v>
      </c>
      <c r="E102" s="513"/>
      <c r="F102" s="513"/>
      <c r="G102" s="513">
        <f>SUM(G103:G125)</f>
        <v>100871555</v>
      </c>
      <c r="H102" s="513">
        <f>SUM(H103:H125)</f>
        <v>90671555</v>
      </c>
      <c r="I102" s="513">
        <f>SUM(I103:I125)</f>
        <v>10200000</v>
      </c>
      <c r="J102" s="513">
        <f>SUM(J103:J125)</f>
        <v>10200000</v>
      </c>
      <c r="K102" s="139"/>
      <c r="L102" s="139"/>
      <c r="M102" s="139"/>
    </row>
    <row r="103" spans="1:13" ht="172.5" hidden="1" customHeight="1" thickTop="1" thickBot="1" x14ac:dyDescent="0.25">
      <c r="A103" s="128" t="s">
        <v>416</v>
      </c>
      <c r="B103" s="128" t="s">
        <v>236</v>
      </c>
      <c r="C103" s="128" t="s">
        <v>234</v>
      </c>
      <c r="D103" s="128" t="s">
        <v>235</v>
      </c>
      <c r="E103" s="255" t="s">
        <v>1294</v>
      </c>
      <c r="F103" s="196" t="s">
        <v>1295</v>
      </c>
      <c r="G103" s="269">
        <f>H103+I103</f>
        <v>0</v>
      </c>
      <c r="H103" s="269"/>
      <c r="I103" s="269">
        <v>0</v>
      </c>
      <c r="J103" s="269">
        <v>0</v>
      </c>
      <c r="K103" s="139"/>
      <c r="L103" s="139"/>
      <c r="M103" s="139"/>
    </row>
    <row r="104" spans="1:13" ht="172.5" hidden="1" customHeight="1" thickTop="1" thickBot="1" x14ac:dyDescent="0.25">
      <c r="A104" s="128" t="s">
        <v>416</v>
      </c>
      <c r="B104" s="128" t="s">
        <v>236</v>
      </c>
      <c r="C104" s="128" t="s">
        <v>234</v>
      </c>
      <c r="D104" s="128" t="s">
        <v>235</v>
      </c>
      <c r="E104" s="255" t="s">
        <v>1044</v>
      </c>
      <c r="F104" s="196" t="s">
        <v>859</v>
      </c>
      <c r="G104" s="269">
        <f>H104+I104</f>
        <v>0</v>
      </c>
      <c r="H104" s="269"/>
      <c r="I104" s="269">
        <v>0</v>
      </c>
      <c r="J104" s="269">
        <v>0</v>
      </c>
      <c r="K104" s="139"/>
      <c r="L104" s="139"/>
      <c r="M104" s="139"/>
    </row>
    <row r="105" spans="1:13" ht="367.5" hidden="1" thickTop="1" thickBot="1" x14ac:dyDescent="0.25">
      <c r="A105" s="128" t="s">
        <v>1269</v>
      </c>
      <c r="B105" s="128" t="s">
        <v>362</v>
      </c>
      <c r="C105" s="128" t="s">
        <v>626</v>
      </c>
      <c r="D105" s="128" t="s">
        <v>627</v>
      </c>
      <c r="E105" s="255" t="s">
        <v>1309</v>
      </c>
      <c r="F105" s="196" t="s">
        <v>1310</v>
      </c>
      <c r="G105" s="269">
        <f>H105+I105</f>
        <v>0</v>
      </c>
      <c r="H105" s="269">
        <f>'d3'!E106</f>
        <v>0</v>
      </c>
      <c r="I105" s="269">
        <f>'d3'!J106</f>
        <v>0</v>
      </c>
      <c r="J105" s="269">
        <f>'d3'!K106</f>
        <v>0</v>
      </c>
      <c r="K105" s="139"/>
      <c r="L105" s="139"/>
      <c r="M105" s="139"/>
    </row>
    <row r="106" spans="1:13" ht="386.25" thickTop="1" thickBot="1" x14ac:dyDescent="0.25">
      <c r="A106" s="103" t="s">
        <v>214</v>
      </c>
      <c r="B106" s="103" t="s">
        <v>211</v>
      </c>
      <c r="C106" s="103" t="s">
        <v>215</v>
      </c>
      <c r="D106" s="103" t="s">
        <v>19</v>
      </c>
      <c r="E106" s="640" t="s">
        <v>1579</v>
      </c>
      <c r="F106" s="318"/>
      <c r="G106" s="327">
        <f>H106+I106</f>
        <v>25639100</v>
      </c>
      <c r="H106" s="327">
        <f>'d3'!E108-H107</f>
        <v>18839100</v>
      </c>
      <c r="I106" s="327">
        <f>'d3'!J108-I107</f>
        <v>6800000</v>
      </c>
      <c r="J106" s="327">
        <f>'d3'!K108-J107</f>
        <v>6800000</v>
      </c>
      <c r="K106" s="139"/>
      <c r="L106" s="139"/>
      <c r="M106" s="139"/>
    </row>
    <row r="107" spans="1:13" ht="184.5" hidden="1" thickTop="1" thickBot="1" x14ac:dyDescent="0.25">
      <c r="A107" s="128" t="s">
        <v>214</v>
      </c>
      <c r="B107" s="128" t="s">
        <v>211</v>
      </c>
      <c r="C107" s="128" t="s">
        <v>215</v>
      </c>
      <c r="D107" s="128" t="s">
        <v>19</v>
      </c>
      <c r="E107" s="255" t="s">
        <v>1415</v>
      </c>
      <c r="F107" s="196" t="s">
        <v>450</v>
      </c>
      <c r="G107" s="196">
        <f t="shared" ref="G107" si="14">H107+I107</f>
        <v>0</v>
      </c>
      <c r="H107" s="196">
        <v>0</v>
      </c>
      <c r="I107" s="196">
        <v>0</v>
      </c>
      <c r="J107" s="196">
        <v>0</v>
      </c>
      <c r="K107" s="139"/>
      <c r="L107" s="139"/>
      <c r="M107" s="139"/>
    </row>
    <row r="108" spans="1:13" ht="386.25" thickTop="1" thickBot="1" x14ac:dyDescent="0.25">
      <c r="A108" s="103" t="s">
        <v>505</v>
      </c>
      <c r="B108" s="103" t="s">
        <v>508</v>
      </c>
      <c r="C108" s="103" t="s">
        <v>507</v>
      </c>
      <c r="D108" s="103" t="s">
        <v>506</v>
      </c>
      <c r="E108" s="640" t="s">
        <v>1579</v>
      </c>
      <c r="F108" s="318"/>
      <c r="G108" s="327">
        <f>H108+I108</f>
        <v>9660600</v>
      </c>
      <c r="H108" s="327">
        <f>'d3'!E109</f>
        <v>9660600</v>
      </c>
      <c r="I108" s="327">
        <f>'d3'!J109</f>
        <v>0</v>
      </c>
      <c r="J108" s="327">
        <f>'d3'!K109</f>
        <v>0</v>
      </c>
      <c r="K108" s="139"/>
      <c r="L108" s="139"/>
      <c r="M108" s="139"/>
    </row>
    <row r="109" spans="1:13" ht="386.25" thickTop="1" thickBot="1" x14ac:dyDescent="0.25">
      <c r="A109" s="103" t="s">
        <v>216</v>
      </c>
      <c r="B109" s="103" t="s">
        <v>217</v>
      </c>
      <c r="C109" s="103" t="s">
        <v>218</v>
      </c>
      <c r="D109" s="103" t="s">
        <v>219</v>
      </c>
      <c r="E109" s="640" t="s">
        <v>1579</v>
      </c>
      <c r="F109" s="318"/>
      <c r="G109" s="327">
        <f t="shared" ref="G109:G116" si="15">H109+I109</f>
        <v>10481900</v>
      </c>
      <c r="H109" s="327">
        <f>'d3'!E110</f>
        <v>8081900</v>
      </c>
      <c r="I109" s="327">
        <f>'d3'!J110</f>
        <v>2400000</v>
      </c>
      <c r="J109" s="327">
        <f>'d3'!K110</f>
        <v>2400000</v>
      </c>
      <c r="K109" s="139"/>
      <c r="L109" s="139"/>
      <c r="M109" s="139"/>
    </row>
    <row r="110" spans="1:13" ht="386.25" thickTop="1" thickBot="1" x14ac:dyDescent="0.25">
      <c r="A110" s="103" t="s">
        <v>220</v>
      </c>
      <c r="B110" s="103" t="s">
        <v>221</v>
      </c>
      <c r="C110" s="103" t="s">
        <v>222</v>
      </c>
      <c r="D110" s="103" t="s">
        <v>345</v>
      </c>
      <c r="E110" s="640" t="s">
        <v>1579</v>
      </c>
      <c r="F110" s="318"/>
      <c r="G110" s="327">
        <f t="shared" si="15"/>
        <v>25012900</v>
      </c>
      <c r="H110" s="327">
        <f>'d3'!E111-H111</f>
        <v>25012900</v>
      </c>
      <c r="I110" s="327">
        <f>'d3'!J111-I111</f>
        <v>0</v>
      </c>
      <c r="J110" s="327">
        <f>'d3'!K111-J111</f>
        <v>0</v>
      </c>
      <c r="K110" s="139"/>
      <c r="L110" s="139"/>
      <c r="M110" s="139"/>
    </row>
    <row r="111" spans="1:13" ht="184.5" hidden="1" thickTop="1" thickBot="1" x14ac:dyDescent="0.25">
      <c r="A111" s="128" t="s">
        <v>220</v>
      </c>
      <c r="B111" s="128" t="s">
        <v>221</v>
      </c>
      <c r="C111" s="128" t="s">
        <v>222</v>
      </c>
      <c r="D111" s="128" t="s">
        <v>345</v>
      </c>
      <c r="E111" s="255" t="s">
        <v>1415</v>
      </c>
      <c r="F111" s="196" t="s">
        <v>450</v>
      </c>
      <c r="G111" s="196">
        <f t="shared" si="15"/>
        <v>0</v>
      </c>
      <c r="H111" s="196">
        <v>0</v>
      </c>
      <c r="I111" s="196">
        <v>0</v>
      </c>
      <c r="J111" s="196">
        <v>0</v>
      </c>
      <c r="K111" s="139"/>
      <c r="L111" s="139"/>
      <c r="M111" s="139"/>
    </row>
    <row r="112" spans="1:13" ht="386.25" hidden="1" thickTop="1" thickBot="1" x14ac:dyDescent="0.25">
      <c r="A112" s="128" t="s">
        <v>223</v>
      </c>
      <c r="B112" s="128" t="s">
        <v>224</v>
      </c>
      <c r="C112" s="128" t="s">
        <v>225</v>
      </c>
      <c r="D112" s="128" t="s">
        <v>226</v>
      </c>
      <c r="E112" s="268" t="s">
        <v>1212</v>
      </c>
      <c r="F112" s="196" t="s">
        <v>873</v>
      </c>
      <c r="G112" s="269"/>
      <c r="H112" s="269"/>
      <c r="I112" s="269"/>
      <c r="J112" s="269"/>
      <c r="K112" s="139"/>
      <c r="L112" s="139"/>
      <c r="M112" s="139"/>
    </row>
    <row r="113" spans="1:13" ht="230.25" hidden="1" thickTop="1" thickBot="1" x14ac:dyDescent="0.25">
      <c r="A113" s="128" t="s">
        <v>223</v>
      </c>
      <c r="B113" s="128" t="s">
        <v>224</v>
      </c>
      <c r="C113" s="128" t="s">
        <v>225</v>
      </c>
      <c r="D113" s="128" t="s">
        <v>226</v>
      </c>
      <c r="E113" s="255" t="s">
        <v>1237</v>
      </c>
      <c r="F113" s="196" t="s">
        <v>871</v>
      </c>
      <c r="G113" s="196"/>
      <c r="H113" s="196"/>
      <c r="I113" s="196"/>
      <c r="J113" s="196"/>
      <c r="K113" s="139"/>
      <c r="L113" s="139"/>
      <c r="M113" s="139"/>
    </row>
    <row r="114" spans="1:13" ht="386.25" thickTop="1" thickBot="1" x14ac:dyDescent="0.25">
      <c r="A114" s="103" t="s">
        <v>227</v>
      </c>
      <c r="B114" s="103" t="s">
        <v>228</v>
      </c>
      <c r="C114" s="103" t="s">
        <v>346</v>
      </c>
      <c r="D114" s="103" t="s">
        <v>229</v>
      </c>
      <c r="E114" s="640" t="s">
        <v>1579</v>
      </c>
      <c r="F114" s="318"/>
      <c r="G114" s="327">
        <f t="shared" si="15"/>
        <v>19127800</v>
      </c>
      <c r="H114" s="327">
        <f>'d3'!E114</f>
        <v>19127800</v>
      </c>
      <c r="I114" s="327">
        <f>'d3'!J114</f>
        <v>0</v>
      </c>
      <c r="J114" s="327">
        <f>'d3'!K114</f>
        <v>0</v>
      </c>
      <c r="K114" s="139"/>
      <c r="L114" s="139"/>
      <c r="M114" s="139"/>
    </row>
    <row r="115" spans="1:13" ht="386.25" hidden="1" thickTop="1" thickBot="1" x14ac:dyDescent="0.25">
      <c r="A115" s="41" t="s">
        <v>475</v>
      </c>
      <c r="B115" s="41" t="s">
        <v>476</v>
      </c>
      <c r="C115" s="41" t="s">
        <v>230</v>
      </c>
      <c r="D115" s="41" t="s">
        <v>477</v>
      </c>
      <c r="E115" s="270" t="s">
        <v>872</v>
      </c>
      <c r="F115" s="73" t="s">
        <v>873</v>
      </c>
      <c r="G115" s="271">
        <f t="shared" si="15"/>
        <v>0</v>
      </c>
      <c r="H115" s="271">
        <f>'d3'!E116</f>
        <v>0</v>
      </c>
      <c r="I115" s="271">
        <f>'d3'!J116</f>
        <v>0</v>
      </c>
      <c r="J115" s="271">
        <f>'d3'!K116</f>
        <v>0</v>
      </c>
      <c r="K115" s="139"/>
      <c r="L115" s="139"/>
      <c r="M115" s="139"/>
    </row>
    <row r="116" spans="1:13" s="5" customFormat="1" ht="409.6" customHeight="1" thickTop="1" thickBot="1" x14ac:dyDescent="0.25">
      <c r="A116" s="103" t="s">
        <v>321</v>
      </c>
      <c r="B116" s="103" t="s">
        <v>323</v>
      </c>
      <c r="C116" s="103" t="s">
        <v>230</v>
      </c>
      <c r="D116" s="485" t="s">
        <v>319</v>
      </c>
      <c r="E116" s="640" t="s">
        <v>1579</v>
      </c>
      <c r="F116" s="318"/>
      <c r="G116" s="327">
        <f t="shared" si="15"/>
        <v>4423055</v>
      </c>
      <c r="H116" s="327">
        <f>'d3'!E118</f>
        <v>4423055</v>
      </c>
      <c r="I116" s="327">
        <f>'d3'!J118</f>
        <v>0</v>
      </c>
      <c r="J116" s="327">
        <f>'d3'!K118</f>
        <v>0</v>
      </c>
      <c r="K116" s="138"/>
      <c r="L116" s="138"/>
      <c r="M116" s="138"/>
    </row>
    <row r="117" spans="1:13" s="5" customFormat="1" ht="386.25" thickTop="1" thickBot="1" x14ac:dyDescent="0.25">
      <c r="A117" s="103" t="s">
        <v>322</v>
      </c>
      <c r="B117" s="103" t="s">
        <v>324</v>
      </c>
      <c r="C117" s="103" t="s">
        <v>230</v>
      </c>
      <c r="D117" s="485" t="s">
        <v>320</v>
      </c>
      <c r="E117" s="640" t="s">
        <v>1579</v>
      </c>
      <c r="F117" s="318"/>
      <c r="G117" s="327">
        <f t="shared" ref="G117:G122" si="16">H117+I117</f>
        <v>5426200</v>
      </c>
      <c r="H117" s="327">
        <f>'d3'!E119</f>
        <v>5426200</v>
      </c>
      <c r="I117" s="327">
        <f>'d3'!J119</f>
        <v>0</v>
      </c>
      <c r="J117" s="327">
        <f>'d3'!K119</f>
        <v>0</v>
      </c>
      <c r="K117" s="138"/>
      <c r="L117" s="138"/>
      <c r="M117" s="138"/>
    </row>
    <row r="118" spans="1:13" s="5" customFormat="1" ht="386.25" thickTop="1" thickBot="1" x14ac:dyDescent="0.25">
      <c r="A118" s="103" t="s">
        <v>1209</v>
      </c>
      <c r="B118" s="103" t="s">
        <v>1210</v>
      </c>
      <c r="C118" s="103" t="s">
        <v>206</v>
      </c>
      <c r="D118" s="485" t="s">
        <v>1211</v>
      </c>
      <c r="E118" s="640" t="s">
        <v>1579</v>
      </c>
      <c r="F118" s="318"/>
      <c r="G118" s="327">
        <f t="shared" si="16"/>
        <v>100000</v>
      </c>
      <c r="H118" s="327">
        <f>'d3'!E121</f>
        <v>100000</v>
      </c>
      <c r="I118" s="327">
        <f>'d3'!J121</f>
        <v>0</v>
      </c>
      <c r="J118" s="327">
        <f>'d3'!K121</f>
        <v>0</v>
      </c>
      <c r="K118" s="138"/>
      <c r="L118" s="138"/>
      <c r="M118" s="138"/>
    </row>
    <row r="119" spans="1:13" s="5" customFormat="1" ht="386.25" thickTop="1" thickBot="1" x14ac:dyDescent="0.25">
      <c r="A119" s="103" t="s">
        <v>1188</v>
      </c>
      <c r="B119" s="103" t="s">
        <v>1190</v>
      </c>
      <c r="C119" s="103" t="s">
        <v>304</v>
      </c>
      <c r="D119" s="103" t="s">
        <v>1578</v>
      </c>
      <c r="E119" s="640" t="s">
        <v>1579</v>
      </c>
      <c r="F119" s="318"/>
      <c r="G119" s="318">
        <f t="shared" si="16"/>
        <v>1000000</v>
      </c>
      <c r="H119" s="318">
        <f>'d3'!E125</f>
        <v>0</v>
      </c>
      <c r="I119" s="318">
        <f>'d3'!J125</f>
        <v>1000000</v>
      </c>
      <c r="J119" s="318">
        <f>'d3'!K125</f>
        <v>1000000</v>
      </c>
      <c r="K119" s="138"/>
      <c r="L119" s="138"/>
      <c r="M119" s="138"/>
    </row>
    <row r="120" spans="1:13" s="5" customFormat="1" ht="386.25" hidden="1" thickTop="1" thickBot="1" x14ac:dyDescent="0.25">
      <c r="A120" s="41" t="s">
        <v>1063</v>
      </c>
      <c r="B120" s="41" t="s">
        <v>1064</v>
      </c>
      <c r="C120" s="41" t="s">
        <v>170</v>
      </c>
      <c r="D120" s="41" t="s">
        <v>1065</v>
      </c>
      <c r="E120" s="640" t="s">
        <v>1579</v>
      </c>
      <c r="F120" s="318"/>
      <c r="G120" s="73">
        <f t="shared" si="16"/>
        <v>0</v>
      </c>
      <c r="H120" s="73">
        <f>'d3'!E127</f>
        <v>0</v>
      </c>
      <c r="I120" s="73">
        <f>'d3'!J127</f>
        <v>0</v>
      </c>
      <c r="J120" s="73">
        <f>'d3'!K127</f>
        <v>0</v>
      </c>
      <c r="K120" s="138"/>
      <c r="L120" s="138"/>
      <c r="M120" s="138"/>
    </row>
    <row r="121" spans="1:13" s="5" customFormat="1" ht="386.25" hidden="1" thickTop="1" thickBot="1" x14ac:dyDescent="0.25">
      <c r="A121" s="128" t="s">
        <v>1267</v>
      </c>
      <c r="B121" s="128" t="s">
        <v>212</v>
      </c>
      <c r="C121" s="128" t="s">
        <v>213</v>
      </c>
      <c r="D121" s="128" t="s">
        <v>41</v>
      </c>
      <c r="E121" s="268" t="s">
        <v>1579</v>
      </c>
      <c r="F121" s="196"/>
      <c r="G121" s="196">
        <f t="shared" si="16"/>
        <v>0</v>
      </c>
      <c r="H121" s="196">
        <f>'d3'!E129</f>
        <v>0</v>
      </c>
      <c r="I121" s="196">
        <f>'d3'!J129</f>
        <v>0</v>
      </c>
      <c r="J121" s="196">
        <f>'d3'!K129</f>
        <v>0</v>
      </c>
      <c r="K121" s="138"/>
      <c r="L121" s="138"/>
      <c r="M121" s="138"/>
    </row>
    <row r="122" spans="1:13" s="5" customFormat="1" ht="138.75" hidden="1" thickTop="1" thickBot="1" x14ac:dyDescent="0.25">
      <c r="A122" s="41" t="s">
        <v>435</v>
      </c>
      <c r="B122" s="41" t="s">
        <v>197</v>
      </c>
      <c r="C122" s="41" t="s">
        <v>170</v>
      </c>
      <c r="D122" s="41" t="s">
        <v>34</v>
      </c>
      <c r="E122" s="73" t="s">
        <v>436</v>
      </c>
      <c r="F122" s="73" t="s">
        <v>410</v>
      </c>
      <c r="G122" s="844">
        <f t="shared" si="16"/>
        <v>0</v>
      </c>
      <c r="H122" s="844">
        <v>0</v>
      </c>
      <c r="I122" s="844">
        <f>'d3'!J130-I124</f>
        <v>0</v>
      </c>
      <c r="J122" s="844">
        <f>'d3'!K130-J124</f>
        <v>0</v>
      </c>
      <c r="K122" s="138"/>
      <c r="L122" s="138"/>
      <c r="M122" s="138"/>
    </row>
    <row r="123" spans="1:13" s="5" customFormat="1" ht="386.25" hidden="1" thickTop="1" thickBot="1" x14ac:dyDescent="0.25">
      <c r="A123" s="41" t="s">
        <v>435</v>
      </c>
      <c r="B123" s="41" t="s">
        <v>197</v>
      </c>
      <c r="C123" s="41" t="s">
        <v>170</v>
      </c>
      <c r="D123" s="41" t="s">
        <v>34</v>
      </c>
      <c r="E123" s="270" t="s">
        <v>872</v>
      </c>
      <c r="F123" s="73" t="s">
        <v>873</v>
      </c>
      <c r="G123" s="845"/>
      <c r="H123" s="845"/>
      <c r="I123" s="845"/>
      <c r="J123" s="845"/>
      <c r="K123" s="138"/>
      <c r="L123" s="138"/>
      <c r="M123" s="138"/>
    </row>
    <row r="124" spans="1:13" s="5" customFormat="1" ht="184.5" hidden="1" thickTop="1" thickBot="1" x14ac:dyDescent="0.25">
      <c r="A124" s="41" t="s">
        <v>435</v>
      </c>
      <c r="B124" s="41" t="s">
        <v>197</v>
      </c>
      <c r="C124" s="41" t="s">
        <v>170</v>
      </c>
      <c r="D124" s="41" t="s">
        <v>34</v>
      </c>
      <c r="E124" s="258" t="s">
        <v>449</v>
      </c>
      <c r="F124" s="263" t="s">
        <v>450</v>
      </c>
      <c r="G124" s="73">
        <f>H124+I124</f>
        <v>0</v>
      </c>
      <c r="H124" s="73">
        <v>0</v>
      </c>
      <c r="I124" s="73"/>
      <c r="J124" s="73"/>
      <c r="K124" s="138"/>
      <c r="L124" s="138"/>
      <c r="M124" s="138"/>
    </row>
    <row r="125" spans="1:13" s="5" customFormat="1" ht="138.75" hidden="1" thickTop="1" thickBot="1" x14ac:dyDescent="0.25">
      <c r="A125" s="41" t="s">
        <v>509</v>
      </c>
      <c r="B125" s="41" t="s">
        <v>363</v>
      </c>
      <c r="C125" s="41" t="s">
        <v>43</v>
      </c>
      <c r="D125" s="41" t="s">
        <v>364</v>
      </c>
      <c r="E125" s="73" t="s">
        <v>436</v>
      </c>
      <c r="F125" s="73" t="s">
        <v>410</v>
      </c>
      <c r="G125" s="73">
        <f>H125+I125</f>
        <v>0</v>
      </c>
      <c r="H125" s="73">
        <f>'d3'!F131</f>
        <v>0</v>
      </c>
      <c r="I125" s="73">
        <f>'d3'!J131</f>
        <v>0</v>
      </c>
      <c r="J125" s="73">
        <f>'d3'!K131</f>
        <v>0</v>
      </c>
      <c r="K125" s="138"/>
      <c r="L125" s="138"/>
      <c r="M125" s="138"/>
    </row>
    <row r="126" spans="1:13" ht="241.5" customHeight="1" thickTop="1" thickBot="1" x14ac:dyDescent="0.25">
      <c r="A126" s="508" t="s">
        <v>156</v>
      </c>
      <c r="B126" s="508"/>
      <c r="C126" s="508"/>
      <c r="D126" s="509" t="s">
        <v>37</v>
      </c>
      <c r="E126" s="508"/>
      <c r="F126" s="508"/>
      <c r="G126" s="510">
        <f>G127</f>
        <v>322534505.30000001</v>
      </c>
      <c r="H126" s="510">
        <f t="shared" ref="H126:J126" si="17">H127</f>
        <v>240803389.28</v>
      </c>
      <c r="I126" s="510">
        <f t="shared" si="17"/>
        <v>81731116.019999996</v>
      </c>
      <c r="J126" s="510">
        <f t="shared" si="17"/>
        <v>75467856.019999996</v>
      </c>
      <c r="K126" s="96" t="b">
        <f>H126='d3'!E133-'d3'!E135+H128+H129+H130</f>
        <v>1</v>
      </c>
      <c r="L126" s="480" t="b">
        <f>I126='d3'!J133-'d3'!J135-'d3'!J160+'d7'!I128+I129+I130</f>
        <v>1</v>
      </c>
      <c r="M126" s="480" t="b">
        <f>J126='d3'!K133-'d3'!K135-'d3'!K160+'d7'!J128+J129+J130</f>
        <v>1</v>
      </c>
    </row>
    <row r="127" spans="1:13" ht="181.5" thickTop="1" thickBot="1" x14ac:dyDescent="0.25">
      <c r="A127" s="511" t="s">
        <v>157</v>
      </c>
      <c r="B127" s="511"/>
      <c r="C127" s="511"/>
      <c r="D127" s="512" t="s">
        <v>38</v>
      </c>
      <c r="E127" s="513"/>
      <c r="F127" s="513"/>
      <c r="G127" s="513">
        <f>SUM(G128:G168)</f>
        <v>322534505.30000001</v>
      </c>
      <c r="H127" s="513">
        <f>SUM(H128:H168)</f>
        <v>240803389.28</v>
      </c>
      <c r="I127" s="513">
        <f>SUM(I128:I168)</f>
        <v>81731116.019999996</v>
      </c>
      <c r="J127" s="513">
        <f>SUM(J128:J168)</f>
        <v>75467856.019999996</v>
      </c>
      <c r="K127" s="139"/>
      <c r="L127" s="47"/>
      <c r="M127" s="139"/>
    </row>
    <row r="128" spans="1:13" ht="184.5" hidden="1" thickTop="1" thickBot="1" x14ac:dyDescent="0.25">
      <c r="A128" s="128" t="s">
        <v>415</v>
      </c>
      <c r="B128" s="128" t="s">
        <v>236</v>
      </c>
      <c r="C128" s="128" t="s">
        <v>234</v>
      </c>
      <c r="D128" s="128" t="s">
        <v>235</v>
      </c>
      <c r="E128" s="255" t="s">
        <v>1044</v>
      </c>
      <c r="F128" s="196" t="s">
        <v>859</v>
      </c>
      <c r="G128" s="196">
        <f t="shared" ref="G128:G166" si="18">H128+I128</f>
        <v>0</v>
      </c>
      <c r="H128" s="196">
        <v>0</v>
      </c>
      <c r="I128" s="196">
        <v>0</v>
      </c>
      <c r="J128" s="196">
        <v>0</v>
      </c>
      <c r="K128" s="139"/>
      <c r="L128" s="47"/>
      <c r="M128" s="139"/>
    </row>
    <row r="129" spans="1:13" ht="184.5" hidden="1" thickTop="1" thickBot="1" x14ac:dyDescent="0.25">
      <c r="A129" s="128" t="s">
        <v>415</v>
      </c>
      <c r="B129" s="128" t="s">
        <v>236</v>
      </c>
      <c r="C129" s="128" t="s">
        <v>234</v>
      </c>
      <c r="D129" s="128" t="s">
        <v>235</v>
      </c>
      <c r="E129" s="255" t="s">
        <v>1294</v>
      </c>
      <c r="F129" s="196" t="s">
        <v>1295</v>
      </c>
      <c r="G129" s="196">
        <f t="shared" si="18"/>
        <v>0</v>
      </c>
      <c r="H129" s="196">
        <v>0</v>
      </c>
      <c r="I129" s="196">
        <v>0</v>
      </c>
      <c r="J129" s="196">
        <v>0</v>
      </c>
      <c r="K129" s="139"/>
      <c r="L129" s="47"/>
      <c r="M129" s="139"/>
    </row>
    <row r="130" spans="1:13" ht="184.5" thickTop="1" thickBot="1" x14ac:dyDescent="0.25">
      <c r="A130" s="103" t="s">
        <v>415</v>
      </c>
      <c r="B130" s="103" t="s">
        <v>236</v>
      </c>
      <c r="C130" s="103" t="s">
        <v>234</v>
      </c>
      <c r="D130" s="103" t="s">
        <v>235</v>
      </c>
      <c r="E130" s="321" t="s">
        <v>1202</v>
      </c>
      <c r="F130" s="318" t="s">
        <v>1175</v>
      </c>
      <c r="G130" s="318">
        <f t="shared" ref="G130" si="19">H130+I130</f>
        <v>700000</v>
      </c>
      <c r="H130" s="318">
        <v>0</v>
      </c>
      <c r="I130" s="318">
        <v>700000</v>
      </c>
      <c r="J130" s="318">
        <v>700000</v>
      </c>
      <c r="K130" s="139"/>
      <c r="L130" s="47"/>
      <c r="M130" s="139"/>
    </row>
    <row r="131" spans="1:13" ht="367.5" hidden="1" thickTop="1" thickBot="1" x14ac:dyDescent="0.25">
      <c r="A131" s="128" t="s">
        <v>629</v>
      </c>
      <c r="B131" s="128" t="s">
        <v>362</v>
      </c>
      <c r="C131" s="128" t="s">
        <v>626</v>
      </c>
      <c r="D131" s="128" t="s">
        <v>627</v>
      </c>
      <c r="E131" s="255" t="s">
        <v>1309</v>
      </c>
      <c r="F131" s="196" t="s">
        <v>1310</v>
      </c>
      <c r="G131" s="196">
        <f t="shared" si="18"/>
        <v>0</v>
      </c>
      <c r="H131" s="196">
        <f>'d3'!E136</f>
        <v>0</v>
      </c>
      <c r="I131" s="196">
        <f>'d3'!J136</f>
        <v>0</v>
      </c>
      <c r="J131" s="196">
        <f>'d3'!K136</f>
        <v>0</v>
      </c>
      <c r="K131" s="139"/>
      <c r="L131" s="47"/>
      <c r="M131" s="139"/>
    </row>
    <row r="132" spans="1:13" ht="138.75" thickTop="1" thickBot="1" x14ac:dyDescent="0.25">
      <c r="A132" s="103" t="s">
        <v>921</v>
      </c>
      <c r="B132" s="103" t="s">
        <v>43</v>
      </c>
      <c r="C132" s="103" t="s">
        <v>42</v>
      </c>
      <c r="D132" s="103" t="s">
        <v>248</v>
      </c>
      <c r="E132" s="321" t="s">
        <v>961</v>
      </c>
      <c r="F132" s="318" t="s">
        <v>957</v>
      </c>
      <c r="G132" s="318">
        <f t="shared" si="18"/>
        <v>30000</v>
      </c>
      <c r="H132" s="318">
        <f>'d3'!E137</f>
        <v>30000</v>
      </c>
      <c r="I132" s="318">
        <f>'d3'!J137</f>
        <v>0</v>
      </c>
      <c r="J132" s="318">
        <f>'d3'!K137</f>
        <v>0</v>
      </c>
      <c r="K132" s="139"/>
      <c r="L132" s="47"/>
      <c r="M132" s="139"/>
    </row>
    <row r="133" spans="1:13" s="5" customFormat="1" ht="138.75" thickTop="1" thickBot="1" x14ac:dyDescent="0.25">
      <c r="A133" s="103" t="s">
        <v>269</v>
      </c>
      <c r="B133" s="103" t="s">
        <v>270</v>
      </c>
      <c r="C133" s="103" t="s">
        <v>205</v>
      </c>
      <c r="D133" s="330" t="s">
        <v>271</v>
      </c>
      <c r="E133" s="321" t="s">
        <v>1202</v>
      </c>
      <c r="F133" s="318" t="s">
        <v>1175</v>
      </c>
      <c r="G133" s="318">
        <f t="shared" si="18"/>
        <v>835000</v>
      </c>
      <c r="H133" s="318">
        <f>'d3'!E140</f>
        <v>835000</v>
      </c>
      <c r="I133" s="318">
        <f>'d3'!J140</f>
        <v>0</v>
      </c>
      <c r="J133" s="318">
        <f>'d3'!K140</f>
        <v>0</v>
      </c>
      <c r="K133" s="138"/>
      <c r="L133" s="138"/>
      <c r="M133" s="138"/>
    </row>
    <row r="134" spans="1:13" s="5" customFormat="1" ht="138.75" thickTop="1" thickBot="1" x14ac:dyDescent="0.25">
      <c r="A134" s="103" t="s">
        <v>272</v>
      </c>
      <c r="B134" s="103" t="s">
        <v>273</v>
      </c>
      <c r="C134" s="103" t="s">
        <v>206</v>
      </c>
      <c r="D134" s="103" t="s">
        <v>6</v>
      </c>
      <c r="E134" s="321" t="s">
        <v>1202</v>
      </c>
      <c r="F134" s="318" t="s">
        <v>1175</v>
      </c>
      <c r="G134" s="318">
        <f t="shared" si="18"/>
        <v>650000</v>
      </c>
      <c r="H134" s="318">
        <f>'d3'!E141</f>
        <v>650000</v>
      </c>
      <c r="I134" s="318">
        <f>'d3'!J141</f>
        <v>0</v>
      </c>
      <c r="J134" s="318">
        <f>'d3'!K141</f>
        <v>0</v>
      </c>
      <c r="K134" s="138"/>
      <c r="L134" s="138"/>
      <c r="M134" s="138"/>
    </row>
    <row r="135" spans="1:13" s="5" customFormat="1" ht="138.75" thickTop="1" thickBot="1" x14ac:dyDescent="0.25">
      <c r="A135" s="103" t="s">
        <v>275</v>
      </c>
      <c r="B135" s="103" t="s">
        <v>276</v>
      </c>
      <c r="C135" s="103" t="s">
        <v>206</v>
      </c>
      <c r="D135" s="103" t="s">
        <v>7</v>
      </c>
      <c r="E135" s="321" t="s">
        <v>1202</v>
      </c>
      <c r="F135" s="318" t="s">
        <v>1175</v>
      </c>
      <c r="G135" s="318">
        <f t="shared" si="18"/>
        <v>19200000</v>
      </c>
      <c r="H135" s="318">
        <f>'d3'!E142</f>
        <v>19200000</v>
      </c>
      <c r="I135" s="318">
        <f>'d3'!J142</f>
        <v>0</v>
      </c>
      <c r="J135" s="318">
        <f>'d3'!K142</f>
        <v>0</v>
      </c>
      <c r="K135" s="138"/>
      <c r="L135" s="138"/>
      <c r="M135" s="138"/>
    </row>
    <row r="136" spans="1:13" s="5" customFormat="1" ht="138.75" thickTop="1" thickBot="1" x14ac:dyDescent="0.25">
      <c r="A136" s="103" t="s">
        <v>277</v>
      </c>
      <c r="B136" s="103" t="s">
        <v>274</v>
      </c>
      <c r="C136" s="103" t="s">
        <v>206</v>
      </c>
      <c r="D136" s="103" t="s">
        <v>8</v>
      </c>
      <c r="E136" s="321" t="s">
        <v>1202</v>
      </c>
      <c r="F136" s="318" t="s">
        <v>1175</v>
      </c>
      <c r="G136" s="318">
        <f t="shared" si="18"/>
        <v>700000</v>
      </c>
      <c r="H136" s="318">
        <f>'d3'!E143</f>
        <v>700000</v>
      </c>
      <c r="I136" s="318">
        <f>'d3'!J143</f>
        <v>0</v>
      </c>
      <c r="J136" s="318">
        <f>'d3'!K143</f>
        <v>0</v>
      </c>
      <c r="K136" s="138"/>
      <c r="L136" s="138"/>
      <c r="M136" s="138"/>
    </row>
    <row r="137" spans="1:13" s="5" customFormat="1" ht="138.75" thickTop="1" thickBot="1" x14ac:dyDescent="0.25">
      <c r="A137" s="103" t="s">
        <v>278</v>
      </c>
      <c r="B137" s="103" t="s">
        <v>279</v>
      </c>
      <c r="C137" s="103" t="s">
        <v>206</v>
      </c>
      <c r="D137" s="103" t="s">
        <v>9</v>
      </c>
      <c r="E137" s="321" t="s">
        <v>1202</v>
      </c>
      <c r="F137" s="318" t="s">
        <v>1175</v>
      </c>
      <c r="G137" s="318">
        <f t="shared" si="18"/>
        <v>58000000</v>
      </c>
      <c r="H137" s="318">
        <f>'d3'!E144</f>
        <v>58000000</v>
      </c>
      <c r="I137" s="318">
        <f>'d3'!J144</f>
        <v>0</v>
      </c>
      <c r="J137" s="318">
        <f>'d3'!K144</f>
        <v>0</v>
      </c>
      <c r="K137" s="138"/>
      <c r="L137" s="138"/>
      <c r="M137" s="138"/>
    </row>
    <row r="138" spans="1:13" s="5" customFormat="1" ht="138.75" thickTop="1" thickBot="1" x14ac:dyDescent="0.25">
      <c r="A138" s="103" t="s">
        <v>478</v>
      </c>
      <c r="B138" s="103" t="s">
        <v>479</v>
      </c>
      <c r="C138" s="103" t="s">
        <v>206</v>
      </c>
      <c r="D138" s="103" t="s">
        <v>480</v>
      </c>
      <c r="E138" s="321" t="s">
        <v>1202</v>
      </c>
      <c r="F138" s="318" t="s">
        <v>1175</v>
      </c>
      <c r="G138" s="318">
        <f t="shared" si="18"/>
        <v>362971</v>
      </c>
      <c r="H138" s="318">
        <f>'d3'!E145</f>
        <v>362971</v>
      </c>
      <c r="I138" s="318">
        <f>'d3'!J145</f>
        <v>0</v>
      </c>
      <c r="J138" s="318">
        <f>'d3'!K145</f>
        <v>0</v>
      </c>
      <c r="K138" s="138"/>
      <c r="L138" s="138"/>
      <c r="M138" s="138"/>
    </row>
    <row r="139" spans="1:13" s="5" customFormat="1" ht="138.75" thickTop="1" thickBot="1" x14ac:dyDescent="0.25">
      <c r="A139" s="103" t="s">
        <v>922</v>
      </c>
      <c r="B139" s="103" t="s">
        <v>923</v>
      </c>
      <c r="C139" s="103" t="s">
        <v>206</v>
      </c>
      <c r="D139" s="103" t="s">
        <v>924</v>
      </c>
      <c r="E139" s="321" t="s">
        <v>1202</v>
      </c>
      <c r="F139" s="318" t="s">
        <v>1175</v>
      </c>
      <c r="G139" s="318">
        <f t="shared" ref="G139" si="20">H139+I139</f>
        <v>1500000</v>
      </c>
      <c r="H139" s="318">
        <f>'d3'!E146</f>
        <v>1500000</v>
      </c>
      <c r="I139" s="318">
        <f>'d3'!J146</f>
        <v>0</v>
      </c>
      <c r="J139" s="318">
        <f>'d3'!K146</f>
        <v>0</v>
      </c>
      <c r="K139" s="138"/>
      <c r="L139" s="138"/>
      <c r="M139" s="138"/>
    </row>
    <row r="140" spans="1:13" s="5" customFormat="1" ht="138.75" thickTop="1" thickBot="1" x14ac:dyDescent="0.25">
      <c r="A140" s="103" t="s">
        <v>481</v>
      </c>
      <c r="B140" s="103" t="s">
        <v>482</v>
      </c>
      <c r="C140" s="103" t="s">
        <v>205</v>
      </c>
      <c r="D140" s="103" t="s">
        <v>483</v>
      </c>
      <c r="E140" s="321" t="s">
        <v>1202</v>
      </c>
      <c r="F140" s="318" t="s">
        <v>1175</v>
      </c>
      <c r="G140" s="318">
        <f t="shared" si="18"/>
        <v>470456</v>
      </c>
      <c r="H140" s="318">
        <f>'d3'!E147</f>
        <v>470456</v>
      </c>
      <c r="I140" s="318">
        <f>'d3'!J147</f>
        <v>0</v>
      </c>
      <c r="J140" s="318">
        <f>'d3'!K147</f>
        <v>0</v>
      </c>
      <c r="K140" s="138"/>
      <c r="L140" s="138"/>
      <c r="M140" s="138"/>
    </row>
    <row r="141" spans="1:13" ht="184.5" thickTop="1" thickBot="1" x14ac:dyDescent="0.25">
      <c r="A141" s="103" t="s">
        <v>267</v>
      </c>
      <c r="B141" s="103" t="s">
        <v>265</v>
      </c>
      <c r="C141" s="103" t="s">
        <v>200</v>
      </c>
      <c r="D141" s="103" t="s">
        <v>17</v>
      </c>
      <c r="E141" s="321" t="s">
        <v>1202</v>
      </c>
      <c r="F141" s="318" t="s">
        <v>1175</v>
      </c>
      <c r="G141" s="318">
        <f t="shared" si="18"/>
        <v>54770099</v>
      </c>
      <c r="H141" s="318">
        <f>'d3'!E149</f>
        <v>53499099</v>
      </c>
      <c r="I141" s="318">
        <f>'d3'!J149</f>
        <v>1271000</v>
      </c>
      <c r="J141" s="318">
        <f>'d3'!K149</f>
        <v>0</v>
      </c>
      <c r="K141" s="139"/>
      <c r="L141" s="139"/>
      <c r="M141" s="139"/>
    </row>
    <row r="142" spans="1:13" ht="138.75" thickTop="1" thickBot="1" x14ac:dyDescent="0.25">
      <c r="A142" s="103" t="s">
        <v>268</v>
      </c>
      <c r="B142" s="103" t="s">
        <v>266</v>
      </c>
      <c r="C142" s="103" t="s">
        <v>199</v>
      </c>
      <c r="D142" s="103" t="s">
        <v>455</v>
      </c>
      <c r="E142" s="321" t="s">
        <v>1202</v>
      </c>
      <c r="F142" s="318" t="s">
        <v>1175</v>
      </c>
      <c r="G142" s="318">
        <f t="shared" si="18"/>
        <v>11310735</v>
      </c>
      <c r="H142" s="318">
        <f>'d3'!E150-H143</f>
        <v>11310735</v>
      </c>
      <c r="I142" s="318">
        <f>'d3'!J150-I143</f>
        <v>0</v>
      </c>
      <c r="J142" s="318">
        <f>'d3'!K150-J143</f>
        <v>0</v>
      </c>
      <c r="K142" s="139"/>
      <c r="L142" s="139"/>
      <c r="M142" s="139"/>
    </row>
    <row r="143" spans="1:13" ht="184.5" hidden="1" thickTop="1" thickBot="1" x14ac:dyDescent="0.25">
      <c r="A143" s="128" t="s">
        <v>268</v>
      </c>
      <c r="B143" s="128" t="s">
        <v>266</v>
      </c>
      <c r="C143" s="128" t="s">
        <v>199</v>
      </c>
      <c r="D143" s="128" t="s">
        <v>455</v>
      </c>
      <c r="E143" s="255" t="s">
        <v>1415</v>
      </c>
      <c r="F143" s="196" t="s">
        <v>450</v>
      </c>
      <c r="G143" s="196">
        <f t="shared" si="18"/>
        <v>0</v>
      </c>
      <c r="H143" s="196">
        <v>0</v>
      </c>
      <c r="I143" s="318">
        <v>0</v>
      </c>
      <c r="J143" s="318">
        <v>0</v>
      </c>
      <c r="K143" s="139"/>
      <c r="L143" s="139"/>
      <c r="M143" s="139"/>
    </row>
    <row r="144" spans="1:13" ht="138.75" thickTop="1" thickBot="1" x14ac:dyDescent="0.25">
      <c r="A144" s="103" t="s">
        <v>1225</v>
      </c>
      <c r="B144" s="103" t="s">
        <v>184</v>
      </c>
      <c r="C144" s="103" t="s">
        <v>185</v>
      </c>
      <c r="D144" s="103" t="s">
        <v>639</v>
      </c>
      <c r="E144" s="321" t="s">
        <v>1202</v>
      </c>
      <c r="F144" s="318" t="s">
        <v>1175</v>
      </c>
      <c r="G144" s="318">
        <f>H144+I144</f>
        <v>10726813</v>
      </c>
      <c r="H144" s="318">
        <f>'d3'!E152-H145</f>
        <v>10726813</v>
      </c>
      <c r="I144" s="318">
        <f>'d3'!J152-I145</f>
        <v>0</v>
      </c>
      <c r="J144" s="318">
        <f>'d3'!K152-J145</f>
        <v>0</v>
      </c>
      <c r="K144" s="139"/>
      <c r="L144" s="139"/>
      <c r="M144" s="139"/>
    </row>
    <row r="145" spans="1:14" ht="184.5" hidden="1" thickTop="1" thickBot="1" x14ac:dyDescent="0.25">
      <c r="A145" s="128" t="s">
        <v>1225</v>
      </c>
      <c r="B145" s="128" t="s">
        <v>184</v>
      </c>
      <c r="C145" s="128" t="s">
        <v>185</v>
      </c>
      <c r="D145" s="128" t="s">
        <v>639</v>
      </c>
      <c r="E145" s="255" t="s">
        <v>1415</v>
      </c>
      <c r="F145" s="196" t="s">
        <v>450</v>
      </c>
      <c r="G145" s="196">
        <f>H145+I145</f>
        <v>0</v>
      </c>
      <c r="H145" s="196">
        <v>0</v>
      </c>
      <c r="I145" s="196">
        <v>0</v>
      </c>
      <c r="J145" s="196">
        <v>0</v>
      </c>
      <c r="K145" s="139"/>
      <c r="L145" s="139"/>
      <c r="M145" s="139"/>
    </row>
    <row r="146" spans="1:14" ht="258" hidden="1" customHeight="1" thickTop="1" thickBot="1" x14ac:dyDescent="0.25">
      <c r="A146" s="41" t="s">
        <v>1028</v>
      </c>
      <c r="B146" s="41" t="s">
        <v>1029</v>
      </c>
      <c r="C146" s="41" t="s">
        <v>185</v>
      </c>
      <c r="D146" s="41" t="s">
        <v>1030</v>
      </c>
      <c r="E146" s="258" t="s">
        <v>584</v>
      </c>
      <c r="F146" s="73" t="s">
        <v>407</v>
      </c>
      <c r="G146" s="73">
        <f t="shared" si="18"/>
        <v>0</v>
      </c>
      <c r="H146" s="73"/>
      <c r="I146" s="73"/>
      <c r="J146" s="73"/>
      <c r="K146" s="139"/>
      <c r="L146" s="139"/>
      <c r="M146" s="139"/>
    </row>
    <row r="147" spans="1:14" ht="321.75" thickTop="1" thickBot="1" x14ac:dyDescent="0.25">
      <c r="A147" s="103" t="s">
        <v>263</v>
      </c>
      <c r="B147" s="103" t="s">
        <v>264</v>
      </c>
      <c r="C147" s="103" t="s">
        <v>199</v>
      </c>
      <c r="D147" s="103" t="s">
        <v>453</v>
      </c>
      <c r="E147" s="321" t="s">
        <v>1202</v>
      </c>
      <c r="F147" s="318" t="s">
        <v>1175</v>
      </c>
      <c r="G147" s="318">
        <f t="shared" si="18"/>
        <v>5126500</v>
      </c>
      <c r="H147" s="318">
        <f>'d3'!E153</f>
        <v>5126500</v>
      </c>
      <c r="I147" s="318">
        <f>'d3'!J153</f>
        <v>0</v>
      </c>
      <c r="J147" s="318">
        <f>'d3'!K153</f>
        <v>0</v>
      </c>
      <c r="K147" s="139"/>
      <c r="L147" s="139"/>
      <c r="M147" s="139"/>
    </row>
    <row r="148" spans="1:14" ht="230.25" thickTop="1" thickBot="1" x14ac:dyDescent="0.25">
      <c r="A148" s="103" t="s">
        <v>484</v>
      </c>
      <c r="B148" s="103" t="s">
        <v>485</v>
      </c>
      <c r="C148" s="103" t="s">
        <v>199</v>
      </c>
      <c r="D148" s="103" t="s">
        <v>486</v>
      </c>
      <c r="E148" s="321" t="s">
        <v>1202</v>
      </c>
      <c r="F148" s="318" t="s">
        <v>1175</v>
      </c>
      <c r="G148" s="318">
        <f t="shared" si="18"/>
        <v>184607</v>
      </c>
      <c r="H148" s="318">
        <f>'d3'!E155</f>
        <v>184607</v>
      </c>
      <c r="I148" s="318">
        <f>'d3'!J155</f>
        <v>0</v>
      </c>
      <c r="J148" s="318">
        <f>'d3'!K155</f>
        <v>0</v>
      </c>
      <c r="K148" s="139"/>
      <c r="L148" s="139"/>
      <c r="M148" s="139"/>
    </row>
    <row r="149" spans="1:14" ht="276" thickTop="1" thickBot="1" x14ac:dyDescent="0.25">
      <c r="A149" s="103" t="s">
        <v>348</v>
      </c>
      <c r="B149" s="103" t="s">
        <v>347</v>
      </c>
      <c r="C149" s="103" t="s">
        <v>50</v>
      </c>
      <c r="D149" s="103" t="s">
        <v>454</v>
      </c>
      <c r="E149" s="321" t="s">
        <v>1202</v>
      </c>
      <c r="F149" s="318" t="s">
        <v>1175</v>
      </c>
      <c r="G149" s="318">
        <f t="shared" si="18"/>
        <v>1245437.28</v>
      </c>
      <c r="H149" s="318">
        <v>1245437.28</v>
      </c>
      <c r="I149" s="318">
        <f>'d3'!J156-I150-I151</f>
        <v>0</v>
      </c>
      <c r="J149" s="318">
        <f>'d3'!K156-J150-J151</f>
        <v>0</v>
      </c>
      <c r="K149" s="96" t="b">
        <f>H149+H150+H151='d3'!E156</f>
        <v>1</v>
      </c>
      <c r="L149" s="96" t="b">
        <f>I149+I150+I151='d3'!J156</f>
        <v>1</v>
      </c>
      <c r="M149" s="96" t="b">
        <f>J149+J150+J151='d3'!K156</f>
        <v>1</v>
      </c>
    </row>
    <row r="150" spans="1:14" ht="276" thickTop="1" thickBot="1" x14ac:dyDescent="0.25">
      <c r="A150" s="103" t="s">
        <v>348</v>
      </c>
      <c r="B150" s="103" t="s">
        <v>347</v>
      </c>
      <c r="C150" s="103" t="s">
        <v>50</v>
      </c>
      <c r="D150" s="103" t="s">
        <v>454</v>
      </c>
      <c r="E150" s="321" t="s">
        <v>1237</v>
      </c>
      <c r="F150" s="318" t="s">
        <v>871</v>
      </c>
      <c r="G150" s="318">
        <f t="shared" si="18"/>
        <v>799824</v>
      </c>
      <c r="H150" s="318">
        <v>799824</v>
      </c>
      <c r="I150" s="318">
        <v>0</v>
      </c>
      <c r="J150" s="318">
        <v>0</v>
      </c>
      <c r="K150" s="139"/>
      <c r="L150" s="139"/>
      <c r="M150" s="139"/>
    </row>
    <row r="151" spans="1:14" ht="321.75" thickTop="1" thickBot="1" x14ac:dyDescent="0.25">
      <c r="A151" s="103" t="s">
        <v>348</v>
      </c>
      <c r="B151" s="103" t="s">
        <v>347</v>
      </c>
      <c r="C151" s="103" t="s">
        <v>50</v>
      </c>
      <c r="D151" s="103" t="s">
        <v>454</v>
      </c>
      <c r="E151" s="321" t="s">
        <v>1414</v>
      </c>
      <c r="F151" s="318" t="s">
        <v>1376</v>
      </c>
      <c r="G151" s="318">
        <f t="shared" si="18"/>
        <v>642672</v>
      </c>
      <c r="H151" s="318">
        <v>642672</v>
      </c>
      <c r="I151" s="318">
        <v>0</v>
      </c>
      <c r="J151" s="318">
        <v>0</v>
      </c>
      <c r="K151" s="139"/>
      <c r="L151" s="139"/>
      <c r="M151" s="139"/>
    </row>
    <row r="152" spans="1:14" ht="184.5" thickTop="1" thickBot="1" x14ac:dyDescent="0.25">
      <c r="A152" s="103" t="s">
        <v>325</v>
      </c>
      <c r="B152" s="103" t="s">
        <v>326</v>
      </c>
      <c r="C152" s="103" t="s">
        <v>205</v>
      </c>
      <c r="D152" s="103" t="s">
        <v>636</v>
      </c>
      <c r="E152" s="321" t="s">
        <v>1202</v>
      </c>
      <c r="F152" s="318" t="s">
        <v>1175</v>
      </c>
      <c r="G152" s="318">
        <f t="shared" si="18"/>
        <v>1000000</v>
      </c>
      <c r="H152" s="318">
        <f>'d3'!E158</f>
        <v>1000000</v>
      </c>
      <c r="I152" s="318">
        <f>'d3'!J158</f>
        <v>0</v>
      </c>
      <c r="J152" s="318">
        <f>'d3'!K158</f>
        <v>0</v>
      </c>
      <c r="K152" s="139"/>
      <c r="L152" s="139"/>
      <c r="M152" s="139"/>
    </row>
    <row r="153" spans="1:14" ht="138.75" thickTop="1" thickBot="1" x14ac:dyDescent="0.25">
      <c r="A153" s="103" t="s">
        <v>428</v>
      </c>
      <c r="B153" s="103" t="s">
        <v>372</v>
      </c>
      <c r="C153" s="103" t="s">
        <v>373</v>
      </c>
      <c r="D153" s="103" t="s">
        <v>371</v>
      </c>
      <c r="E153" s="321" t="s">
        <v>1566</v>
      </c>
      <c r="F153" s="318"/>
      <c r="G153" s="318">
        <f t="shared" si="18"/>
        <v>117000</v>
      </c>
      <c r="H153" s="318">
        <f>'d3'!E159</f>
        <v>117000</v>
      </c>
      <c r="I153" s="318">
        <f>'d3'!J159</f>
        <v>0</v>
      </c>
      <c r="J153" s="318">
        <f>'d3'!K159</f>
        <v>0</v>
      </c>
      <c r="K153" s="139"/>
      <c r="L153" s="139"/>
      <c r="M153" s="139"/>
    </row>
    <row r="154" spans="1:14" ht="184.5" thickTop="1" thickBot="1" x14ac:dyDescent="0.25">
      <c r="A154" s="103" t="s">
        <v>1213</v>
      </c>
      <c r="B154" s="103" t="s">
        <v>1210</v>
      </c>
      <c r="C154" s="103" t="s">
        <v>206</v>
      </c>
      <c r="D154" s="485" t="s">
        <v>1211</v>
      </c>
      <c r="E154" s="321" t="s">
        <v>1202</v>
      </c>
      <c r="F154" s="318" t="s">
        <v>1175</v>
      </c>
      <c r="G154" s="318">
        <f>H154+I154</f>
        <v>36743385.019999996</v>
      </c>
      <c r="H154" s="322">
        <f>'d3'!E175</f>
        <v>5975529</v>
      </c>
      <c r="I154" s="318">
        <f>'d3'!J175</f>
        <v>30767856.02</v>
      </c>
      <c r="J154" s="318">
        <f>'d3'!K175</f>
        <v>30767856.02</v>
      </c>
      <c r="K154" s="139"/>
      <c r="L154" s="139"/>
      <c r="M154" s="139"/>
    </row>
    <row r="155" spans="1:14" ht="138.75" thickTop="1" thickBot="1" x14ac:dyDescent="0.25">
      <c r="A155" s="103" t="s">
        <v>327</v>
      </c>
      <c r="B155" s="103" t="s">
        <v>329</v>
      </c>
      <c r="C155" s="103" t="s">
        <v>191</v>
      </c>
      <c r="D155" s="485" t="s">
        <v>331</v>
      </c>
      <c r="E155" s="321" t="s">
        <v>1202</v>
      </c>
      <c r="F155" s="318" t="s">
        <v>1175</v>
      </c>
      <c r="G155" s="318">
        <f t="shared" si="18"/>
        <v>29765916</v>
      </c>
      <c r="H155" s="322">
        <f>'d3'!E177-H156</f>
        <v>24773656</v>
      </c>
      <c r="I155" s="318">
        <f>'d3'!J177-I156</f>
        <v>4992260</v>
      </c>
      <c r="J155" s="318">
        <f>'d3'!K177-J156</f>
        <v>0</v>
      </c>
      <c r="L155" s="139"/>
      <c r="M155" s="139"/>
    </row>
    <row r="156" spans="1:14" ht="207" hidden="1" customHeight="1" thickTop="1" thickBot="1" x14ac:dyDescent="0.25">
      <c r="A156" s="41" t="s">
        <v>327</v>
      </c>
      <c r="B156" s="41" t="s">
        <v>329</v>
      </c>
      <c r="C156" s="41" t="s">
        <v>191</v>
      </c>
      <c r="D156" s="154" t="s">
        <v>331</v>
      </c>
      <c r="E156" s="258" t="s">
        <v>449</v>
      </c>
      <c r="F156" s="263" t="s">
        <v>450</v>
      </c>
      <c r="G156" s="73">
        <f>H156+I156</f>
        <v>0</v>
      </c>
      <c r="H156" s="259">
        <v>0</v>
      </c>
      <c r="I156" s="73">
        <v>0</v>
      </c>
      <c r="J156" s="73">
        <v>0</v>
      </c>
      <c r="K156" s="139"/>
      <c r="L156" s="139"/>
      <c r="M156" s="139"/>
    </row>
    <row r="157" spans="1:14" ht="138.75" thickTop="1" thickBot="1" x14ac:dyDescent="0.25">
      <c r="A157" s="103" t="s">
        <v>328</v>
      </c>
      <c r="B157" s="103" t="s">
        <v>330</v>
      </c>
      <c r="C157" s="103" t="s">
        <v>191</v>
      </c>
      <c r="D157" s="485" t="s">
        <v>332</v>
      </c>
      <c r="E157" s="321" t="s">
        <v>1202</v>
      </c>
      <c r="F157" s="318" t="s">
        <v>1175</v>
      </c>
      <c r="G157" s="318">
        <f>H157+I157</f>
        <v>22958830</v>
      </c>
      <c r="H157" s="318">
        <v>22958830</v>
      </c>
      <c r="I157" s="318">
        <f>'d3'!J178-I159-I160-I161-I162-I158</f>
        <v>0</v>
      </c>
      <c r="J157" s="318">
        <f>'d3'!K178-J159-J160-J161-J162-J158</f>
        <v>0</v>
      </c>
      <c r="K157" s="860" t="b">
        <f>H157+H159+H160+H161+H162+H158='d3'!E178</f>
        <v>1</v>
      </c>
      <c r="L157" s="860" t="b">
        <f>I157+I159+I160+I161+I162+I158='d3'!J178</f>
        <v>1</v>
      </c>
      <c r="M157" s="860" t="b">
        <f>J157+J159+J160+J161+J162+J158='d3'!K178</f>
        <v>1</v>
      </c>
    </row>
    <row r="158" spans="1:14" ht="367.5" thickTop="1" thickBot="1" x14ac:dyDescent="0.25">
      <c r="A158" s="103" t="s">
        <v>328</v>
      </c>
      <c r="B158" s="103" t="s">
        <v>330</v>
      </c>
      <c r="C158" s="103" t="s">
        <v>191</v>
      </c>
      <c r="D158" s="485" t="s">
        <v>332</v>
      </c>
      <c r="E158" s="318" t="s">
        <v>1419</v>
      </c>
      <c r="F158" s="318" t="s">
        <v>861</v>
      </c>
      <c r="G158" s="318">
        <f t="shared" si="18"/>
        <v>2000000</v>
      </c>
      <c r="H158" s="318">
        <v>2000000</v>
      </c>
      <c r="I158" s="318">
        <v>0</v>
      </c>
      <c r="J158" s="318">
        <v>0</v>
      </c>
      <c r="K158" s="860"/>
      <c r="L158" s="860"/>
      <c r="M158" s="860"/>
    </row>
    <row r="159" spans="1:14" ht="138.75" thickTop="1" thickBot="1" x14ac:dyDescent="0.25">
      <c r="A159" s="103" t="s">
        <v>328</v>
      </c>
      <c r="B159" s="103" t="s">
        <v>330</v>
      </c>
      <c r="C159" s="103" t="s">
        <v>191</v>
      </c>
      <c r="D159" s="485" t="s">
        <v>332</v>
      </c>
      <c r="E159" s="318" t="s">
        <v>1565</v>
      </c>
      <c r="F159" s="318" t="s">
        <v>870</v>
      </c>
      <c r="G159" s="318">
        <f t="shared" si="18"/>
        <v>981500</v>
      </c>
      <c r="H159" s="318">
        <v>981500</v>
      </c>
      <c r="I159" s="318">
        <v>0</v>
      </c>
      <c r="J159" s="318">
        <v>0</v>
      </c>
      <c r="K159" s="861"/>
      <c r="L159" s="861"/>
      <c r="M159" s="861"/>
      <c r="N159" s="254"/>
    </row>
    <row r="160" spans="1:14" ht="251.25" customHeight="1" thickTop="1" thickBot="1" x14ac:dyDescent="0.25">
      <c r="A160" s="103" t="s">
        <v>328</v>
      </c>
      <c r="B160" s="103" t="s">
        <v>330</v>
      </c>
      <c r="C160" s="103" t="s">
        <v>191</v>
      </c>
      <c r="D160" s="485" t="s">
        <v>332</v>
      </c>
      <c r="E160" s="321" t="s">
        <v>1237</v>
      </c>
      <c r="F160" s="318" t="s">
        <v>871</v>
      </c>
      <c r="G160" s="318">
        <f t="shared" si="18"/>
        <v>14432260</v>
      </c>
      <c r="H160" s="318">
        <v>14432260</v>
      </c>
      <c r="I160" s="318">
        <v>0</v>
      </c>
      <c r="J160" s="318">
        <v>0</v>
      </c>
      <c r="K160" s="861"/>
      <c r="L160" s="861"/>
      <c r="M160" s="861"/>
    </row>
    <row r="161" spans="1:13" ht="184.5" thickTop="1" thickBot="1" x14ac:dyDescent="0.25">
      <c r="A161" s="103" t="s">
        <v>328</v>
      </c>
      <c r="B161" s="103" t="s">
        <v>330</v>
      </c>
      <c r="C161" s="103" t="s">
        <v>191</v>
      </c>
      <c r="D161" s="485" t="s">
        <v>332</v>
      </c>
      <c r="E161" s="321" t="s">
        <v>1505</v>
      </c>
      <c r="F161" s="318" t="s">
        <v>1506</v>
      </c>
      <c r="G161" s="318">
        <f t="shared" si="18"/>
        <v>2610000</v>
      </c>
      <c r="H161" s="318">
        <v>2610000</v>
      </c>
      <c r="I161" s="318">
        <v>0</v>
      </c>
      <c r="J161" s="318">
        <v>0</v>
      </c>
      <c r="K161" s="13"/>
      <c r="L161" s="13"/>
      <c r="M161" s="13"/>
    </row>
    <row r="162" spans="1:13" ht="321.75" thickTop="1" thickBot="1" x14ac:dyDescent="0.25">
      <c r="A162" s="103" t="s">
        <v>328</v>
      </c>
      <c r="B162" s="103" t="s">
        <v>330</v>
      </c>
      <c r="C162" s="103" t="s">
        <v>191</v>
      </c>
      <c r="D162" s="485" t="s">
        <v>332</v>
      </c>
      <c r="E162" s="321" t="s">
        <v>1414</v>
      </c>
      <c r="F162" s="318" t="s">
        <v>1376</v>
      </c>
      <c r="G162" s="318">
        <f t="shared" si="18"/>
        <v>24670500</v>
      </c>
      <c r="H162" s="318">
        <v>670500</v>
      </c>
      <c r="I162" s="318">
        <v>24000000</v>
      </c>
      <c r="J162" s="318">
        <v>24000000</v>
      </c>
      <c r="K162" s="13"/>
      <c r="L162" s="13"/>
      <c r="M162" s="13"/>
    </row>
    <row r="163" spans="1:13" ht="230.25" thickTop="1" thickBot="1" x14ac:dyDescent="0.25">
      <c r="A163" s="103" t="s">
        <v>367</v>
      </c>
      <c r="B163" s="103" t="s">
        <v>365</v>
      </c>
      <c r="C163" s="103" t="s">
        <v>340</v>
      </c>
      <c r="D163" s="485" t="s">
        <v>366</v>
      </c>
      <c r="E163" s="321" t="s">
        <v>1237</v>
      </c>
      <c r="F163" s="318" t="s">
        <v>871</v>
      </c>
      <c r="G163" s="318">
        <f t="shared" si="18"/>
        <v>20000000</v>
      </c>
      <c r="H163" s="318">
        <f>'d3'!E181</f>
        <v>0</v>
      </c>
      <c r="I163" s="318">
        <f>'d3'!J181</f>
        <v>20000000</v>
      </c>
      <c r="J163" s="318">
        <f>'d3'!K181</f>
        <v>20000000</v>
      </c>
      <c r="K163" s="139"/>
      <c r="L163" s="139"/>
      <c r="M163" s="139"/>
    </row>
    <row r="164" spans="1:13" ht="321.75" hidden="1" thickTop="1" thickBot="1" x14ac:dyDescent="0.25">
      <c r="A164" s="41" t="s">
        <v>1082</v>
      </c>
      <c r="B164" s="41" t="s">
        <v>1083</v>
      </c>
      <c r="C164" s="41" t="s">
        <v>340</v>
      </c>
      <c r="D164" s="154" t="s">
        <v>1084</v>
      </c>
      <c r="E164" s="73" t="s">
        <v>869</v>
      </c>
      <c r="F164" s="73" t="s">
        <v>870</v>
      </c>
      <c r="G164" s="73">
        <f t="shared" si="18"/>
        <v>0</v>
      </c>
      <c r="H164" s="271">
        <f>'d3'!E182</f>
        <v>0</v>
      </c>
      <c r="I164" s="271">
        <f>'d3'!J182</f>
        <v>0</v>
      </c>
      <c r="J164" s="271">
        <f>'d3'!K182</f>
        <v>0</v>
      </c>
      <c r="K164" s="139"/>
      <c r="L164" s="139"/>
      <c r="M164" s="139"/>
    </row>
    <row r="165" spans="1:13" ht="138.75" hidden="1" thickTop="1" thickBot="1" x14ac:dyDescent="0.25">
      <c r="A165" s="128" t="s">
        <v>926</v>
      </c>
      <c r="B165" s="128" t="s">
        <v>927</v>
      </c>
      <c r="C165" s="128" t="s">
        <v>304</v>
      </c>
      <c r="D165" s="128" t="s">
        <v>1531</v>
      </c>
      <c r="E165" s="255" t="s">
        <v>1202</v>
      </c>
      <c r="F165" s="196" t="s">
        <v>1175</v>
      </c>
      <c r="G165" s="196">
        <f t="shared" si="18"/>
        <v>0</v>
      </c>
      <c r="H165" s="269">
        <f>'d3'!E186</f>
        <v>0</v>
      </c>
      <c r="I165" s="269">
        <f>'d3'!J186</f>
        <v>0</v>
      </c>
      <c r="J165" s="269">
        <f>'d3'!K186</f>
        <v>0</v>
      </c>
      <c r="K165" s="139"/>
      <c r="L165" s="139"/>
      <c r="M165" s="139"/>
    </row>
    <row r="166" spans="1:13" ht="138.75" hidden="1" thickTop="1" thickBot="1" x14ac:dyDescent="0.25">
      <c r="A166" s="128" t="s">
        <v>1331</v>
      </c>
      <c r="B166" s="128" t="s">
        <v>212</v>
      </c>
      <c r="C166" s="128" t="s">
        <v>213</v>
      </c>
      <c r="D166" s="128" t="s">
        <v>41</v>
      </c>
      <c r="E166" s="255" t="s">
        <v>1202</v>
      </c>
      <c r="F166" s="196" t="s">
        <v>1175</v>
      </c>
      <c r="G166" s="196">
        <f t="shared" si="18"/>
        <v>0</v>
      </c>
      <c r="H166" s="269">
        <f>'d3'!E188</f>
        <v>0</v>
      </c>
      <c r="I166" s="269">
        <f>'d3'!J188</f>
        <v>0</v>
      </c>
      <c r="J166" s="269">
        <f>'d3'!K188</f>
        <v>0</v>
      </c>
      <c r="K166" s="139"/>
      <c r="L166" s="139"/>
      <c r="M166" s="139"/>
    </row>
    <row r="167" spans="1:13" ht="321.75" hidden="1" thickTop="1" thickBot="1" x14ac:dyDescent="0.7">
      <c r="A167" s="753" t="s">
        <v>423</v>
      </c>
      <c r="B167" s="753" t="s">
        <v>338</v>
      </c>
      <c r="C167" s="753" t="s">
        <v>170</v>
      </c>
      <c r="D167" s="155" t="s">
        <v>440</v>
      </c>
      <c r="E167" s="753" t="s">
        <v>1170</v>
      </c>
      <c r="F167" s="753" t="s">
        <v>1171</v>
      </c>
      <c r="G167" s="846">
        <f>H167+I167</f>
        <v>0</v>
      </c>
      <c r="H167" s="846">
        <f>'d3'!E190</f>
        <v>0</v>
      </c>
      <c r="I167" s="846">
        <f>'d3'!J190</f>
        <v>0</v>
      </c>
      <c r="J167" s="846">
        <f>'d3'!K190</f>
        <v>0</v>
      </c>
      <c r="K167" s="139"/>
      <c r="L167" s="139"/>
      <c r="M167" s="139"/>
    </row>
    <row r="168" spans="1:13" ht="138.75" hidden="1" thickTop="1" thickBot="1" x14ac:dyDescent="0.25">
      <c r="A168" s="762"/>
      <c r="B168" s="762"/>
      <c r="C168" s="762"/>
      <c r="D168" s="156" t="s">
        <v>441</v>
      </c>
      <c r="E168" s="762"/>
      <c r="F168" s="762"/>
      <c r="G168" s="847"/>
      <c r="H168" s="848"/>
      <c r="I168" s="847"/>
      <c r="J168" s="847"/>
      <c r="K168" s="254"/>
      <c r="L168" s="261"/>
      <c r="M168" s="261"/>
    </row>
    <row r="169" spans="1:13" ht="136.5" thickTop="1" thickBot="1" x14ac:dyDescent="0.25">
      <c r="A169" s="508">
        <v>1000000</v>
      </c>
      <c r="B169" s="508"/>
      <c r="C169" s="508"/>
      <c r="D169" s="509" t="s">
        <v>24</v>
      </c>
      <c r="E169" s="508"/>
      <c r="F169" s="508"/>
      <c r="G169" s="510">
        <f>G170</f>
        <v>184342203</v>
      </c>
      <c r="H169" s="510">
        <f t="shared" ref="H169:J169" si="21">H170</f>
        <v>173208353</v>
      </c>
      <c r="I169" s="510">
        <f t="shared" si="21"/>
        <v>11133850</v>
      </c>
      <c r="J169" s="510">
        <f t="shared" si="21"/>
        <v>0</v>
      </c>
      <c r="K169" s="96" t="b">
        <f>H169='d3'!E193</f>
        <v>1</v>
      </c>
      <c r="L169" s="480" t="b">
        <f>I169='d3'!J193</f>
        <v>1</v>
      </c>
      <c r="M169" s="480" t="b">
        <f>J169='d3'!K193</f>
        <v>1</v>
      </c>
    </row>
    <row r="170" spans="1:13" ht="136.5" thickTop="1" thickBot="1" x14ac:dyDescent="0.25">
      <c r="A170" s="511">
        <v>1010000</v>
      </c>
      <c r="B170" s="511"/>
      <c r="C170" s="511"/>
      <c r="D170" s="512" t="s">
        <v>39</v>
      </c>
      <c r="E170" s="513"/>
      <c r="F170" s="513"/>
      <c r="G170" s="513">
        <f>SUM(G171:G189)</f>
        <v>184342203</v>
      </c>
      <c r="H170" s="513">
        <f>SUM(H171:H189)</f>
        <v>173208353</v>
      </c>
      <c r="I170" s="513">
        <f>SUM(I171:I189)</f>
        <v>11133850</v>
      </c>
      <c r="J170" s="513">
        <f>SUM(J171:J189)</f>
        <v>0</v>
      </c>
      <c r="K170" s="139"/>
      <c r="L170" s="139"/>
      <c r="M170" s="139"/>
    </row>
    <row r="171" spans="1:13" ht="184.5" thickTop="1" thickBot="1" x14ac:dyDescent="0.25">
      <c r="A171" s="103" t="s">
        <v>637</v>
      </c>
      <c r="B171" s="103" t="s">
        <v>638</v>
      </c>
      <c r="C171" s="103" t="s">
        <v>181</v>
      </c>
      <c r="D171" s="103" t="s">
        <v>1128</v>
      </c>
      <c r="E171" s="318" t="s">
        <v>867</v>
      </c>
      <c r="F171" s="318" t="s">
        <v>868</v>
      </c>
      <c r="G171" s="318">
        <f>H171+I171</f>
        <v>105789088</v>
      </c>
      <c r="H171" s="318">
        <f>'d3'!E195-H172</f>
        <v>95874428</v>
      </c>
      <c r="I171" s="318">
        <f>'d3'!J195-I172</f>
        <v>9914660</v>
      </c>
      <c r="J171" s="318">
        <f>'d3'!K195-J172</f>
        <v>0</v>
      </c>
      <c r="K171" s="139"/>
      <c r="L171" s="139"/>
      <c r="M171" s="139"/>
    </row>
    <row r="172" spans="1:13" ht="184.5" hidden="1" thickTop="1" thickBot="1" x14ac:dyDescent="0.25">
      <c r="A172" s="128" t="s">
        <v>637</v>
      </c>
      <c r="B172" s="128" t="s">
        <v>638</v>
      </c>
      <c r="C172" s="128" t="s">
        <v>181</v>
      </c>
      <c r="D172" s="128" t="s">
        <v>1128</v>
      </c>
      <c r="E172" s="255" t="s">
        <v>1415</v>
      </c>
      <c r="F172" s="196" t="s">
        <v>450</v>
      </c>
      <c r="G172" s="196">
        <f t="shared" ref="G172" si="22">H172+I172</f>
        <v>0</v>
      </c>
      <c r="H172" s="196">
        <v>0</v>
      </c>
      <c r="I172" s="196">
        <v>0</v>
      </c>
      <c r="J172" s="196">
        <v>0</v>
      </c>
      <c r="K172" s="139"/>
      <c r="L172" s="139"/>
      <c r="M172" s="139"/>
    </row>
    <row r="173" spans="1:13" ht="184.5" thickTop="1" thickBot="1" x14ac:dyDescent="0.25">
      <c r="A173" s="103" t="s">
        <v>172</v>
      </c>
      <c r="B173" s="103" t="s">
        <v>173</v>
      </c>
      <c r="C173" s="103" t="s">
        <v>174</v>
      </c>
      <c r="D173" s="103" t="s">
        <v>175</v>
      </c>
      <c r="E173" s="318" t="s">
        <v>867</v>
      </c>
      <c r="F173" s="318" t="s">
        <v>868</v>
      </c>
      <c r="G173" s="318">
        <f t="shared" ref="G173:G189" si="23">H173+I173</f>
        <v>18648775</v>
      </c>
      <c r="H173" s="318">
        <f>'d3'!E197-H174-H175</f>
        <v>18479775</v>
      </c>
      <c r="I173" s="318">
        <f>'d3'!J197-I174-I175</f>
        <v>169000</v>
      </c>
      <c r="J173" s="318">
        <f>'d3'!K197-J174-J175</f>
        <v>0</v>
      </c>
      <c r="K173" s="139"/>
      <c r="L173" s="139"/>
      <c r="M173" s="139"/>
    </row>
    <row r="174" spans="1:13" ht="184.5" hidden="1" thickTop="1" thickBot="1" x14ac:dyDescent="0.25">
      <c r="A174" s="103" t="s">
        <v>172</v>
      </c>
      <c r="B174" s="103" t="s">
        <v>173</v>
      </c>
      <c r="C174" s="103" t="s">
        <v>174</v>
      </c>
      <c r="D174" s="103" t="s">
        <v>175</v>
      </c>
      <c r="E174" s="321" t="s">
        <v>449</v>
      </c>
      <c r="F174" s="330" t="s">
        <v>450</v>
      </c>
      <c r="G174" s="318">
        <f>H174+I174</f>
        <v>0</v>
      </c>
      <c r="H174" s="322">
        <v>0</v>
      </c>
      <c r="I174" s="318">
        <v>0</v>
      </c>
      <c r="J174" s="318">
        <v>0</v>
      </c>
      <c r="K174" s="139"/>
      <c r="L174" s="139"/>
      <c r="M174" s="139"/>
    </row>
    <row r="175" spans="1:13" ht="184.5" hidden="1" thickTop="1" thickBot="1" x14ac:dyDescent="0.25">
      <c r="A175" s="103" t="s">
        <v>172</v>
      </c>
      <c r="B175" s="103" t="s">
        <v>173</v>
      </c>
      <c r="C175" s="103" t="s">
        <v>174</v>
      </c>
      <c r="D175" s="103" t="s">
        <v>175</v>
      </c>
      <c r="E175" s="318" t="s">
        <v>865</v>
      </c>
      <c r="F175" s="318" t="s">
        <v>866</v>
      </c>
      <c r="G175" s="318">
        <f>H175+I175</f>
        <v>0</v>
      </c>
      <c r="H175" s="322">
        <v>0</v>
      </c>
      <c r="I175" s="318">
        <v>0</v>
      </c>
      <c r="J175" s="318">
        <v>0</v>
      </c>
      <c r="K175" s="139"/>
      <c r="L175" s="139"/>
      <c r="M175" s="139"/>
    </row>
    <row r="176" spans="1:13" ht="184.5" thickTop="1" thickBot="1" x14ac:dyDescent="0.25">
      <c r="A176" s="103" t="s">
        <v>176</v>
      </c>
      <c r="B176" s="103" t="s">
        <v>177</v>
      </c>
      <c r="C176" s="103" t="s">
        <v>174</v>
      </c>
      <c r="D176" s="103" t="s">
        <v>463</v>
      </c>
      <c r="E176" s="318" t="s">
        <v>867</v>
      </c>
      <c r="F176" s="318" t="s">
        <v>868</v>
      </c>
      <c r="G176" s="318">
        <f t="shared" si="23"/>
        <v>2961294</v>
      </c>
      <c r="H176" s="318">
        <f>'d3'!E198-H177</f>
        <v>2847504</v>
      </c>
      <c r="I176" s="318">
        <f>'d3'!J198-I177</f>
        <v>113790</v>
      </c>
      <c r="J176" s="318">
        <f>'d3'!K198-J177</f>
        <v>0</v>
      </c>
      <c r="K176" s="139"/>
      <c r="L176" s="139"/>
      <c r="M176" s="139"/>
    </row>
    <row r="177" spans="1:13" ht="184.5" hidden="1" thickTop="1" thickBot="1" x14ac:dyDescent="0.25">
      <c r="A177" s="128" t="s">
        <v>176</v>
      </c>
      <c r="B177" s="128" t="s">
        <v>177</v>
      </c>
      <c r="C177" s="128" t="s">
        <v>174</v>
      </c>
      <c r="D177" s="128" t="s">
        <v>463</v>
      </c>
      <c r="E177" s="255" t="s">
        <v>1415</v>
      </c>
      <c r="F177" s="196" t="s">
        <v>450</v>
      </c>
      <c r="G177" s="196">
        <f t="shared" si="23"/>
        <v>0</v>
      </c>
      <c r="H177" s="196">
        <v>0</v>
      </c>
      <c r="I177" s="196">
        <v>0</v>
      </c>
      <c r="J177" s="196">
        <v>0</v>
      </c>
      <c r="K177" s="139"/>
      <c r="L177" s="139"/>
      <c r="M177" s="139"/>
    </row>
    <row r="178" spans="1:13" ht="184.5" thickTop="1" thickBot="1" x14ac:dyDescent="0.25">
      <c r="A178" s="103" t="s">
        <v>178</v>
      </c>
      <c r="B178" s="103" t="s">
        <v>171</v>
      </c>
      <c r="C178" s="103" t="s">
        <v>179</v>
      </c>
      <c r="D178" s="103" t="s">
        <v>180</v>
      </c>
      <c r="E178" s="318" t="s">
        <v>867</v>
      </c>
      <c r="F178" s="318" t="s">
        <v>868</v>
      </c>
      <c r="G178" s="318">
        <f t="shared" si="23"/>
        <v>22317193</v>
      </c>
      <c r="H178" s="318">
        <f>'d3'!E199-H179</f>
        <v>21555193</v>
      </c>
      <c r="I178" s="318">
        <f>'d3'!J199-I179</f>
        <v>762000</v>
      </c>
      <c r="J178" s="318">
        <f>'d3'!K199-J179</f>
        <v>0</v>
      </c>
      <c r="K178" s="139"/>
      <c r="L178" s="139"/>
      <c r="M178" s="139"/>
    </row>
    <row r="179" spans="1:13" ht="184.5" hidden="1" thickTop="1" thickBot="1" x14ac:dyDescent="0.25">
      <c r="A179" s="41" t="s">
        <v>178</v>
      </c>
      <c r="B179" s="41" t="s">
        <v>171</v>
      </c>
      <c r="C179" s="41" t="s">
        <v>179</v>
      </c>
      <c r="D179" s="41" t="s">
        <v>180</v>
      </c>
      <c r="E179" s="258" t="s">
        <v>449</v>
      </c>
      <c r="F179" s="263" t="s">
        <v>450</v>
      </c>
      <c r="G179" s="73">
        <f>H179+I179</f>
        <v>0</v>
      </c>
      <c r="H179" s="259">
        <v>0</v>
      </c>
      <c r="I179" s="73">
        <v>0</v>
      </c>
      <c r="J179" s="73">
        <v>0</v>
      </c>
      <c r="K179" s="139"/>
      <c r="L179" s="139"/>
      <c r="M179" s="139"/>
    </row>
    <row r="180" spans="1:13" ht="184.5" thickTop="1" thickBot="1" x14ac:dyDescent="0.25">
      <c r="A180" s="103" t="s">
        <v>1204</v>
      </c>
      <c r="B180" s="103" t="s">
        <v>1205</v>
      </c>
      <c r="C180" s="103" t="s">
        <v>1207</v>
      </c>
      <c r="D180" s="103" t="s">
        <v>1206</v>
      </c>
      <c r="E180" s="318" t="s">
        <v>867</v>
      </c>
      <c r="F180" s="318" t="s">
        <v>868</v>
      </c>
      <c r="G180" s="318">
        <f>H180+I180</f>
        <v>0</v>
      </c>
      <c r="H180" s="322">
        <f>'d3'!E200</f>
        <v>0</v>
      </c>
      <c r="I180" s="318">
        <f>'d3'!J200</f>
        <v>0</v>
      </c>
      <c r="J180" s="318">
        <f>'d3'!K200</f>
        <v>0</v>
      </c>
      <c r="K180" s="139"/>
      <c r="L180" s="139"/>
      <c r="M180" s="139"/>
    </row>
    <row r="181" spans="1:13" ht="184.5" thickTop="1" thickBot="1" x14ac:dyDescent="0.25">
      <c r="A181" s="103" t="s">
        <v>333</v>
      </c>
      <c r="B181" s="103" t="s">
        <v>334</v>
      </c>
      <c r="C181" s="103" t="s">
        <v>182</v>
      </c>
      <c r="D181" s="103" t="s">
        <v>464</v>
      </c>
      <c r="E181" s="318" t="s">
        <v>867</v>
      </c>
      <c r="F181" s="318" t="s">
        <v>868</v>
      </c>
      <c r="G181" s="318">
        <f>H181+I181</f>
        <v>27846403</v>
      </c>
      <c r="H181" s="318">
        <f>'d3'!E202-H182</f>
        <v>27672003</v>
      </c>
      <c r="I181" s="318">
        <f>'d3'!J202-I182</f>
        <v>174400</v>
      </c>
      <c r="J181" s="318">
        <f>'d3'!K202-J182</f>
        <v>0</v>
      </c>
      <c r="K181" s="139"/>
      <c r="L181" s="139"/>
      <c r="M181" s="139"/>
    </row>
    <row r="182" spans="1:13" ht="138.75" thickTop="1" thickBot="1" x14ac:dyDescent="0.25">
      <c r="A182" s="103" t="s">
        <v>333</v>
      </c>
      <c r="B182" s="103" t="s">
        <v>334</v>
      </c>
      <c r="C182" s="103" t="s">
        <v>182</v>
      </c>
      <c r="D182" s="103" t="s">
        <v>464</v>
      </c>
      <c r="E182" s="318" t="s">
        <v>1271</v>
      </c>
      <c r="F182" s="318" t="s">
        <v>406</v>
      </c>
      <c r="G182" s="318">
        <f t="shared" si="23"/>
        <v>1399500</v>
      </c>
      <c r="H182" s="318">
        <v>1399500</v>
      </c>
      <c r="I182" s="318">
        <v>0</v>
      </c>
      <c r="J182" s="318">
        <v>0</v>
      </c>
      <c r="K182" s="139"/>
      <c r="L182" s="139"/>
      <c r="M182" s="139"/>
    </row>
    <row r="183" spans="1:13" ht="184.5" thickTop="1" thickBot="1" x14ac:dyDescent="0.25">
      <c r="A183" s="103" t="s">
        <v>335</v>
      </c>
      <c r="B183" s="103" t="s">
        <v>336</v>
      </c>
      <c r="C183" s="103" t="s">
        <v>182</v>
      </c>
      <c r="D183" s="103" t="s">
        <v>465</v>
      </c>
      <c r="E183" s="318" t="s">
        <v>867</v>
      </c>
      <c r="F183" s="318" t="s">
        <v>868</v>
      </c>
      <c r="G183" s="318">
        <f t="shared" si="23"/>
        <v>3450000</v>
      </c>
      <c r="H183" s="318">
        <f>'d3'!E203-H184-H185</f>
        <v>3450000</v>
      </c>
      <c r="I183" s="318">
        <f>'d3'!J203-I184-I185</f>
        <v>0</v>
      </c>
      <c r="J183" s="318">
        <f>'d3'!K203-J184-J185</f>
        <v>0</v>
      </c>
      <c r="K183" s="139"/>
      <c r="L183" s="139"/>
      <c r="M183" s="139"/>
    </row>
    <row r="184" spans="1:13" ht="138.75" thickTop="1" thickBot="1" x14ac:dyDescent="0.25">
      <c r="A184" s="103" t="s">
        <v>335</v>
      </c>
      <c r="B184" s="103" t="s">
        <v>336</v>
      </c>
      <c r="C184" s="103" t="s">
        <v>182</v>
      </c>
      <c r="D184" s="103" t="s">
        <v>465</v>
      </c>
      <c r="E184" s="318" t="s">
        <v>1271</v>
      </c>
      <c r="F184" s="318" t="s">
        <v>406</v>
      </c>
      <c r="G184" s="318">
        <f t="shared" si="23"/>
        <v>653100</v>
      </c>
      <c r="H184" s="318">
        <v>653100</v>
      </c>
      <c r="I184" s="318">
        <v>0</v>
      </c>
      <c r="J184" s="318">
        <v>0</v>
      </c>
      <c r="K184" s="139"/>
      <c r="L184" s="139"/>
      <c r="M184" s="139"/>
    </row>
    <row r="185" spans="1:13" ht="184.5" thickTop="1" thickBot="1" x14ac:dyDescent="0.25">
      <c r="A185" s="103" t="s">
        <v>335</v>
      </c>
      <c r="B185" s="103" t="s">
        <v>336</v>
      </c>
      <c r="C185" s="103" t="s">
        <v>182</v>
      </c>
      <c r="D185" s="103" t="s">
        <v>465</v>
      </c>
      <c r="E185" s="318" t="s">
        <v>865</v>
      </c>
      <c r="F185" s="318" t="s">
        <v>866</v>
      </c>
      <c r="G185" s="318">
        <f t="shared" si="23"/>
        <v>250000</v>
      </c>
      <c r="H185" s="318">
        <v>250000</v>
      </c>
      <c r="I185" s="318">
        <v>0</v>
      </c>
      <c r="J185" s="318">
        <v>0</v>
      </c>
      <c r="K185" s="139"/>
      <c r="L185" s="139"/>
      <c r="M185" s="139"/>
    </row>
    <row r="186" spans="1:13" ht="138.75" thickTop="1" thickBot="1" x14ac:dyDescent="0.25">
      <c r="A186" s="103" t="s">
        <v>1042</v>
      </c>
      <c r="B186" s="103" t="s">
        <v>1043</v>
      </c>
      <c r="C186" s="103" t="s">
        <v>213</v>
      </c>
      <c r="D186" s="103" t="s">
        <v>1041</v>
      </c>
      <c r="E186" s="318" t="s">
        <v>1577</v>
      </c>
      <c r="F186" s="318"/>
      <c r="G186" s="318">
        <f t="shared" si="23"/>
        <v>1026850</v>
      </c>
      <c r="H186" s="318">
        <f>'d3'!E207</f>
        <v>1026850</v>
      </c>
      <c r="I186" s="318">
        <f>'d3'!J207</f>
        <v>0</v>
      </c>
      <c r="J186" s="318">
        <f>'d3'!K207</f>
        <v>0</v>
      </c>
      <c r="K186" s="272"/>
      <c r="L186" s="272"/>
      <c r="M186" s="139"/>
    </row>
    <row r="187" spans="1:13" ht="184.5" hidden="1" thickTop="1" thickBot="1" x14ac:dyDescent="0.25">
      <c r="A187" s="128" t="s">
        <v>1277</v>
      </c>
      <c r="B187" s="128" t="s">
        <v>212</v>
      </c>
      <c r="C187" s="128" t="s">
        <v>213</v>
      </c>
      <c r="D187" s="128" t="s">
        <v>41</v>
      </c>
      <c r="E187" s="196" t="s">
        <v>867</v>
      </c>
      <c r="F187" s="196" t="s">
        <v>868</v>
      </c>
      <c r="G187" s="196">
        <f t="shared" si="23"/>
        <v>0</v>
      </c>
      <c r="H187" s="196">
        <f>'d3'!E208</f>
        <v>0</v>
      </c>
      <c r="I187" s="196">
        <f>'d3'!J208</f>
        <v>0</v>
      </c>
      <c r="J187" s="196">
        <f>'d3'!K208</f>
        <v>0</v>
      </c>
      <c r="K187" s="272"/>
      <c r="L187" s="272"/>
      <c r="M187" s="139"/>
    </row>
    <row r="188" spans="1:13" ht="184.5" hidden="1" thickTop="1" thickBot="1" x14ac:dyDescent="0.25">
      <c r="A188" s="128" t="s">
        <v>919</v>
      </c>
      <c r="B188" s="128" t="s">
        <v>197</v>
      </c>
      <c r="C188" s="128" t="s">
        <v>170</v>
      </c>
      <c r="D188" s="128" t="s">
        <v>34</v>
      </c>
      <c r="E188" s="196" t="s">
        <v>867</v>
      </c>
      <c r="F188" s="196" t="s">
        <v>868</v>
      </c>
      <c r="G188" s="196">
        <f t="shared" si="23"/>
        <v>0</v>
      </c>
      <c r="H188" s="196">
        <f>'d3'!E209</f>
        <v>0</v>
      </c>
      <c r="I188" s="196">
        <f>'d3'!J209</f>
        <v>0</v>
      </c>
      <c r="J188" s="196">
        <f>'d3'!K209</f>
        <v>0</v>
      </c>
      <c r="K188" s="272"/>
      <c r="L188" s="272"/>
      <c r="M188" s="139"/>
    </row>
    <row r="189" spans="1:13" ht="138.75" hidden="1" thickTop="1" thickBot="1" x14ac:dyDescent="0.25">
      <c r="A189" s="41" t="s">
        <v>587</v>
      </c>
      <c r="B189" s="41" t="s">
        <v>363</v>
      </c>
      <c r="C189" s="41" t="s">
        <v>43</v>
      </c>
      <c r="D189" s="41" t="s">
        <v>364</v>
      </c>
      <c r="E189" s="258" t="s">
        <v>862</v>
      </c>
      <c r="F189" s="73" t="s">
        <v>863</v>
      </c>
      <c r="G189" s="73">
        <f t="shared" si="23"/>
        <v>0</v>
      </c>
      <c r="H189" s="73">
        <f>'d3'!E212</f>
        <v>0</v>
      </c>
      <c r="I189" s="73">
        <f>'d3'!J212</f>
        <v>0</v>
      </c>
      <c r="J189" s="73">
        <f>'d3'!K212</f>
        <v>0</v>
      </c>
      <c r="K189" s="272"/>
      <c r="L189" s="272"/>
      <c r="M189" s="139"/>
    </row>
    <row r="190" spans="1:13" ht="136.5" thickTop="1" thickBot="1" x14ac:dyDescent="0.25">
      <c r="A190" s="508" t="s">
        <v>22</v>
      </c>
      <c r="B190" s="508"/>
      <c r="C190" s="508"/>
      <c r="D190" s="509" t="s">
        <v>23</v>
      </c>
      <c r="E190" s="508"/>
      <c r="F190" s="508"/>
      <c r="G190" s="510">
        <f>G191</f>
        <v>124995766</v>
      </c>
      <c r="H190" s="510">
        <f t="shared" ref="H190:J190" si="24">H191</f>
        <v>122082324</v>
      </c>
      <c r="I190" s="510">
        <f t="shared" si="24"/>
        <v>2913442</v>
      </c>
      <c r="J190" s="510">
        <f t="shared" si="24"/>
        <v>1000000</v>
      </c>
      <c r="K190" s="96" t="b">
        <f>H190='d3'!E214+'d4'!F12</f>
        <v>1</v>
      </c>
      <c r="L190" s="480" t="b">
        <f>I190='d3'!J213+'d4'!G12</f>
        <v>1</v>
      </c>
      <c r="M190" s="480" t="b">
        <f>J190='d3'!K213+'d4'!H12</f>
        <v>1</v>
      </c>
    </row>
    <row r="191" spans="1:13" ht="175.7" customHeight="1" thickTop="1" thickBot="1" x14ac:dyDescent="0.25">
      <c r="A191" s="511" t="s">
        <v>21</v>
      </c>
      <c r="B191" s="511"/>
      <c r="C191" s="511"/>
      <c r="D191" s="512" t="s">
        <v>35</v>
      </c>
      <c r="E191" s="513"/>
      <c r="F191" s="513"/>
      <c r="G191" s="513">
        <f>SUM(G192:G211)</f>
        <v>124995766</v>
      </c>
      <c r="H191" s="513">
        <f>SUM(H192:H211)</f>
        <v>122082324</v>
      </c>
      <c r="I191" s="513">
        <f>SUM(I192:I211)</f>
        <v>2913442</v>
      </c>
      <c r="J191" s="513">
        <f>SUM(J192:J211)</f>
        <v>1000000</v>
      </c>
      <c r="K191" s="139"/>
      <c r="L191" s="139"/>
      <c r="M191" s="139"/>
    </row>
    <row r="192" spans="1:13" ht="184.5" hidden="1" thickTop="1" thickBot="1" x14ac:dyDescent="0.25">
      <c r="A192" s="128" t="s">
        <v>183</v>
      </c>
      <c r="B192" s="128" t="s">
        <v>184</v>
      </c>
      <c r="C192" s="128" t="s">
        <v>185</v>
      </c>
      <c r="D192" s="128" t="s">
        <v>639</v>
      </c>
      <c r="E192" s="255" t="s">
        <v>1173</v>
      </c>
      <c r="F192" s="196" t="s">
        <v>1174</v>
      </c>
      <c r="G192" s="196">
        <f t="shared" ref="G192:G194" si="25">H192+I192</f>
        <v>0</v>
      </c>
      <c r="H192" s="256">
        <f>'d3'!E217</f>
        <v>0</v>
      </c>
      <c r="I192" s="273">
        <f>'d3'!J217</f>
        <v>0</v>
      </c>
      <c r="J192" s="196">
        <f>'d3'!K217</f>
        <v>0</v>
      </c>
      <c r="K192" s="139"/>
      <c r="L192" s="139"/>
      <c r="M192" s="139"/>
    </row>
    <row r="193" spans="1:13" ht="230.25" thickTop="1" thickBot="1" x14ac:dyDescent="0.25">
      <c r="A193" s="103" t="s">
        <v>189</v>
      </c>
      <c r="B193" s="103" t="s">
        <v>190</v>
      </c>
      <c r="C193" s="103" t="s">
        <v>185</v>
      </c>
      <c r="D193" s="103" t="s">
        <v>10</v>
      </c>
      <c r="E193" s="321" t="s">
        <v>1264</v>
      </c>
      <c r="F193" s="318" t="s">
        <v>1174</v>
      </c>
      <c r="G193" s="318">
        <f t="shared" si="25"/>
        <v>6398042</v>
      </c>
      <c r="H193" s="322">
        <f>'d3'!E219-H194</f>
        <v>5976842</v>
      </c>
      <c r="I193" s="475">
        <f>'d3'!J219-I194</f>
        <v>421200</v>
      </c>
      <c r="J193" s="318">
        <f>'d3'!K219-J194</f>
        <v>0</v>
      </c>
      <c r="K193" s="139"/>
      <c r="L193" s="139"/>
      <c r="M193" s="139"/>
    </row>
    <row r="194" spans="1:13" ht="184.5" hidden="1" thickTop="1" thickBot="1" x14ac:dyDescent="0.25">
      <c r="A194" s="128" t="s">
        <v>189</v>
      </c>
      <c r="B194" s="128" t="s">
        <v>190</v>
      </c>
      <c r="C194" s="128" t="s">
        <v>185</v>
      </c>
      <c r="D194" s="128" t="s">
        <v>10</v>
      </c>
      <c r="E194" s="255" t="s">
        <v>1415</v>
      </c>
      <c r="F194" s="196" t="s">
        <v>450</v>
      </c>
      <c r="G194" s="196">
        <f t="shared" si="25"/>
        <v>0</v>
      </c>
      <c r="H194" s="256"/>
      <c r="I194" s="273"/>
      <c r="J194" s="196"/>
      <c r="K194" s="139"/>
      <c r="L194" s="139"/>
      <c r="M194" s="139"/>
    </row>
    <row r="195" spans="1:13" ht="230.25" thickTop="1" thickBot="1" x14ac:dyDescent="0.25">
      <c r="A195" s="103" t="s">
        <v>351</v>
      </c>
      <c r="B195" s="103" t="s">
        <v>352</v>
      </c>
      <c r="C195" s="103" t="s">
        <v>185</v>
      </c>
      <c r="D195" s="103" t="s">
        <v>353</v>
      </c>
      <c r="E195" s="321" t="s">
        <v>1264</v>
      </c>
      <c r="F195" s="318" t="s">
        <v>1174</v>
      </c>
      <c r="G195" s="318">
        <f t="shared" ref="G195:G199" si="26">H195+I195</f>
        <v>7156877</v>
      </c>
      <c r="H195" s="322">
        <f>'d3'!E220</f>
        <v>7156877</v>
      </c>
      <c r="I195" s="475">
        <f>'d3'!J220</f>
        <v>0</v>
      </c>
      <c r="J195" s="318">
        <f>'d3'!K220</f>
        <v>0</v>
      </c>
      <c r="K195" s="139"/>
      <c r="L195" s="139"/>
      <c r="M195" s="139"/>
    </row>
    <row r="196" spans="1:13" ht="230.25" thickTop="1" thickBot="1" x14ac:dyDescent="0.25">
      <c r="A196" s="103" t="s">
        <v>44</v>
      </c>
      <c r="B196" s="103" t="s">
        <v>186</v>
      </c>
      <c r="C196" s="103" t="s">
        <v>195</v>
      </c>
      <c r="D196" s="103" t="s">
        <v>45</v>
      </c>
      <c r="E196" s="321" t="s">
        <v>1264</v>
      </c>
      <c r="F196" s="318" t="s">
        <v>1174</v>
      </c>
      <c r="G196" s="318">
        <f t="shared" si="26"/>
        <v>27000000</v>
      </c>
      <c r="H196" s="318">
        <f>'d3'!E223</f>
        <v>27000000</v>
      </c>
      <c r="I196" s="475">
        <f>'d3'!J223</f>
        <v>0</v>
      </c>
      <c r="J196" s="318">
        <f>'d3'!K223</f>
        <v>0</v>
      </c>
      <c r="K196" s="139"/>
      <c r="L196" s="139"/>
      <c r="M196" s="139"/>
    </row>
    <row r="197" spans="1:13" ht="230.25" thickTop="1" thickBot="1" x14ac:dyDescent="0.25">
      <c r="A197" s="103" t="s">
        <v>46</v>
      </c>
      <c r="B197" s="103" t="s">
        <v>187</v>
      </c>
      <c r="C197" s="103" t="s">
        <v>195</v>
      </c>
      <c r="D197" s="103" t="s">
        <v>4</v>
      </c>
      <c r="E197" s="321" t="s">
        <v>1264</v>
      </c>
      <c r="F197" s="318" t="s">
        <v>1174</v>
      </c>
      <c r="G197" s="318">
        <f t="shared" si="26"/>
        <v>3399823</v>
      </c>
      <c r="H197" s="318">
        <f>'d3'!E224</f>
        <v>3399823</v>
      </c>
      <c r="I197" s="475">
        <f>'d3'!J224</f>
        <v>0</v>
      </c>
      <c r="J197" s="318">
        <f>'d3'!K224</f>
        <v>0</v>
      </c>
      <c r="K197" s="139"/>
      <c r="L197" s="139"/>
      <c r="M197" s="139"/>
    </row>
    <row r="198" spans="1:13" ht="230.25" thickTop="1" thickBot="1" x14ac:dyDescent="0.25">
      <c r="A198" s="103" t="s">
        <v>47</v>
      </c>
      <c r="B198" s="103" t="s">
        <v>188</v>
      </c>
      <c r="C198" s="103" t="s">
        <v>195</v>
      </c>
      <c r="D198" s="103" t="s">
        <v>349</v>
      </c>
      <c r="E198" s="321" t="s">
        <v>1264</v>
      </c>
      <c r="F198" s="318" t="s">
        <v>1174</v>
      </c>
      <c r="G198" s="318">
        <f t="shared" si="26"/>
        <v>41300</v>
      </c>
      <c r="H198" s="318">
        <f>'d3'!E226</f>
        <v>41300</v>
      </c>
      <c r="I198" s="475">
        <f>'d3'!J226</f>
        <v>0</v>
      </c>
      <c r="J198" s="318">
        <f>'d3'!K226</f>
        <v>0</v>
      </c>
      <c r="K198" s="139"/>
      <c r="L198" s="139"/>
      <c r="M198" s="139"/>
    </row>
    <row r="199" spans="1:13" ht="230.25" thickTop="1" thickBot="1" x14ac:dyDescent="0.25">
      <c r="A199" s="103" t="s">
        <v>28</v>
      </c>
      <c r="B199" s="103" t="s">
        <v>192</v>
      </c>
      <c r="C199" s="103" t="s">
        <v>195</v>
      </c>
      <c r="D199" s="103" t="s">
        <v>48</v>
      </c>
      <c r="E199" s="321" t="s">
        <v>1264</v>
      </c>
      <c r="F199" s="318" t="s">
        <v>1174</v>
      </c>
      <c r="G199" s="318">
        <f t="shared" si="26"/>
        <v>66007413</v>
      </c>
      <c r="H199" s="318">
        <f>'d3'!E228-H200</f>
        <v>63565171</v>
      </c>
      <c r="I199" s="475">
        <f>'d3'!J228-I200</f>
        <v>2442242</v>
      </c>
      <c r="J199" s="318">
        <f>'d3'!K228-J200</f>
        <v>1000000</v>
      </c>
      <c r="K199" s="139"/>
      <c r="L199" s="139"/>
      <c r="M199" s="139"/>
    </row>
    <row r="200" spans="1:13" ht="184.5" hidden="1" thickTop="1" thickBot="1" x14ac:dyDescent="0.25">
      <c r="A200" s="128" t="s">
        <v>28</v>
      </c>
      <c r="B200" s="128" t="s">
        <v>192</v>
      </c>
      <c r="C200" s="128" t="s">
        <v>195</v>
      </c>
      <c r="D200" s="128" t="s">
        <v>48</v>
      </c>
      <c r="E200" s="255" t="s">
        <v>449</v>
      </c>
      <c r="F200" s="151" t="s">
        <v>450</v>
      </c>
      <c r="G200" s="196">
        <f>H200+I200</f>
        <v>0</v>
      </c>
      <c r="H200" s="256">
        <v>0</v>
      </c>
      <c r="I200" s="196">
        <v>0</v>
      </c>
      <c r="J200" s="196">
        <v>0</v>
      </c>
      <c r="K200" s="139"/>
      <c r="L200" s="139"/>
      <c r="M200" s="139"/>
    </row>
    <row r="201" spans="1:13" ht="230.25" thickTop="1" thickBot="1" x14ac:dyDescent="0.25">
      <c r="A201" s="103" t="s">
        <v>29</v>
      </c>
      <c r="B201" s="103" t="s">
        <v>193</v>
      </c>
      <c r="C201" s="103" t="s">
        <v>195</v>
      </c>
      <c r="D201" s="103" t="s">
        <v>49</v>
      </c>
      <c r="E201" s="321" t="s">
        <v>1264</v>
      </c>
      <c r="F201" s="318" t="s">
        <v>1174</v>
      </c>
      <c r="G201" s="318">
        <f t="shared" ref="G201:G211" si="27">H201+I201</f>
        <v>6961691</v>
      </c>
      <c r="H201" s="318">
        <f>'d3'!E229</f>
        <v>6961691</v>
      </c>
      <c r="I201" s="475">
        <f>'d3'!J229</f>
        <v>0</v>
      </c>
      <c r="J201" s="318">
        <f>'d3'!K229</f>
        <v>0</v>
      </c>
      <c r="K201" s="139"/>
      <c r="L201" s="139"/>
      <c r="M201" s="139"/>
    </row>
    <row r="202" spans="1:13" ht="230.25" hidden="1" thickTop="1" thickBot="1" x14ac:dyDescent="0.25">
      <c r="A202" s="128" t="s">
        <v>1408</v>
      </c>
      <c r="B202" s="128" t="s">
        <v>1409</v>
      </c>
      <c r="C202" s="128" t="s">
        <v>195</v>
      </c>
      <c r="D202" s="128" t="s">
        <v>1410</v>
      </c>
      <c r="E202" s="255" t="s">
        <v>1264</v>
      </c>
      <c r="F202" s="196" t="s">
        <v>1174</v>
      </c>
      <c r="G202" s="196">
        <f t="shared" si="27"/>
        <v>0</v>
      </c>
      <c r="H202" s="196">
        <f>'d3'!E231</f>
        <v>0</v>
      </c>
      <c r="I202" s="273">
        <f>'d3'!J231</f>
        <v>0</v>
      </c>
      <c r="J202" s="273">
        <f>'d3'!K231</f>
        <v>0</v>
      </c>
      <c r="K202" s="139"/>
      <c r="L202" s="139"/>
      <c r="M202" s="139"/>
    </row>
    <row r="203" spans="1:13" ht="230.25" thickTop="1" thickBot="1" x14ac:dyDescent="0.25">
      <c r="A203" s="635" t="s">
        <v>30</v>
      </c>
      <c r="B203" s="635" t="s">
        <v>194</v>
      </c>
      <c r="C203" s="635" t="s">
        <v>195</v>
      </c>
      <c r="D203" s="103" t="s">
        <v>31</v>
      </c>
      <c r="E203" s="321" t="s">
        <v>1264</v>
      </c>
      <c r="F203" s="318" t="s">
        <v>1174</v>
      </c>
      <c r="G203" s="318">
        <f t="shared" si="27"/>
        <v>625354</v>
      </c>
      <c r="H203" s="318">
        <f>'d3'!E233</f>
        <v>625354</v>
      </c>
      <c r="I203" s="475">
        <f>'d3'!J233</f>
        <v>0</v>
      </c>
      <c r="J203" s="318">
        <f>'d3'!K233</f>
        <v>0</v>
      </c>
      <c r="K203" s="139"/>
      <c r="L203" s="139"/>
      <c r="M203" s="139"/>
    </row>
    <row r="204" spans="1:13" ht="230.25" thickTop="1" thickBot="1" x14ac:dyDescent="0.25">
      <c r="A204" s="635" t="s">
        <v>512</v>
      </c>
      <c r="B204" s="635" t="s">
        <v>510</v>
      </c>
      <c r="C204" s="635" t="s">
        <v>195</v>
      </c>
      <c r="D204" s="103" t="s">
        <v>511</v>
      </c>
      <c r="E204" s="321" t="s">
        <v>1264</v>
      </c>
      <c r="F204" s="318" t="s">
        <v>1174</v>
      </c>
      <c r="G204" s="318">
        <f t="shared" si="27"/>
        <v>5242225</v>
      </c>
      <c r="H204" s="318">
        <f>'d3'!E234</f>
        <v>5242225</v>
      </c>
      <c r="I204" s="475">
        <f>'d3'!J234</f>
        <v>0</v>
      </c>
      <c r="J204" s="475">
        <f>'d3'!K234</f>
        <v>0</v>
      </c>
      <c r="K204" s="139"/>
      <c r="L204" s="139"/>
      <c r="M204" s="139"/>
    </row>
    <row r="205" spans="1:13" ht="230.25" thickTop="1" thickBot="1" x14ac:dyDescent="0.25">
      <c r="A205" s="635" t="s">
        <v>32</v>
      </c>
      <c r="B205" s="635" t="s">
        <v>196</v>
      </c>
      <c r="C205" s="635" t="s">
        <v>195</v>
      </c>
      <c r="D205" s="103" t="s">
        <v>33</v>
      </c>
      <c r="E205" s="321" t="s">
        <v>1264</v>
      </c>
      <c r="F205" s="318" t="s">
        <v>1174</v>
      </c>
      <c r="G205" s="318">
        <f t="shared" si="27"/>
        <v>2163041</v>
      </c>
      <c r="H205" s="318">
        <f>'d3'!E235</f>
        <v>2113041</v>
      </c>
      <c r="I205" s="475">
        <f>'d3'!J235</f>
        <v>50000</v>
      </c>
      <c r="J205" s="318">
        <f>'d3'!K235</f>
        <v>0</v>
      </c>
      <c r="K205" s="139"/>
      <c r="L205" s="139"/>
      <c r="M205" s="139"/>
    </row>
    <row r="206" spans="1:13" ht="276" hidden="1" thickTop="1" thickBot="1" x14ac:dyDescent="0.25">
      <c r="A206" s="422" t="s">
        <v>342</v>
      </c>
      <c r="B206" s="422" t="s">
        <v>341</v>
      </c>
      <c r="C206" s="422" t="s">
        <v>340</v>
      </c>
      <c r="D206" s="128" t="s">
        <v>640</v>
      </c>
      <c r="E206" s="255" t="s">
        <v>1264</v>
      </c>
      <c r="F206" s="196" t="s">
        <v>1174</v>
      </c>
      <c r="G206" s="196">
        <f t="shared" si="27"/>
        <v>0</v>
      </c>
      <c r="H206" s="196">
        <f>'d3'!E238</f>
        <v>0</v>
      </c>
      <c r="I206" s="273">
        <f>'d3'!J238</f>
        <v>0</v>
      </c>
      <c r="J206" s="273">
        <f>'d3'!K238</f>
        <v>0</v>
      </c>
      <c r="K206" s="139"/>
      <c r="L206" s="139"/>
      <c r="M206" s="139"/>
    </row>
    <row r="207" spans="1:13" ht="230.25" hidden="1" thickTop="1" thickBot="1" x14ac:dyDescent="0.25">
      <c r="A207" s="128" t="s">
        <v>1109</v>
      </c>
      <c r="B207" s="128" t="s">
        <v>313</v>
      </c>
      <c r="C207" s="128" t="s">
        <v>304</v>
      </c>
      <c r="D207" s="128" t="s">
        <v>1247</v>
      </c>
      <c r="E207" s="255" t="s">
        <v>1264</v>
      </c>
      <c r="F207" s="196" t="s">
        <v>1174</v>
      </c>
      <c r="G207" s="196">
        <f t="shared" si="27"/>
        <v>0</v>
      </c>
      <c r="H207" s="196">
        <f>'d3'!E242</f>
        <v>0</v>
      </c>
      <c r="I207" s="273">
        <f>'d3'!J242</f>
        <v>0</v>
      </c>
      <c r="J207" s="273">
        <f>'d3'!K242</f>
        <v>0</v>
      </c>
      <c r="K207" s="139"/>
      <c r="L207" s="139"/>
      <c r="M207" s="139"/>
    </row>
    <row r="208" spans="1:13" ht="230.25" hidden="1" thickTop="1" thickBot="1" x14ac:dyDescent="0.25">
      <c r="A208" s="128" t="s">
        <v>1364</v>
      </c>
      <c r="B208" s="128" t="s">
        <v>212</v>
      </c>
      <c r="C208" s="128" t="s">
        <v>213</v>
      </c>
      <c r="D208" s="128" t="s">
        <v>41</v>
      </c>
      <c r="E208" s="255" t="s">
        <v>1264</v>
      </c>
      <c r="F208" s="196" t="s">
        <v>1174</v>
      </c>
      <c r="G208" s="196">
        <f t="shared" si="27"/>
        <v>0</v>
      </c>
      <c r="H208" s="196">
        <f>'d3'!E244</f>
        <v>0</v>
      </c>
      <c r="I208" s="273">
        <f>'d3'!J244</f>
        <v>0</v>
      </c>
      <c r="J208" s="273">
        <f>'d3'!K244</f>
        <v>0</v>
      </c>
      <c r="K208" s="139"/>
      <c r="L208" s="139"/>
      <c r="M208" s="139"/>
    </row>
    <row r="209" spans="1:13" ht="230.25" hidden="1" thickTop="1" thickBot="1" x14ac:dyDescent="0.25">
      <c r="A209" s="128" t="s">
        <v>608</v>
      </c>
      <c r="B209" s="128" t="s">
        <v>197</v>
      </c>
      <c r="C209" s="128" t="s">
        <v>170</v>
      </c>
      <c r="D209" s="128" t="s">
        <v>34</v>
      </c>
      <c r="E209" s="255" t="s">
        <v>1264</v>
      </c>
      <c r="F209" s="196" t="s">
        <v>1174</v>
      </c>
      <c r="G209" s="196">
        <f t="shared" ref="G209" si="28">H209+I209</f>
        <v>0</v>
      </c>
      <c r="H209" s="196">
        <f>'d3'!E245</f>
        <v>0</v>
      </c>
      <c r="I209" s="273">
        <f>'d3'!J245</f>
        <v>0</v>
      </c>
      <c r="J209" s="273">
        <f>'d3'!K245</f>
        <v>0</v>
      </c>
      <c r="K209" s="139"/>
      <c r="L209" s="139"/>
      <c r="M209" s="139"/>
    </row>
    <row r="210" spans="1:13" ht="230.25" hidden="1" thickTop="1" thickBot="1" x14ac:dyDescent="0.25">
      <c r="A210" s="422" t="s">
        <v>457</v>
      </c>
      <c r="B210" s="422" t="s">
        <v>459</v>
      </c>
      <c r="C210" s="422" t="s">
        <v>50</v>
      </c>
      <c r="D210" s="128" t="s">
        <v>456</v>
      </c>
      <c r="E210" s="255" t="s">
        <v>1264</v>
      </c>
      <c r="F210" s="196" t="s">
        <v>1174</v>
      </c>
      <c r="G210" s="196">
        <f t="shared" si="27"/>
        <v>0</v>
      </c>
      <c r="H210" s="196">
        <f>'d4'!F17</f>
        <v>0</v>
      </c>
      <c r="I210" s="273">
        <f>'d4'!G17</f>
        <v>0</v>
      </c>
      <c r="J210" s="273">
        <f>'d4'!H17</f>
        <v>0</v>
      </c>
      <c r="K210" s="139"/>
      <c r="L210" s="139"/>
      <c r="M210" s="139"/>
    </row>
    <row r="211" spans="1:13" ht="276" hidden="1" thickTop="1" thickBot="1" x14ac:dyDescent="0.25">
      <c r="A211" s="41" t="s">
        <v>1117</v>
      </c>
      <c r="B211" s="41" t="s">
        <v>363</v>
      </c>
      <c r="C211" s="41" t="s">
        <v>43</v>
      </c>
      <c r="D211" s="41" t="s">
        <v>364</v>
      </c>
      <c r="E211" s="258" t="s">
        <v>588</v>
      </c>
      <c r="F211" s="73" t="s">
        <v>408</v>
      </c>
      <c r="G211" s="73">
        <f t="shared" si="27"/>
        <v>0</v>
      </c>
      <c r="H211" s="73">
        <f>'d3'!E248</f>
        <v>0</v>
      </c>
      <c r="I211" s="274">
        <f>'d3'!J248</f>
        <v>0</v>
      </c>
      <c r="J211" s="274">
        <f>'d3'!K248</f>
        <v>0</v>
      </c>
      <c r="K211" s="139"/>
      <c r="L211" s="139"/>
      <c r="M211" s="139"/>
    </row>
    <row r="212" spans="1:13" ht="136.5" thickTop="1" thickBot="1" x14ac:dyDescent="0.25">
      <c r="A212" s="508" t="s">
        <v>158</v>
      </c>
      <c r="B212" s="508"/>
      <c r="C212" s="508"/>
      <c r="D212" s="509" t="s">
        <v>562</v>
      </c>
      <c r="E212" s="508"/>
      <c r="F212" s="508"/>
      <c r="G212" s="510">
        <f>G213</f>
        <v>23323663</v>
      </c>
      <c r="H212" s="510">
        <f t="shared" ref="H212:J212" si="29">H213</f>
        <v>20523663</v>
      </c>
      <c r="I212" s="510">
        <f t="shared" si="29"/>
        <v>2800000</v>
      </c>
      <c r="J212" s="510">
        <f t="shared" si="29"/>
        <v>2800000</v>
      </c>
      <c r="K212" s="96" t="b">
        <f>H212='d3'!E249-'d3'!E252+'d7'!H214</f>
        <v>1</v>
      </c>
      <c r="L212" s="96" t="b">
        <f>I212='d3'!J249-'d3'!J252+I214</f>
        <v>1</v>
      </c>
      <c r="M212" s="96" t="b">
        <f>J212='d3'!K249-'d3'!K252+J214</f>
        <v>1</v>
      </c>
    </row>
    <row r="213" spans="1:13" ht="136.5" thickTop="1" thickBot="1" x14ac:dyDescent="0.25">
      <c r="A213" s="511" t="s">
        <v>159</v>
      </c>
      <c r="B213" s="511"/>
      <c r="C213" s="511"/>
      <c r="D213" s="512" t="s">
        <v>563</v>
      </c>
      <c r="E213" s="513"/>
      <c r="F213" s="513"/>
      <c r="G213" s="513">
        <f>SUM(G214:G237)</f>
        <v>23323663</v>
      </c>
      <c r="H213" s="513">
        <f>SUM(H214:H237)</f>
        <v>20523663</v>
      </c>
      <c r="I213" s="513">
        <f>SUM(I214:I237)</f>
        <v>2800000</v>
      </c>
      <c r="J213" s="513">
        <f>SUM(J214:J237)</f>
        <v>2800000</v>
      </c>
      <c r="K213" s="139"/>
      <c r="L213" s="139"/>
      <c r="M213" s="139"/>
    </row>
    <row r="214" spans="1:13" ht="184.5" hidden="1" thickTop="1" thickBot="1" x14ac:dyDescent="0.25">
      <c r="A214" s="128" t="s">
        <v>421</v>
      </c>
      <c r="B214" s="128" t="s">
        <v>236</v>
      </c>
      <c r="C214" s="128" t="s">
        <v>234</v>
      </c>
      <c r="D214" s="128" t="s">
        <v>235</v>
      </c>
      <c r="E214" s="255" t="s">
        <v>1044</v>
      </c>
      <c r="F214" s="196" t="s">
        <v>859</v>
      </c>
      <c r="G214" s="196">
        <f t="shared" ref="G214:G277" si="30">H214+I214</f>
        <v>0</v>
      </c>
      <c r="H214" s="256">
        <v>0</v>
      </c>
      <c r="I214" s="273">
        <v>0</v>
      </c>
      <c r="J214" s="273">
        <v>0</v>
      </c>
      <c r="K214" s="139"/>
      <c r="L214" s="139"/>
      <c r="M214" s="139"/>
    </row>
    <row r="215" spans="1:13" ht="367.5" hidden="1" thickTop="1" thickBot="1" x14ac:dyDescent="0.25">
      <c r="A215" s="128" t="s">
        <v>628</v>
      </c>
      <c r="B215" s="128" t="s">
        <v>362</v>
      </c>
      <c r="C215" s="128" t="s">
        <v>626</v>
      </c>
      <c r="D215" s="128" t="s">
        <v>627</v>
      </c>
      <c r="E215" s="255" t="s">
        <v>1309</v>
      </c>
      <c r="F215" s="196" t="s">
        <v>1310</v>
      </c>
      <c r="G215" s="196">
        <f t="shared" si="30"/>
        <v>0</v>
      </c>
      <c r="H215" s="256">
        <f>'d3'!E253</f>
        <v>0</v>
      </c>
      <c r="I215" s="273">
        <v>0</v>
      </c>
      <c r="J215" s="273">
        <v>0</v>
      </c>
      <c r="K215" s="139"/>
      <c r="L215" s="139"/>
      <c r="M215" s="139"/>
    </row>
    <row r="216" spans="1:13" ht="184.5" thickTop="1" thickBot="1" x14ac:dyDescent="0.25">
      <c r="A216" s="343" t="s">
        <v>280</v>
      </c>
      <c r="B216" s="343" t="s">
        <v>281</v>
      </c>
      <c r="C216" s="343" t="s">
        <v>340</v>
      </c>
      <c r="D216" s="343" t="s">
        <v>282</v>
      </c>
      <c r="E216" s="321" t="s">
        <v>1244</v>
      </c>
      <c r="F216" s="318" t="s">
        <v>1179</v>
      </c>
      <c r="G216" s="327">
        <f t="shared" si="30"/>
        <v>200000</v>
      </c>
      <c r="H216" s="327">
        <v>0</v>
      </c>
      <c r="I216" s="327">
        <v>200000</v>
      </c>
      <c r="J216" s="327">
        <v>200000</v>
      </c>
      <c r="K216" s="96" t="b">
        <f>H216+H217+H218='d3'!E257</f>
        <v>1</v>
      </c>
      <c r="L216" s="476" t="b">
        <f>I216+I217+I218='d3'!J257</f>
        <v>1</v>
      </c>
      <c r="M216" s="476" t="b">
        <f>J216+J217+J218='d3'!K257</f>
        <v>1</v>
      </c>
    </row>
    <row r="217" spans="1:13" ht="230.25" thickTop="1" thickBot="1" x14ac:dyDescent="0.25">
      <c r="A217" s="343" t="s">
        <v>280</v>
      </c>
      <c r="B217" s="343" t="s">
        <v>281</v>
      </c>
      <c r="C217" s="343" t="s">
        <v>340</v>
      </c>
      <c r="D217" s="343" t="s">
        <v>282</v>
      </c>
      <c r="E217" s="330" t="s">
        <v>1274</v>
      </c>
      <c r="F217" s="330" t="s">
        <v>586</v>
      </c>
      <c r="G217" s="327">
        <f t="shared" si="30"/>
        <v>1662200</v>
      </c>
      <c r="H217" s="322">
        <f>1662200</f>
        <v>1662200</v>
      </c>
      <c r="I217" s="475">
        <v>0</v>
      </c>
      <c r="J217" s="475">
        <v>0</v>
      </c>
      <c r="K217" s="139"/>
      <c r="L217" s="139"/>
      <c r="M217" s="139"/>
    </row>
    <row r="218" spans="1:13" ht="367.5" thickTop="1" thickBot="1" x14ac:dyDescent="0.25">
      <c r="A218" s="343" t="s">
        <v>280</v>
      </c>
      <c r="B218" s="343" t="s">
        <v>281</v>
      </c>
      <c r="C218" s="343" t="s">
        <v>340</v>
      </c>
      <c r="D218" s="343" t="s">
        <v>282</v>
      </c>
      <c r="E218" s="318" t="s">
        <v>1419</v>
      </c>
      <c r="F218" s="318" t="s">
        <v>861</v>
      </c>
      <c r="G218" s="318">
        <f t="shared" si="30"/>
        <v>1500000</v>
      </c>
      <c r="H218" s="322">
        <v>1500000</v>
      </c>
      <c r="I218" s="475">
        <v>0</v>
      </c>
      <c r="J218" s="475">
        <v>0</v>
      </c>
      <c r="K218" s="139"/>
      <c r="L218" s="139"/>
      <c r="M218" s="139"/>
    </row>
    <row r="219" spans="1:13" ht="184.5" thickTop="1" thickBot="1" x14ac:dyDescent="0.25">
      <c r="A219" s="103" t="s">
        <v>301</v>
      </c>
      <c r="B219" s="103" t="s">
        <v>302</v>
      </c>
      <c r="C219" s="103" t="s">
        <v>283</v>
      </c>
      <c r="D219" s="103" t="s">
        <v>303</v>
      </c>
      <c r="E219" s="321" t="s">
        <v>1244</v>
      </c>
      <c r="F219" s="318" t="s">
        <v>1179</v>
      </c>
      <c r="G219" s="318">
        <f t="shared" si="30"/>
        <v>2000000</v>
      </c>
      <c r="H219" s="322">
        <f>'d3'!E258</f>
        <v>0</v>
      </c>
      <c r="I219" s="475">
        <f>'d3'!J258</f>
        <v>2000000</v>
      </c>
      <c r="J219" s="475">
        <f>'d3'!K258</f>
        <v>2000000</v>
      </c>
      <c r="K219" s="139"/>
      <c r="L219" s="139"/>
      <c r="M219" s="139"/>
    </row>
    <row r="220" spans="1:13" ht="184.5" hidden="1" thickTop="1" thickBot="1" x14ac:dyDescent="0.25">
      <c r="A220" s="373" t="s">
        <v>284</v>
      </c>
      <c r="B220" s="373" t="s">
        <v>285</v>
      </c>
      <c r="C220" s="373" t="s">
        <v>283</v>
      </c>
      <c r="D220" s="373" t="s">
        <v>466</v>
      </c>
      <c r="E220" s="255" t="s">
        <v>1244</v>
      </c>
      <c r="F220" s="196" t="s">
        <v>1179</v>
      </c>
      <c r="G220" s="196">
        <f t="shared" si="30"/>
        <v>0</v>
      </c>
      <c r="H220" s="468">
        <f>2500000-2500000</f>
        <v>0</v>
      </c>
      <c r="I220" s="273">
        <f>2800000-2800000</f>
        <v>0</v>
      </c>
      <c r="J220" s="273">
        <f>2800000-2800000</f>
        <v>0</v>
      </c>
      <c r="K220" s="139"/>
      <c r="L220" s="139"/>
      <c r="M220" s="139"/>
    </row>
    <row r="221" spans="1:13" ht="184.5" hidden="1" thickTop="1" thickBot="1" x14ac:dyDescent="0.25">
      <c r="A221" s="373" t="s">
        <v>284</v>
      </c>
      <c r="B221" s="373" t="s">
        <v>285</v>
      </c>
      <c r="C221" s="373" t="s">
        <v>283</v>
      </c>
      <c r="D221" s="373" t="s">
        <v>466</v>
      </c>
      <c r="E221" s="255" t="s">
        <v>1415</v>
      </c>
      <c r="F221" s="196" t="s">
        <v>450</v>
      </c>
      <c r="G221" s="196">
        <f t="shared" si="30"/>
        <v>0</v>
      </c>
      <c r="H221" s="468">
        <f>'d3'!E259-H220</f>
        <v>0</v>
      </c>
      <c r="I221" s="273">
        <f>'d3'!J259-I220</f>
        <v>0</v>
      </c>
      <c r="J221" s="273">
        <f>'d3'!K259-J220</f>
        <v>0</v>
      </c>
      <c r="K221" s="139"/>
      <c r="L221" s="139"/>
      <c r="M221" s="139"/>
    </row>
    <row r="222" spans="1:13" ht="184.5" thickTop="1" thickBot="1" x14ac:dyDescent="0.25">
      <c r="A222" s="103" t="s">
        <v>931</v>
      </c>
      <c r="B222" s="103" t="s">
        <v>297</v>
      </c>
      <c r="C222" s="103" t="s">
        <v>283</v>
      </c>
      <c r="D222" s="103" t="s">
        <v>298</v>
      </c>
      <c r="E222" s="321" t="s">
        <v>1440</v>
      </c>
      <c r="F222" s="318" t="s">
        <v>1378</v>
      </c>
      <c r="G222" s="318">
        <f t="shared" ref="G222:G227" si="31">H222+I222</f>
        <v>500000</v>
      </c>
      <c r="H222" s="322">
        <f>'d3'!E260-H223</f>
        <v>500000</v>
      </c>
      <c r="I222" s="475">
        <f>'d3'!J260-I223</f>
        <v>0</v>
      </c>
      <c r="J222" s="475">
        <f>'d3'!K260-J223</f>
        <v>0</v>
      </c>
      <c r="K222" s="139"/>
      <c r="L222" s="139"/>
      <c r="M222" s="139"/>
    </row>
    <row r="223" spans="1:13" ht="367.5" thickTop="1" thickBot="1" x14ac:dyDescent="0.25">
      <c r="A223" s="103" t="s">
        <v>931</v>
      </c>
      <c r="B223" s="103" t="s">
        <v>297</v>
      </c>
      <c r="C223" s="103" t="s">
        <v>283</v>
      </c>
      <c r="D223" s="103" t="s">
        <v>298</v>
      </c>
      <c r="E223" s="318" t="s">
        <v>1419</v>
      </c>
      <c r="F223" s="318" t="s">
        <v>861</v>
      </c>
      <c r="G223" s="318">
        <f t="shared" si="31"/>
        <v>5000000</v>
      </c>
      <c r="H223" s="322">
        <v>5000000</v>
      </c>
      <c r="I223" s="475">
        <v>0</v>
      </c>
      <c r="J223" s="475">
        <v>0</v>
      </c>
      <c r="K223" s="139"/>
      <c r="L223" s="139"/>
      <c r="M223" s="139"/>
    </row>
    <row r="224" spans="1:13" ht="184.5" thickTop="1" thickBot="1" x14ac:dyDescent="0.25">
      <c r="A224" s="103" t="s">
        <v>288</v>
      </c>
      <c r="B224" s="103" t="s">
        <v>289</v>
      </c>
      <c r="C224" s="103" t="s">
        <v>283</v>
      </c>
      <c r="D224" s="103" t="s">
        <v>290</v>
      </c>
      <c r="E224" s="321" t="s">
        <v>1244</v>
      </c>
      <c r="F224" s="318" t="s">
        <v>1179</v>
      </c>
      <c r="G224" s="318">
        <f t="shared" si="30"/>
        <v>5000000</v>
      </c>
      <c r="H224" s="322">
        <f>'d3'!E261</f>
        <v>5000000</v>
      </c>
      <c r="I224" s="475">
        <f>'d3'!J261</f>
        <v>0</v>
      </c>
      <c r="J224" s="475">
        <f>'d3'!K261</f>
        <v>0</v>
      </c>
      <c r="K224" s="139"/>
      <c r="L224" s="139"/>
      <c r="M224" s="139"/>
    </row>
    <row r="225" spans="1:13" ht="184.5" thickTop="1" thickBot="1" x14ac:dyDescent="0.25">
      <c r="A225" s="103" t="s">
        <v>1273</v>
      </c>
      <c r="B225" s="103" t="s">
        <v>1157</v>
      </c>
      <c r="C225" s="103" t="s">
        <v>1158</v>
      </c>
      <c r="D225" s="103" t="s">
        <v>1155</v>
      </c>
      <c r="E225" s="321" t="s">
        <v>1244</v>
      </c>
      <c r="F225" s="318" t="s">
        <v>1179</v>
      </c>
      <c r="G225" s="318">
        <f t="shared" si="31"/>
        <v>2049000</v>
      </c>
      <c r="H225" s="349">
        <f>'d3'!E262-H227-H226</f>
        <v>2049000</v>
      </c>
      <c r="I225" s="478">
        <f>'d3'!J262-I227-I226</f>
        <v>0</v>
      </c>
      <c r="J225" s="478">
        <f>'d3'!K262-J227-J226</f>
        <v>0</v>
      </c>
      <c r="K225" s="139"/>
      <c r="L225" s="139"/>
      <c r="M225" s="139"/>
    </row>
    <row r="226" spans="1:13" ht="276" hidden="1" thickTop="1" thickBot="1" x14ac:dyDescent="0.25">
      <c r="A226" s="128" t="s">
        <v>1273</v>
      </c>
      <c r="B226" s="128" t="s">
        <v>1157</v>
      </c>
      <c r="C226" s="128" t="s">
        <v>1158</v>
      </c>
      <c r="D226" s="128" t="s">
        <v>1155</v>
      </c>
      <c r="E226" s="255" t="s">
        <v>1297</v>
      </c>
      <c r="F226" s="196" t="s">
        <v>1298</v>
      </c>
      <c r="G226" s="196">
        <f t="shared" si="31"/>
        <v>0</v>
      </c>
      <c r="H226" s="275"/>
      <c r="I226" s="276"/>
      <c r="J226" s="276"/>
      <c r="K226" s="139"/>
      <c r="L226" s="139"/>
      <c r="M226" s="139"/>
    </row>
    <row r="227" spans="1:13" ht="276" hidden="1" thickTop="1" thickBot="1" x14ac:dyDescent="0.25">
      <c r="A227" s="128" t="s">
        <v>1273</v>
      </c>
      <c r="B227" s="128" t="s">
        <v>1157</v>
      </c>
      <c r="C227" s="128" t="s">
        <v>1158</v>
      </c>
      <c r="D227" s="128" t="s">
        <v>1155</v>
      </c>
      <c r="E227" s="255" t="s">
        <v>1489</v>
      </c>
      <c r="F227" s="196" t="s">
        <v>1490</v>
      </c>
      <c r="G227" s="196">
        <f t="shared" si="31"/>
        <v>0</v>
      </c>
      <c r="H227" s="275"/>
      <c r="I227" s="276">
        <v>0</v>
      </c>
      <c r="J227" s="276">
        <v>0</v>
      </c>
      <c r="K227" s="139"/>
      <c r="L227" s="139"/>
      <c r="M227" s="139"/>
    </row>
    <row r="228" spans="1:13" ht="230.25" hidden="1" thickTop="1" thickBot="1" x14ac:dyDescent="0.25">
      <c r="A228" s="128" t="s">
        <v>1154</v>
      </c>
      <c r="B228" s="128" t="s">
        <v>305</v>
      </c>
      <c r="C228" s="128" t="s">
        <v>304</v>
      </c>
      <c r="D228" s="128" t="s">
        <v>1532</v>
      </c>
      <c r="E228" s="255" t="s">
        <v>1379</v>
      </c>
      <c r="F228" s="196" t="s">
        <v>1380</v>
      </c>
      <c r="G228" s="196">
        <f t="shared" si="30"/>
        <v>0</v>
      </c>
      <c r="H228" s="275">
        <f>'d3'!E265-H230-H229</f>
        <v>0</v>
      </c>
      <c r="I228" s="276">
        <f>'d3'!J265-I230-I229</f>
        <v>0</v>
      </c>
      <c r="J228" s="276">
        <f>'d3'!K265-J230-J229</f>
        <v>0</v>
      </c>
      <c r="K228" s="139"/>
      <c r="L228" s="139"/>
      <c r="M228" s="139"/>
    </row>
    <row r="229" spans="1:13" ht="367.5" thickTop="1" thickBot="1" x14ac:dyDescent="0.25">
      <c r="A229" s="103" t="s">
        <v>1154</v>
      </c>
      <c r="B229" s="103" t="s">
        <v>305</v>
      </c>
      <c r="C229" s="103" t="s">
        <v>304</v>
      </c>
      <c r="D229" s="103" t="s">
        <v>1541</v>
      </c>
      <c r="E229" s="318" t="s">
        <v>1419</v>
      </c>
      <c r="F229" s="318" t="s">
        <v>861</v>
      </c>
      <c r="G229" s="318">
        <f t="shared" si="30"/>
        <v>300000</v>
      </c>
      <c r="H229" s="349">
        <v>0</v>
      </c>
      <c r="I229" s="478">
        <v>300000</v>
      </c>
      <c r="J229" s="478">
        <v>300000</v>
      </c>
      <c r="K229" s="139"/>
      <c r="L229" s="139"/>
      <c r="M229" s="139"/>
    </row>
    <row r="230" spans="1:13" ht="184.5" hidden="1" thickTop="1" thickBot="1" x14ac:dyDescent="0.25">
      <c r="A230" s="128" t="s">
        <v>1154</v>
      </c>
      <c r="B230" s="128" t="s">
        <v>305</v>
      </c>
      <c r="C230" s="128" t="s">
        <v>304</v>
      </c>
      <c r="D230" s="128" t="s">
        <v>1532</v>
      </c>
      <c r="E230" s="255" t="s">
        <v>1244</v>
      </c>
      <c r="F230" s="196" t="s">
        <v>1179</v>
      </c>
      <c r="G230" s="196">
        <f t="shared" si="30"/>
        <v>0</v>
      </c>
      <c r="H230" s="275">
        <v>0</v>
      </c>
      <c r="I230" s="276">
        <v>0</v>
      </c>
      <c r="J230" s="276">
        <v>0</v>
      </c>
      <c r="K230" s="139"/>
      <c r="L230" s="139"/>
      <c r="M230" s="139"/>
    </row>
    <row r="231" spans="1:13" ht="138.75" thickTop="1" thickBot="1" x14ac:dyDescent="0.25">
      <c r="A231" s="103" t="s">
        <v>296</v>
      </c>
      <c r="B231" s="103" t="s">
        <v>212</v>
      </c>
      <c r="C231" s="103" t="s">
        <v>213</v>
      </c>
      <c r="D231" s="103" t="s">
        <v>41</v>
      </c>
      <c r="E231" s="321" t="s">
        <v>1525</v>
      </c>
      <c r="F231" s="318" t="s">
        <v>1526</v>
      </c>
      <c r="G231" s="327">
        <f>H231+I231</f>
        <v>2000000</v>
      </c>
      <c r="H231" s="327">
        <v>2000000</v>
      </c>
      <c r="I231" s="327">
        <v>0</v>
      </c>
      <c r="J231" s="327">
        <v>0</v>
      </c>
      <c r="K231" s="96" t="b">
        <f>H231='d3'!E267</f>
        <v>1</v>
      </c>
      <c r="L231" s="480" t="b">
        <f>I231='d3'!J267</f>
        <v>1</v>
      </c>
      <c r="M231" s="480" t="b">
        <f>J231='d3'!K267</f>
        <v>1</v>
      </c>
    </row>
    <row r="232" spans="1:13" ht="184.5" hidden="1" thickTop="1" thickBot="1" x14ac:dyDescent="0.25">
      <c r="A232" s="128" t="s">
        <v>920</v>
      </c>
      <c r="B232" s="128" t="s">
        <v>197</v>
      </c>
      <c r="C232" s="128" t="s">
        <v>170</v>
      </c>
      <c r="D232" s="128" t="s">
        <v>34</v>
      </c>
      <c r="E232" s="255" t="s">
        <v>1244</v>
      </c>
      <c r="F232" s="196" t="s">
        <v>1179</v>
      </c>
      <c r="G232" s="196">
        <f t="shared" si="30"/>
        <v>0</v>
      </c>
      <c r="H232" s="256">
        <f>'d3'!E268-H233</f>
        <v>0</v>
      </c>
      <c r="I232" s="273">
        <f>'d3'!J268-I233</f>
        <v>0</v>
      </c>
      <c r="J232" s="273">
        <f>'d3'!K268-J233</f>
        <v>0</v>
      </c>
      <c r="K232" s="139"/>
      <c r="L232" s="139"/>
      <c r="M232" s="139"/>
    </row>
    <row r="233" spans="1:13" ht="184.5" thickTop="1" thickBot="1" x14ac:dyDescent="0.25">
      <c r="A233" s="103" t="s">
        <v>920</v>
      </c>
      <c r="B233" s="103" t="s">
        <v>197</v>
      </c>
      <c r="C233" s="103" t="s">
        <v>170</v>
      </c>
      <c r="D233" s="103" t="s">
        <v>34</v>
      </c>
      <c r="E233" s="479" t="s">
        <v>1440</v>
      </c>
      <c r="F233" s="318" t="s">
        <v>1378</v>
      </c>
      <c r="G233" s="318">
        <f t="shared" si="30"/>
        <v>300000</v>
      </c>
      <c r="H233" s="349">
        <v>0</v>
      </c>
      <c r="I233" s="478">
        <v>300000</v>
      </c>
      <c r="J233" s="478">
        <v>300000</v>
      </c>
      <c r="K233" s="139"/>
      <c r="L233" s="139"/>
      <c r="M233" s="139"/>
    </row>
    <row r="234" spans="1:13" ht="282.75" hidden="1" customHeight="1" thickTop="1" thickBot="1" x14ac:dyDescent="0.7">
      <c r="A234" s="753" t="s">
        <v>424</v>
      </c>
      <c r="B234" s="753" t="s">
        <v>338</v>
      </c>
      <c r="C234" s="753" t="s">
        <v>170</v>
      </c>
      <c r="D234" s="410" t="s">
        <v>440</v>
      </c>
      <c r="E234" s="852" t="s">
        <v>1294</v>
      </c>
      <c r="F234" s="852" t="s">
        <v>1295</v>
      </c>
      <c r="G234" s="846">
        <f t="shared" si="30"/>
        <v>0</v>
      </c>
      <c r="H234" s="846">
        <f>'d3'!E270</f>
        <v>0</v>
      </c>
      <c r="I234" s="846">
        <f>'d3'!J270</f>
        <v>0</v>
      </c>
      <c r="J234" s="846">
        <f>'d3'!K270</f>
        <v>0</v>
      </c>
      <c r="K234" s="139"/>
      <c r="L234" s="139"/>
      <c r="M234" s="139"/>
    </row>
    <row r="235" spans="1:13" ht="138.75" hidden="1" thickTop="1" thickBot="1" x14ac:dyDescent="0.25">
      <c r="A235" s="762"/>
      <c r="B235" s="762"/>
      <c r="C235" s="762"/>
      <c r="D235" s="411" t="s">
        <v>441</v>
      </c>
      <c r="E235" s="759"/>
      <c r="F235" s="759"/>
      <c r="G235" s="848"/>
      <c r="H235" s="848"/>
      <c r="I235" s="848"/>
      <c r="J235" s="848"/>
      <c r="K235" s="139"/>
      <c r="L235" s="139"/>
      <c r="M235" s="139"/>
    </row>
    <row r="236" spans="1:13" ht="367.5" thickTop="1" thickBot="1" x14ac:dyDescent="0.25">
      <c r="A236" s="103" t="s">
        <v>1540</v>
      </c>
      <c r="B236" s="103" t="s">
        <v>518</v>
      </c>
      <c r="C236" s="103" t="s">
        <v>251</v>
      </c>
      <c r="D236" s="103" t="s">
        <v>519</v>
      </c>
      <c r="E236" s="318" t="s">
        <v>1419</v>
      </c>
      <c r="F236" s="318" t="s">
        <v>861</v>
      </c>
      <c r="G236" s="318">
        <f t="shared" si="30"/>
        <v>2812463</v>
      </c>
      <c r="H236" s="349">
        <f>'d3'!E274</f>
        <v>2812463</v>
      </c>
      <c r="I236" s="478">
        <f>'d3'!J274</f>
        <v>0</v>
      </c>
      <c r="J236" s="478">
        <f>'d3'!K274</f>
        <v>0</v>
      </c>
      <c r="K236" s="139"/>
      <c r="L236" s="139"/>
      <c r="M236" s="139"/>
    </row>
    <row r="237" spans="1:13" ht="367.5" hidden="1" thickTop="1" thickBot="1" x14ac:dyDescent="0.25">
      <c r="A237" s="128" t="s">
        <v>1242</v>
      </c>
      <c r="B237" s="128" t="s">
        <v>1223</v>
      </c>
      <c r="C237" s="128" t="s">
        <v>1197</v>
      </c>
      <c r="D237" s="128" t="s">
        <v>1224</v>
      </c>
      <c r="E237" s="196" t="s">
        <v>1221</v>
      </c>
      <c r="F237" s="196" t="s">
        <v>861</v>
      </c>
      <c r="G237" s="269">
        <f>H237+I237</f>
        <v>0</v>
      </c>
      <c r="H237" s="275">
        <f>'d3'!E276</f>
        <v>0</v>
      </c>
      <c r="I237" s="276">
        <f>'d3'!J276</f>
        <v>0</v>
      </c>
      <c r="J237" s="276">
        <f>'d3'!K276</f>
        <v>0</v>
      </c>
      <c r="K237" s="139"/>
      <c r="L237" s="139"/>
      <c r="M237" s="139"/>
    </row>
    <row r="238" spans="1:13" ht="136.5" thickTop="1" thickBot="1" x14ac:dyDescent="0.25">
      <c r="A238" s="508" t="s">
        <v>541</v>
      </c>
      <c r="B238" s="508"/>
      <c r="C238" s="508"/>
      <c r="D238" s="509" t="s">
        <v>560</v>
      </c>
      <c r="E238" s="508"/>
      <c r="F238" s="508"/>
      <c r="G238" s="510">
        <f>H238+I238</f>
        <v>324944503</v>
      </c>
      <c r="H238" s="510">
        <f>H239</f>
        <v>312731956</v>
      </c>
      <c r="I238" s="510">
        <f>I239</f>
        <v>12212547</v>
      </c>
      <c r="J238" s="510">
        <f>J239</f>
        <v>12212547</v>
      </c>
      <c r="K238" s="96" t="b">
        <f>H238='d3'!E278-'d3'!E280+'d7'!H240</f>
        <v>1</v>
      </c>
      <c r="L238" s="96" t="b">
        <f>I238='d3'!J278-'d3'!J280+'d7'!I240</f>
        <v>1</v>
      </c>
      <c r="M238" s="96" t="b">
        <f>J238='d3'!K278-'d3'!K280+'d7'!J240</f>
        <v>1</v>
      </c>
    </row>
    <row r="239" spans="1:13" ht="207.75" customHeight="1" thickTop="1" thickBot="1" x14ac:dyDescent="0.25">
      <c r="A239" s="511" t="s">
        <v>542</v>
      </c>
      <c r="B239" s="511"/>
      <c r="C239" s="511"/>
      <c r="D239" s="512" t="s">
        <v>561</v>
      </c>
      <c r="E239" s="513"/>
      <c r="F239" s="513"/>
      <c r="G239" s="513">
        <f>SUM(G240:G277)</f>
        <v>324944503</v>
      </c>
      <c r="H239" s="513">
        <f>SUM(H240:H277)</f>
        <v>312731956</v>
      </c>
      <c r="I239" s="513">
        <f>SUM(I240:I277)</f>
        <v>12212547</v>
      </c>
      <c r="J239" s="513">
        <f>SUM(J240:J277)</f>
        <v>12212547</v>
      </c>
      <c r="K239" s="277"/>
      <c r="L239" s="139"/>
      <c r="M239" s="139"/>
    </row>
    <row r="240" spans="1:13" ht="184.5" thickTop="1" thickBot="1" x14ac:dyDescent="0.25">
      <c r="A240" s="103" t="s">
        <v>543</v>
      </c>
      <c r="B240" s="103" t="s">
        <v>236</v>
      </c>
      <c r="C240" s="103" t="s">
        <v>234</v>
      </c>
      <c r="D240" s="103" t="s">
        <v>235</v>
      </c>
      <c r="E240" s="321" t="s">
        <v>1044</v>
      </c>
      <c r="F240" s="318" t="s">
        <v>859</v>
      </c>
      <c r="G240" s="318">
        <f t="shared" si="30"/>
        <v>39000</v>
      </c>
      <c r="H240" s="318">
        <v>0</v>
      </c>
      <c r="I240" s="318">
        <v>39000</v>
      </c>
      <c r="J240" s="318">
        <v>39000</v>
      </c>
      <c r="K240" s="139"/>
      <c r="L240" s="139"/>
      <c r="M240" s="139"/>
    </row>
    <row r="241" spans="1:13" ht="367.5" hidden="1" thickTop="1" thickBot="1" x14ac:dyDescent="0.25">
      <c r="A241" s="128" t="s">
        <v>630</v>
      </c>
      <c r="B241" s="128" t="s">
        <v>362</v>
      </c>
      <c r="C241" s="128" t="s">
        <v>626</v>
      </c>
      <c r="D241" s="128" t="s">
        <v>627</v>
      </c>
      <c r="E241" s="255" t="s">
        <v>1185</v>
      </c>
      <c r="F241" s="196" t="s">
        <v>1186</v>
      </c>
      <c r="G241" s="196">
        <f t="shared" ref="G241" si="32">H241+I241</f>
        <v>0</v>
      </c>
      <c r="H241" s="256">
        <f>'d3'!E281</f>
        <v>0</v>
      </c>
      <c r="I241" s="273">
        <v>0</v>
      </c>
      <c r="J241" s="273">
        <v>0</v>
      </c>
      <c r="K241" s="139"/>
      <c r="L241" s="139"/>
      <c r="M241" s="139"/>
    </row>
    <row r="242" spans="1:13" ht="184.5" hidden="1" thickTop="1" thickBot="1" x14ac:dyDescent="0.25">
      <c r="A242" s="128" t="s">
        <v>544</v>
      </c>
      <c r="B242" s="128" t="s">
        <v>43</v>
      </c>
      <c r="C242" s="128" t="s">
        <v>42</v>
      </c>
      <c r="D242" s="128" t="s">
        <v>248</v>
      </c>
      <c r="E242" s="255" t="s">
        <v>1244</v>
      </c>
      <c r="F242" s="196" t="s">
        <v>1179</v>
      </c>
      <c r="G242" s="196">
        <f t="shared" si="30"/>
        <v>0</v>
      </c>
      <c r="H242" s="196">
        <f>'d3'!E282</f>
        <v>0</v>
      </c>
      <c r="I242" s="196">
        <f>'d3'!J282</f>
        <v>0</v>
      </c>
      <c r="J242" s="196">
        <f>'d3'!K282</f>
        <v>0</v>
      </c>
      <c r="K242" s="139"/>
      <c r="L242" s="139"/>
      <c r="M242" s="139"/>
    </row>
    <row r="243" spans="1:13" ht="205.5" customHeight="1" thickTop="1" thickBot="1" x14ac:dyDescent="0.25">
      <c r="A243" s="103" t="s">
        <v>545</v>
      </c>
      <c r="B243" s="103" t="s">
        <v>376</v>
      </c>
      <c r="C243" s="103" t="s">
        <v>283</v>
      </c>
      <c r="D243" s="103" t="s">
        <v>377</v>
      </c>
      <c r="E243" s="321" t="s">
        <v>1381</v>
      </c>
      <c r="F243" s="318" t="s">
        <v>1382</v>
      </c>
      <c r="G243" s="318">
        <f t="shared" si="30"/>
        <v>20000000</v>
      </c>
      <c r="H243" s="322">
        <f>'d3'!E285</f>
        <v>20000000</v>
      </c>
      <c r="I243" s="318">
        <f>'d3'!J285</f>
        <v>0</v>
      </c>
      <c r="J243" s="318">
        <f>'d3'!K285</f>
        <v>0</v>
      </c>
      <c r="K243" s="139"/>
      <c r="L243" s="139"/>
      <c r="M243" s="139"/>
    </row>
    <row r="244" spans="1:13" ht="184.5" thickTop="1" thickBot="1" x14ac:dyDescent="0.25">
      <c r="A244" s="103" t="s">
        <v>546</v>
      </c>
      <c r="B244" s="103" t="s">
        <v>286</v>
      </c>
      <c r="C244" s="103" t="s">
        <v>283</v>
      </c>
      <c r="D244" s="103" t="s">
        <v>287</v>
      </c>
      <c r="E244" s="321" t="s">
        <v>1244</v>
      </c>
      <c r="F244" s="318" t="s">
        <v>1179</v>
      </c>
      <c r="G244" s="318">
        <f t="shared" si="30"/>
        <v>185707</v>
      </c>
      <c r="H244" s="322">
        <v>0</v>
      </c>
      <c r="I244" s="475">
        <f>'d3'!J286</f>
        <v>185707</v>
      </c>
      <c r="J244" s="475">
        <f>'d3'!K286</f>
        <v>185707</v>
      </c>
      <c r="K244" s="96" t="b">
        <f>'d3'!E286='d7'!H244+'d7'!H245</f>
        <v>1</v>
      </c>
      <c r="L244" s="96" t="b">
        <f>'d3'!J286='d7'!I244+'d7'!I245</f>
        <v>1</v>
      </c>
      <c r="M244" s="96" t="b">
        <f>'d3'!K286='d7'!J244+'d7'!J245</f>
        <v>1</v>
      </c>
    </row>
    <row r="245" spans="1:13" ht="184.5" thickTop="1" thickBot="1" x14ac:dyDescent="0.25">
      <c r="A245" s="103" t="s">
        <v>546</v>
      </c>
      <c r="B245" s="103" t="s">
        <v>286</v>
      </c>
      <c r="C245" s="103" t="s">
        <v>283</v>
      </c>
      <c r="D245" s="103" t="s">
        <v>287</v>
      </c>
      <c r="E245" s="321" t="s">
        <v>1441</v>
      </c>
      <c r="F245" s="318" t="s">
        <v>1383</v>
      </c>
      <c r="G245" s="318">
        <f t="shared" si="30"/>
        <v>10550000</v>
      </c>
      <c r="H245" s="322">
        <v>10550000</v>
      </c>
      <c r="I245" s="475">
        <v>0</v>
      </c>
      <c r="J245" s="475">
        <v>0</v>
      </c>
      <c r="K245" s="139"/>
      <c r="L245" s="139"/>
      <c r="M245" s="139"/>
    </row>
    <row r="246" spans="1:13" ht="184.5" hidden="1" thickTop="1" thickBot="1" x14ac:dyDescent="0.25">
      <c r="A246" s="128" t="s">
        <v>1442</v>
      </c>
      <c r="B246" s="128" t="s">
        <v>1443</v>
      </c>
      <c r="C246" s="128" t="s">
        <v>283</v>
      </c>
      <c r="D246" s="128" t="s">
        <v>1444</v>
      </c>
      <c r="E246" s="255" t="s">
        <v>1441</v>
      </c>
      <c r="F246" s="196" t="s">
        <v>1383</v>
      </c>
      <c r="G246" s="196">
        <f t="shared" si="30"/>
        <v>0</v>
      </c>
      <c r="H246" s="256">
        <f>'d3'!E287</f>
        <v>0</v>
      </c>
      <c r="I246" s="273">
        <v>0</v>
      </c>
      <c r="J246" s="273">
        <v>0</v>
      </c>
      <c r="K246" s="139"/>
      <c r="L246" s="139"/>
      <c r="M246" s="139"/>
    </row>
    <row r="247" spans="1:13" ht="184.5" thickTop="1" thickBot="1" x14ac:dyDescent="0.25">
      <c r="A247" s="103" t="s">
        <v>547</v>
      </c>
      <c r="B247" s="103" t="s">
        <v>297</v>
      </c>
      <c r="C247" s="103" t="s">
        <v>283</v>
      </c>
      <c r="D247" s="103" t="s">
        <v>298</v>
      </c>
      <c r="E247" s="321" t="s">
        <v>1488</v>
      </c>
      <c r="F247" s="318" t="s">
        <v>1386</v>
      </c>
      <c r="G247" s="318">
        <f t="shared" si="30"/>
        <v>700000</v>
      </c>
      <c r="H247" s="322">
        <v>700000</v>
      </c>
      <c r="I247" s="475">
        <f>'d3'!J288</f>
        <v>0</v>
      </c>
      <c r="J247" s="475">
        <f>'d3'!K288</f>
        <v>0</v>
      </c>
      <c r="K247" s="96" t="b">
        <f>'d3'!E288='d7'!H247+'d7'!H248</f>
        <v>1</v>
      </c>
      <c r="L247" s="96" t="b">
        <f>'d3'!J288='d7'!I247+'d7'!I248</f>
        <v>1</v>
      </c>
      <c r="M247" s="96" t="b">
        <f>'d3'!K288='d7'!J247+'d7'!J248</f>
        <v>1</v>
      </c>
    </row>
    <row r="248" spans="1:13" ht="184.5" hidden="1" thickTop="1" thickBot="1" x14ac:dyDescent="0.25">
      <c r="A248" s="128" t="s">
        <v>547</v>
      </c>
      <c r="B248" s="128" t="s">
        <v>297</v>
      </c>
      <c r="C248" s="128" t="s">
        <v>283</v>
      </c>
      <c r="D248" s="128" t="s">
        <v>298</v>
      </c>
      <c r="E248" s="255" t="s">
        <v>1449</v>
      </c>
      <c r="F248" s="196" t="s">
        <v>1389</v>
      </c>
      <c r="G248" s="196">
        <f t="shared" si="30"/>
        <v>0</v>
      </c>
      <c r="H248" s="256">
        <v>0</v>
      </c>
      <c r="I248" s="273">
        <v>0</v>
      </c>
      <c r="J248" s="273">
        <v>0</v>
      </c>
      <c r="K248" s="139"/>
      <c r="L248" s="139"/>
      <c r="M248" s="139"/>
    </row>
    <row r="249" spans="1:13" ht="138.75" hidden="1" thickTop="1" thickBot="1" x14ac:dyDescent="0.25">
      <c r="A249" s="128"/>
      <c r="B249" s="128"/>
      <c r="C249" s="128"/>
      <c r="D249" s="128"/>
      <c r="E249" s="256" t="s">
        <v>878</v>
      </c>
      <c r="F249" s="196" t="s">
        <v>876</v>
      </c>
      <c r="G249" s="73"/>
      <c r="H249" s="259"/>
      <c r="I249" s="274"/>
      <c r="J249" s="274"/>
      <c r="K249" s="139"/>
      <c r="L249" s="139"/>
      <c r="M249" s="139"/>
    </row>
    <row r="250" spans="1:13" ht="184.5" thickTop="1" thickBot="1" x14ac:dyDescent="0.25">
      <c r="A250" s="103" t="s">
        <v>548</v>
      </c>
      <c r="B250" s="103">
        <v>6030</v>
      </c>
      <c r="C250" s="103" t="s">
        <v>283</v>
      </c>
      <c r="D250" s="103" t="s">
        <v>290</v>
      </c>
      <c r="E250" s="321" t="s">
        <v>1244</v>
      </c>
      <c r="F250" s="318" t="s">
        <v>1179</v>
      </c>
      <c r="G250" s="318">
        <f t="shared" si="30"/>
        <v>258269455</v>
      </c>
      <c r="H250" s="322">
        <f>273808011-H251-650000-8450000</f>
        <v>258269455</v>
      </c>
      <c r="I250" s="475">
        <v>0</v>
      </c>
      <c r="J250" s="475">
        <v>0</v>
      </c>
      <c r="K250" s="96" t="b">
        <f>H251+H250='d3'!E289</f>
        <v>1</v>
      </c>
      <c r="L250" s="96" t="b">
        <f>I251+I250='d3'!J289</f>
        <v>1</v>
      </c>
      <c r="M250" s="96" t="b">
        <f>J251+J250='d3'!K289</f>
        <v>1</v>
      </c>
    </row>
    <row r="251" spans="1:13" ht="230.25" thickTop="1" thickBot="1" x14ac:dyDescent="0.25">
      <c r="A251" s="103" t="s">
        <v>548</v>
      </c>
      <c r="B251" s="103">
        <v>6030</v>
      </c>
      <c r="C251" s="103" t="s">
        <v>283</v>
      </c>
      <c r="D251" s="103" t="s">
        <v>290</v>
      </c>
      <c r="E251" s="322" t="s">
        <v>1299</v>
      </c>
      <c r="F251" s="318" t="s">
        <v>1300</v>
      </c>
      <c r="G251" s="318">
        <f>H251+I251</f>
        <v>6438556</v>
      </c>
      <c r="H251" s="475">
        <v>6438556</v>
      </c>
      <c r="I251" s="475">
        <v>0</v>
      </c>
      <c r="J251" s="475">
        <v>0</v>
      </c>
      <c r="K251" s="139"/>
      <c r="L251" s="139"/>
      <c r="M251" s="139"/>
    </row>
    <row r="252" spans="1:13" ht="184.5" thickTop="1" thickBot="1" x14ac:dyDescent="0.25">
      <c r="A252" s="103" t="s">
        <v>1156</v>
      </c>
      <c r="B252" s="103" t="s">
        <v>1157</v>
      </c>
      <c r="C252" s="103" t="s">
        <v>1158</v>
      </c>
      <c r="D252" s="103" t="s">
        <v>1155</v>
      </c>
      <c r="E252" s="321" t="s">
        <v>1244</v>
      </c>
      <c r="F252" s="318" t="s">
        <v>1179</v>
      </c>
      <c r="G252" s="318">
        <f>H252+I252</f>
        <v>258800</v>
      </c>
      <c r="H252" s="475">
        <f>'d3'!E290</f>
        <v>258800</v>
      </c>
      <c r="I252" s="475">
        <f>'d3'!J290</f>
        <v>0</v>
      </c>
      <c r="J252" s="475">
        <f>'d3'!K290</f>
        <v>0</v>
      </c>
      <c r="K252" s="139"/>
      <c r="L252" s="139"/>
      <c r="M252" s="139"/>
    </row>
    <row r="253" spans="1:13" ht="184.5" thickTop="1" thickBot="1" x14ac:dyDescent="0.25">
      <c r="A253" s="103" t="s">
        <v>549</v>
      </c>
      <c r="B253" s="103" t="s">
        <v>305</v>
      </c>
      <c r="C253" s="103" t="s">
        <v>304</v>
      </c>
      <c r="D253" s="103" t="s">
        <v>469</v>
      </c>
      <c r="E253" s="321" t="s">
        <v>1244</v>
      </c>
      <c r="F253" s="318" t="s">
        <v>1179</v>
      </c>
      <c r="G253" s="318">
        <f t="shared" si="30"/>
        <v>131720</v>
      </c>
      <c r="H253" s="322">
        <f>'d3'!E293</f>
        <v>0</v>
      </c>
      <c r="I253" s="475">
        <f>'d3'!J293</f>
        <v>131720</v>
      </c>
      <c r="J253" s="475">
        <f>'d3'!K293</f>
        <v>131720</v>
      </c>
      <c r="K253" s="139"/>
      <c r="L253" s="139"/>
      <c r="M253" s="139"/>
    </row>
    <row r="254" spans="1:13" ht="184.5" thickTop="1" thickBot="1" x14ac:dyDescent="0.25">
      <c r="A254" s="103" t="s">
        <v>550</v>
      </c>
      <c r="B254" s="103" t="s">
        <v>293</v>
      </c>
      <c r="C254" s="103" t="s">
        <v>295</v>
      </c>
      <c r="D254" s="803" t="s">
        <v>294</v>
      </c>
      <c r="E254" s="321" t="s">
        <v>1244</v>
      </c>
      <c r="F254" s="318" t="s">
        <v>1179</v>
      </c>
      <c r="G254" s="318">
        <f>H254+I254</f>
        <v>14000000</v>
      </c>
      <c r="H254" s="322">
        <f>'d3'!E296</f>
        <v>12000000</v>
      </c>
      <c r="I254" s="475">
        <f>'d3'!J296</f>
        <v>2000000</v>
      </c>
      <c r="J254" s="475">
        <f>'d3'!K296</f>
        <v>2000000</v>
      </c>
      <c r="K254" s="139"/>
      <c r="L254" s="139"/>
      <c r="M254" s="139"/>
    </row>
    <row r="255" spans="1:13" ht="138.75" hidden="1" customHeight="1" thickTop="1" thickBot="1" x14ac:dyDescent="0.25">
      <c r="A255" s="103" t="s">
        <v>550</v>
      </c>
      <c r="B255" s="103" t="s">
        <v>293</v>
      </c>
      <c r="C255" s="103" t="s">
        <v>295</v>
      </c>
      <c r="D255" s="859"/>
      <c r="E255" s="322" t="s">
        <v>877</v>
      </c>
      <c r="F255" s="322" t="s">
        <v>892</v>
      </c>
      <c r="G255" s="318">
        <f t="shared" si="30"/>
        <v>0</v>
      </c>
      <c r="H255" s="322"/>
      <c r="I255" s="273"/>
      <c r="J255" s="273"/>
      <c r="K255" s="139"/>
      <c r="L255" s="139"/>
      <c r="M255" s="139"/>
    </row>
    <row r="256" spans="1:13" ht="184.5" thickTop="1" thickBot="1" x14ac:dyDescent="0.25">
      <c r="A256" s="103" t="s">
        <v>551</v>
      </c>
      <c r="B256" s="103" t="s">
        <v>212</v>
      </c>
      <c r="C256" s="103" t="s">
        <v>213</v>
      </c>
      <c r="D256" s="103" t="s">
        <v>41</v>
      </c>
      <c r="E256" s="321" t="s">
        <v>1178</v>
      </c>
      <c r="F256" s="318" t="s">
        <v>1179</v>
      </c>
      <c r="G256" s="322">
        <f t="shared" si="30"/>
        <v>9760000</v>
      </c>
      <c r="H256" s="322">
        <f>'d3'!E298</f>
        <v>0</v>
      </c>
      <c r="I256" s="322">
        <f>'d3'!J298</f>
        <v>9760000</v>
      </c>
      <c r="J256" s="322">
        <f>'d3'!K298</f>
        <v>9760000</v>
      </c>
      <c r="K256" s="139"/>
      <c r="L256" s="139"/>
      <c r="M256" s="139"/>
    </row>
    <row r="257" spans="1:13" ht="184.5" hidden="1" thickTop="1" thickBot="1" x14ac:dyDescent="0.25">
      <c r="A257" s="128" t="s">
        <v>552</v>
      </c>
      <c r="B257" s="128" t="s">
        <v>197</v>
      </c>
      <c r="C257" s="128" t="s">
        <v>170</v>
      </c>
      <c r="D257" s="128" t="s">
        <v>34</v>
      </c>
      <c r="E257" s="255" t="s">
        <v>1178</v>
      </c>
      <c r="F257" s="196" t="s">
        <v>1179</v>
      </c>
      <c r="G257" s="256">
        <f t="shared" ref="G257:G259" si="33">H257+I257</f>
        <v>0</v>
      </c>
      <c r="H257" s="256">
        <v>0</v>
      </c>
      <c r="I257" s="256">
        <v>0</v>
      </c>
      <c r="J257" s="256">
        <v>0</v>
      </c>
      <c r="K257" s="254" t="s">
        <v>1391</v>
      </c>
      <c r="L257" s="254" t="s">
        <v>1390</v>
      </c>
      <c r="M257" s="139"/>
    </row>
    <row r="258" spans="1:13" ht="184.5" hidden="1" thickTop="1" thickBot="1" x14ac:dyDescent="0.25">
      <c r="A258" s="128" t="s">
        <v>552</v>
      </c>
      <c r="B258" s="128" t="s">
        <v>197</v>
      </c>
      <c r="C258" s="128" t="s">
        <v>170</v>
      </c>
      <c r="D258" s="128" t="s">
        <v>34</v>
      </c>
      <c r="E258" s="255" t="s">
        <v>1485</v>
      </c>
      <c r="F258" s="196" t="s">
        <v>1484</v>
      </c>
      <c r="G258" s="256">
        <f t="shared" si="33"/>
        <v>0</v>
      </c>
      <c r="H258" s="256">
        <v>0</v>
      </c>
      <c r="I258" s="256">
        <v>0</v>
      </c>
      <c r="J258" s="256">
        <v>0</v>
      </c>
      <c r="K258" s="254"/>
      <c r="L258" s="254"/>
      <c r="M258" s="139"/>
    </row>
    <row r="259" spans="1:13" ht="184.5" hidden="1" thickTop="1" thickBot="1" x14ac:dyDescent="0.25">
      <c r="A259" s="128" t="s">
        <v>552</v>
      </c>
      <c r="B259" s="128" t="s">
        <v>197</v>
      </c>
      <c r="C259" s="128" t="s">
        <v>170</v>
      </c>
      <c r="D259" s="128" t="s">
        <v>34</v>
      </c>
      <c r="E259" s="255" t="s">
        <v>1486</v>
      </c>
      <c r="F259" s="196" t="s">
        <v>1487</v>
      </c>
      <c r="G259" s="256">
        <f t="shared" si="33"/>
        <v>0</v>
      </c>
      <c r="H259" s="256">
        <v>0</v>
      </c>
      <c r="I259" s="256">
        <v>0</v>
      </c>
      <c r="J259" s="256">
        <v>0</v>
      </c>
      <c r="K259" s="254"/>
      <c r="L259" s="254"/>
      <c r="M259" s="139"/>
    </row>
    <row r="260" spans="1:13" ht="184.5" hidden="1" thickTop="1" thickBot="1" x14ac:dyDescent="0.25">
      <c r="A260" s="128" t="s">
        <v>552</v>
      </c>
      <c r="B260" s="128" t="s">
        <v>197</v>
      </c>
      <c r="C260" s="128" t="s">
        <v>170</v>
      </c>
      <c r="D260" s="128" t="s">
        <v>34</v>
      </c>
      <c r="E260" s="255" t="s">
        <v>1445</v>
      </c>
      <c r="F260" s="196" t="s">
        <v>1382</v>
      </c>
      <c r="G260" s="256">
        <f t="shared" si="30"/>
        <v>0</v>
      </c>
      <c r="H260" s="256">
        <v>0</v>
      </c>
      <c r="I260" s="256">
        <v>0</v>
      </c>
      <c r="J260" s="256">
        <v>0</v>
      </c>
    </row>
    <row r="261" spans="1:13" ht="184.5" hidden="1" thickTop="1" thickBot="1" x14ac:dyDescent="0.25">
      <c r="A261" s="128" t="s">
        <v>552</v>
      </c>
      <c r="B261" s="128" t="s">
        <v>197</v>
      </c>
      <c r="C261" s="128" t="s">
        <v>170</v>
      </c>
      <c r="D261" s="128" t="s">
        <v>34</v>
      </c>
      <c r="E261" s="255" t="s">
        <v>1441</v>
      </c>
      <c r="F261" s="196" t="s">
        <v>1383</v>
      </c>
      <c r="G261" s="256">
        <f t="shared" si="30"/>
        <v>0</v>
      </c>
      <c r="H261" s="256">
        <v>0</v>
      </c>
      <c r="I261" s="256">
        <v>0</v>
      </c>
      <c r="J261" s="256">
        <v>0</v>
      </c>
      <c r="K261" s="139"/>
      <c r="L261" s="139"/>
      <c r="M261" s="139"/>
    </row>
    <row r="262" spans="1:13" ht="276" hidden="1" thickTop="1" thickBot="1" x14ac:dyDescent="0.25">
      <c r="A262" s="128" t="s">
        <v>552</v>
      </c>
      <c r="B262" s="128" t="s">
        <v>197</v>
      </c>
      <c r="C262" s="128" t="s">
        <v>170</v>
      </c>
      <c r="D262" s="128" t="s">
        <v>34</v>
      </c>
      <c r="E262" s="255" t="s">
        <v>1447</v>
      </c>
      <c r="F262" s="196" t="s">
        <v>1385</v>
      </c>
      <c r="G262" s="256">
        <f t="shared" si="30"/>
        <v>0</v>
      </c>
      <c r="H262" s="256">
        <v>0</v>
      </c>
      <c r="I262" s="256">
        <v>0</v>
      </c>
      <c r="J262" s="256">
        <v>0</v>
      </c>
      <c r="K262" s="139"/>
      <c r="L262" s="139"/>
      <c r="M262" s="139"/>
    </row>
    <row r="263" spans="1:13" ht="276" hidden="1" thickTop="1" thickBot="1" x14ac:dyDescent="0.25">
      <c r="A263" s="128" t="s">
        <v>552</v>
      </c>
      <c r="B263" s="128" t="s">
        <v>197</v>
      </c>
      <c r="C263" s="128" t="s">
        <v>170</v>
      </c>
      <c r="D263" s="128" t="s">
        <v>34</v>
      </c>
      <c r="E263" s="255" t="s">
        <v>1446</v>
      </c>
      <c r="F263" s="196" t="s">
        <v>1384</v>
      </c>
      <c r="G263" s="256">
        <f t="shared" si="30"/>
        <v>0</v>
      </c>
      <c r="H263" s="256">
        <v>0</v>
      </c>
      <c r="I263" s="256">
        <v>0</v>
      </c>
      <c r="J263" s="256">
        <v>0</v>
      </c>
      <c r="K263" s="139"/>
      <c r="L263" s="139"/>
      <c r="M263" s="139"/>
    </row>
    <row r="264" spans="1:13" ht="184.5" hidden="1" thickTop="1" thickBot="1" x14ac:dyDescent="0.25">
      <c r="A264" s="128" t="s">
        <v>552</v>
      </c>
      <c r="B264" s="128" t="s">
        <v>197</v>
      </c>
      <c r="C264" s="128" t="s">
        <v>170</v>
      </c>
      <c r="D264" s="128" t="s">
        <v>34</v>
      </c>
      <c r="E264" s="470" t="s">
        <v>1358</v>
      </c>
      <c r="F264" s="471"/>
      <c r="G264" s="256">
        <f t="shared" si="30"/>
        <v>0</v>
      </c>
      <c r="H264" s="256">
        <v>0</v>
      </c>
      <c r="I264" s="256">
        <f>1888075-1888075</f>
        <v>0</v>
      </c>
      <c r="J264" s="256">
        <f>1258075+630000-1888075</f>
        <v>0</v>
      </c>
      <c r="K264" s="139"/>
      <c r="L264" s="139"/>
      <c r="M264" s="139"/>
    </row>
    <row r="265" spans="1:13" ht="184.5" hidden="1" thickTop="1" thickBot="1" x14ac:dyDescent="0.25">
      <c r="A265" s="128" t="s">
        <v>552</v>
      </c>
      <c r="B265" s="128" t="s">
        <v>197</v>
      </c>
      <c r="C265" s="128" t="s">
        <v>170</v>
      </c>
      <c r="D265" s="128" t="s">
        <v>34</v>
      </c>
      <c r="E265" s="255" t="s">
        <v>1448</v>
      </c>
      <c r="F265" s="196" t="s">
        <v>1386</v>
      </c>
      <c r="G265" s="256">
        <f t="shared" si="30"/>
        <v>0</v>
      </c>
      <c r="H265" s="256">
        <v>0</v>
      </c>
      <c r="I265" s="256">
        <v>0</v>
      </c>
      <c r="J265" s="256">
        <v>0</v>
      </c>
      <c r="K265" s="139"/>
      <c r="L265" s="139"/>
      <c r="M265" s="139"/>
    </row>
    <row r="266" spans="1:13" ht="184.5" hidden="1" thickTop="1" thickBot="1" x14ac:dyDescent="0.25">
      <c r="A266" s="128" t="s">
        <v>552</v>
      </c>
      <c r="B266" s="128" t="s">
        <v>197</v>
      </c>
      <c r="C266" s="128" t="s">
        <v>170</v>
      </c>
      <c r="D266" s="128" t="s">
        <v>34</v>
      </c>
      <c r="E266" s="255" t="s">
        <v>1387</v>
      </c>
      <c r="F266" s="196" t="s">
        <v>1388</v>
      </c>
      <c r="G266" s="256">
        <f t="shared" si="30"/>
        <v>0</v>
      </c>
      <c r="H266" s="256">
        <v>0</v>
      </c>
      <c r="I266" s="256">
        <v>0</v>
      </c>
      <c r="J266" s="256">
        <v>0</v>
      </c>
      <c r="K266" s="139"/>
      <c r="L266" s="139"/>
      <c r="M266" s="139"/>
    </row>
    <row r="267" spans="1:13" ht="184.5" hidden="1" thickTop="1" thickBot="1" x14ac:dyDescent="0.25">
      <c r="A267" s="128" t="s">
        <v>552</v>
      </c>
      <c r="B267" s="128" t="s">
        <v>197</v>
      </c>
      <c r="C267" s="128" t="s">
        <v>170</v>
      </c>
      <c r="D267" s="128" t="s">
        <v>34</v>
      </c>
      <c r="E267" s="469" t="s">
        <v>1440</v>
      </c>
      <c r="F267" s="196" t="s">
        <v>1378</v>
      </c>
      <c r="G267" s="256">
        <f t="shared" si="30"/>
        <v>0</v>
      </c>
      <c r="H267" s="256">
        <v>0</v>
      </c>
      <c r="I267" s="256">
        <v>0</v>
      </c>
      <c r="J267" s="256">
        <v>0</v>
      </c>
      <c r="K267" s="139"/>
      <c r="L267" s="139"/>
      <c r="M267" s="139"/>
    </row>
    <row r="268" spans="1:13" ht="184.5" thickTop="1" thickBot="1" x14ac:dyDescent="0.25">
      <c r="A268" s="103" t="s">
        <v>552</v>
      </c>
      <c r="B268" s="103" t="s">
        <v>197</v>
      </c>
      <c r="C268" s="103" t="s">
        <v>170</v>
      </c>
      <c r="D268" s="103" t="s">
        <v>34</v>
      </c>
      <c r="E268" s="321" t="s">
        <v>1449</v>
      </c>
      <c r="F268" s="318" t="s">
        <v>1389</v>
      </c>
      <c r="G268" s="322">
        <f t="shared" si="30"/>
        <v>96120</v>
      </c>
      <c r="H268" s="322">
        <v>0</v>
      </c>
      <c r="I268" s="322">
        <v>96120</v>
      </c>
      <c r="J268" s="322">
        <v>96120</v>
      </c>
      <c r="K268" s="96" t="b">
        <f>'d3'!E299='d7'!H260+'d7'!H261+'d7'!H262+'d7'!H263+'d7'!H264+'d7'!H265+'d7'!H266+'d7'!H268+'d7'!H269+H257+H267+H258+H259</f>
        <v>1</v>
      </c>
      <c r="L268" s="96" t="b">
        <f>'d3'!J299='d7'!I260+'d7'!I261+'d7'!I262+'d7'!I263+'d7'!I264+'d7'!I265+'d7'!I266+'d7'!I268+'d7'!I269+I257+I267+I258+I259</f>
        <v>1</v>
      </c>
      <c r="M268" s="96" t="b">
        <f>'d3'!K299='d7'!J260+'d7'!J261+'d7'!J262+'d7'!J263+'d7'!J264+'d7'!J265+'d7'!J266+'d7'!J268+'d7'!J269+J257+J267+J258+J259</f>
        <v>1</v>
      </c>
    </row>
    <row r="269" spans="1:13" ht="184.5" hidden="1" thickTop="1" thickBot="1" x14ac:dyDescent="0.25">
      <c r="A269" s="128" t="s">
        <v>552</v>
      </c>
      <c r="B269" s="128" t="s">
        <v>197</v>
      </c>
      <c r="C269" s="128" t="s">
        <v>170</v>
      </c>
      <c r="D269" s="128" t="s">
        <v>34</v>
      </c>
      <c r="E269" s="470" t="s">
        <v>1359</v>
      </c>
      <c r="F269" s="471"/>
      <c r="G269" s="256">
        <f t="shared" si="30"/>
        <v>0</v>
      </c>
      <c r="H269" s="256">
        <v>0</v>
      </c>
      <c r="I269" s="256">
        <f>6007800-6007800</f>
        <v>0</v>
      </c>
      <c r="J269" s="256">
        <f>6007800-6007800</f>
        <v>0</v>
      </c>
      <c r="K269" s="139"/>
      <c r="L269" s="139"/>
      <c r="M269" s="139"/>
    </row>
    <row r="270" spans="1:13" ht="138.75" hidden="1" thickTop="1" thickBot="1" x14ac:dyDescent="0.25">
      <c r="A270" s="128" t="s">
        <v>552</v>
      </c>
      <c r="B270" s="128" t="s">
        <v>197</v>
      </c>
      <c r="C270" s="128" t="s">
        <v>170</v>
      </c>
      <c r="D270" s="128" t="s">
        <v>34</v>
      </c>
      <c r="E270" s="256" t="s">
        <v>878</v>
      </c>
      <c r="F270" s="196" t="s">
        <v>876</v>
      </c>
      <c r="G270" s="273">
        <f t="shared" si="30"/>
        <v>0</v>
      </c>
      <c r="H270" s="256">
        <v>0</v>
      </c>
      <c r="I270" s="273"/>
      <c r="J270" s="273"/>
      <c r="K270" s="139"/>
      <c r="L270" s="139"/>
      <c r="M270" s="139"/>
    </row>
    <row r="271" spans="1:13" ht="321.75" hidden="1" thickTop="1" thickBot="1" x14ac:dyDescent="0.7">
      <c r="A271" s="753" t="s">
        <v>553</v>
      </c>
      <c r="B271" s="753" t="s">
        <v>338</v>
      </c>
      <c r="C271" s="753" t="s">
        <v>170</v>
      </c>
      <c r="D271" s="410" t="s">
        <v>440</v>
      </c>
      <c r="E271" s="753" t="s">
        <v>1170</v>
      </c>
      <c r="F271" s="753" t="s">
        <v>1171</v>
      </c>
      <c r="G271" s="729">
        <f t="shared" si="30"/>
        <v>0</v>
      </c>
      <c r="H271" s="729">
        <f>'d3'!E301</f>
        <v>0</v>
      </c>
      <c r="I271" s="729">
        <f>'d3'!J301</f>
        <v>0</v>
      </c>
      <c r="J271" s="729">
        <f>'d3'!K301</f>
        <v>0</v>
      </c>
      <c r="K271" s="139"/>
      <c r="L271" s="139"/>
      <c r="M271" s="139"/>
    </row>
    <row r="272" spans="1:13" ht="138.75" hidden="1" thickTop="1" thickBot="1" x14ac:dyDescent="0.25">
      <c r="A272" s="762"/>
      <c r="B272" s="762"/>
      <c r="C272" s="762"/>
      <c r="D272" s="411" t="s">
        <v>441</v>
      </c>
      <c r="E272" s="762" t="s">
        <v>1170</v>
      </c>
      <c r="F272" s="762" t="s">
        <v>1171</v>
      </c>
      <c r="G272" s="762">
        <f t="shared" si="30"/>
        <v>0</v>
      </c>
      <c r="H272" s="762"/>
      <c r="I272" s="762"/>
      <c r="J272" s="762"/>
      <c r="K272" s="139"/>
      <c r="L272" s="139"/>
      <c r="M272" s="139"/>
    </row>
    <row r="273" spans="1:13" ht="184.5" hidden="1" thickTop="1" thickBot="1" x14ac:dyDescent="0.25">
      <c r="A273" s="128" t="s">
        <v>1192</v>
      </c>
      <c r="B273" s="128" t="s">
        <v>257</v>
      </c>
      <c r="C273" s="128" t="s">
        <v>170</v>
      </c>
      <c r="D273" s="128" t="s">
        <v>255</v>
      </c>
      <c r="E273" s="255" t="s">
        <v>1244</v>
      </c>
      <c r="F273" s="196" t="s">
        <v>1179</v>
      </c>
      <c r="G273" s="273">
        <f t="shared" ref="G273" si="34">H273+I273</f>
        <v>0</v>
      </c>
      <c r="H273" s="256"/>
      <c r="I273" s="273"/>
      <c r="J273" s="273"/>
      <c r="K273" s="139"/>
      <c r="L273" s="139"/>
      <c r="M273" s="139"/>
    </row>
    <row r="274" spans="1:13" ht="367.5" thickTop="1" thickBot="1" x14ac:dyDescent="0.25">
      <c r="A274" s="103" t="s">
        <v>554</v>
      </c>
      <c r="B274" s="103" t="s">
        <v>518</v>
      </c>
      <c r="C274" s="103" t="s">
        <v>251</v>
      </c>
      <c r="D274" s="485" t="s">
        <v>519</v>
      </c>
      <c r="E274" s="322" t="s">
        <v>1226</v>
      </c>
      <c r="F274" s="318" t="s">
        <v>861</v>
      </c>
      <c r="G274" s="318">
        <f t="shared" si="30"/>
        <v>2000000</v>
      </c>
      <c r="H274" s="322">
        <f>'d3'!E306</f>
        <v>2000000</v>
      </c>
      <c r="I274" s="475">
        <f>'d3'!J306</f>
        <v>0</v>
      </c>
      <c r="J274" s="475">
        <f>'d3'!K306</f>
        <v>0</v>
      </c>
      <c r="K274" s="139"/>
      <c r="L274" s="139"/>
      <c r="M274" s="139"/>
    </row>
    <row r="275" spans="1:13" ht="367.5" thickTop="1" thickBot="1" x14ac:dyDescent="0.25">
      <c r="A275" s="103" t="s">
        <v>555</v>
      </c>
      <c r="B275" s="103" t="s">
        <v>250</v>
      </c>
      <c r="C275" s="103" t="s">
        <v>251</v>
      </c>
      <c r="D275" s="103" t="s">
        <v>249</v>
      </c>
      <c r="E275" s="322" t="s">
        <v>1226</v>
      </c>
      <c r="F275" s="318" t="s">
        <v>861</v>
      </c>
      <c r="G275" s="318">
        <f t="shared" si="30"/>
        <v>2515145</v>
      </c>
      <c r="H275" s="322">
        <f>'d3'!E307</f>
        <v>2515145</v>
      </c>
      <c r="I275" s="475">
        <f>'d3'!J307</f>
        <v>0</v>
      </c>
      <c r="J275" s="475">
        <f>'d3'!K307</f>
        <v>0</v>
      </c>
      <c r="K275" s="139"/>
      <c r="L275" s="139"/>
      <c r="M275" s="139"/>
    </row>
    <row r="276" spans="1:13" ht="367.5" hidden="1" thickTop="1" thickBot="1" x14ac:dyDescent="0.25">
      <c r="A276" s="41" t="s">
        <v>556</v>
      </c>
      <c r="B276" s="41" t="s">
        <v>557</v>
      </c>
      <c r="C276" s="41" t="s">
        <v>251</v>
      </c>
      <c r="D276" s="41" t="s">
        <v>558</v>
      </c>
      <c r="E276" s="259" t="s">
        <v>860</v>
      </c>
      <c r="F276" s="73" t="s">
        <v>861</v>
      </c>
      <c r="G276" s="73">
        <f t="shared" si="30"/>
        <v>0</v>
      </c>
      <c r="H276" s="259">
        <f>'d3'!E308</f>
        <v>0</v>
      </c>
      <c r="I276" s="274">
        <f>'d3'!J308</f>
        <v>0</v>
      </c>
      <c r="J276" s="274">
        <f>'d3'!K308</f>
        <v>0</v>
      </c>
      <c r="K276" s="139"/>
      <c r="L276" s="139"/>
      <c r="M276" s="139"/>
    </row>
    <row r="277" spans="1:13" ht="138.75" hidden="1" thickTop="1" thickBot="1" x14ac:dyDescent="0.25">
      <c r="A277" s="128" t="s">
        <v>1520</v>
      </c>
      <c r="B277" s="128" t="s">
        <v>363</v>
      </c>
      <c r="C277" s="128" t="s">
        <v>43</v>
      </c>
      <c r="D277" s="128" t="s">
        <v>364</v>
      </c>
      <c r="E277" s="255" t="s">
        <v>1294</v>
      </c>
      <c r="F277" s="196" t="s">
        <v>1295</v>
      </c>
      <c r="G277" s="196">
        <f t="shared" si="30"/>
        <v>0</v>
      </c>
      <c r="H277" s="256">
        <v>0</v>
      </c>
      <c r="I277" s="273">
        <v>0</v>
      </c>
      <c r="J277" s="273">
        <v>0</v>
      </c>
      <c r="K277" s="139"/>
      <c r="L277" s="139"/>
      <c r="M277" s="139"/>
    </row>
    <row r="278" spans="1:13" ht="136.5" thickTop="1" thickBot="1" x14ac:dyDescent="0.25">
      <c r="A278" s="508" t="s">
        <v>25</v>
      </c>
      <c r="B278" s="508"/>
      <c r="C278" s="508"/>
      <c r="D278" s="509" t="s">
        <v>893</v>
      </c>
      <c r="E278" s="508"/>
      <c r="F278" s="508"/>
      <c r="G278" s="510">
        <f>G279</f>
        <v>16000000</v>
      </c>
      <c r="H278" s="510">
        <f>H279</f>
        <v>0</v>
      </c>
      <c r="I278" s="510">
        <f>I279</f>
        <v>16000000</v>
      </c>
      <c r="J278" s="510">
        <f>J279</f>
        <v>16000000</v>
      </c>
      <c r="K278" s="139"/>
      <c r="L278" s="139"/>
      <c r="M278" s="139"/>
    </row>
    <row r="279" spans="1:13" ht="136.5" thickTop="1" thickBot="1" x14ac:dyDescent="0.25">
      <c r="A279" s="511" t="s">
        <v>26</v>
      </c>
      <c r="B279" s="511"/>
      <c r="C279" s="511"/>
      <c r="D279" s="512" t="s">
        <v>894</v>
      </c>
      <c r="E279" s="513"/>
      <c r="F279" s="513"/>
      <c r="G279" s="513">
        <f>SUM(G280:G298)</f>
        <v>16000000</v>
      </c>
      <c r="H279" s="513">
        <f>SUM(H280:H298)</f>
        <v>0</v>
      </c>
      <c r="I279" s="513">
        <f>SUM(I280:I298)</f>
        <v>16000000</v>
      </c>
      <c r="J279" s="513">
        <f>SUM(J280:J298)</f>
        <v>16000000</v>
      </c>
      <c r="K279" s="96" t="b">
        <f>H279='d3'!E313-'d3'!E315+H280</f>
        <v>1</v>
      </c>
      <c r="L279" s="480" t="b">
        <f>I279='d3'!J313+I280</f>
        <v>1</v>
      </c>
      <c r="M279" s="480" t="b">
        <f>J279='d3'!K313+J280</f>
        <v>1</v>
      </c>
    </row>
    <row r="280" spans="1:13" ht="184.5" hidden="1" thickTop="1" thickBot="1" x14ac:dyDescent="0.25">
      <c r="A280" s="128" t="s">
        <v>417</v>
      </c>
      <c r="B280" s="128" t="s">
        <v>236</v>
      </c>
      <c r="C280" s="128" t="s">
        <v>234</v>
      </c>
      <c r="D280" s="128" t="s">
        <v>235</v>
      </c>
      <c r="E280" s="255" t="s">
        <v>1044</v>
      </c>
      <c r="F280" s="196" t="s">
        <v>859</v>
      </c>
      <c r="G280" s="196">
        <f t="shared" ref="G280" si="35">H280+I280</f>
        <v>0</v>
      </c>
      <c r="H280" s="196">
        <v>0</v>
      </c>
      <c r="I280" s="196">
        <v>0</v>
      </c>
      <c r="J280" s="196">
        <v>0</v>
      </c>
      <c r="K280" s="257"/>
      <c r="L280" s="257"/>
      <c r="M280" s="257"/>
    </row>
    <row r="281" spans="1:13" ht="367.5" hidden="1" thickTop="1" thickBot="1" x14ac:dyDescent="0.25">
      <c r="A281" s="128" t="s">
        <v>631</v>
      </c>
      <c r="B281" s="128" t="s">
        <v>362</v>
      </c>
      <c r="C281" s="128" t="s">
        <v>626</v>
      </c>
      <c r="D281" s="128" t="s">
        <v>627</v>
      </c>
      <c r="E281" s="255" t="s">
        <v>1309</v>
      </c>
      <c r="F281" s="196" t="s">
        <v>1310</v>
      </c>
      <c r="G281" s="196">
        <f t="shared" ref="G281:G283" si="36">H281+I281</f>
        <v>0</v>
      </c>
      <c r="H281" s="256">
        <f>'d3'!E316</f>
        <v>0</v>
      </c>
      <c r="I281" s="273">
        <v>0</v>
      </c>
      <c r="J281" s="273">
        <v>0</v>
      </c>
      <c r="K281" s="257"/>
      <c r="L281" s="257"/>
      <c r="M281" s="257"/>
    </row>
    <row r="282" spans="1:13" ht="184.5" hidden="1" thickTop="1" thickBot="1" x14ac:dyDescent="0.25">
      <c r="A282" s="128" t="s">
        <v>930</v>
      </c>
      <c r="B282" s="128" t="s">
        <v>43</v>
      </c>
      <c r="C282" s="128" t="s">
        <v>42</v>
      </c>
      <c r="D282" s="128" t="s">
        <v>248</v>
      </c>
      <c r="E282" s="255" t="s">
        <v>1152</v>
      </c>
      <c r="F282" s="196"/>
      <c r="G282" s="196">
        <f t="shared" si="36"/>
        <v>0</v>
      </c>
      <c r="H282" s="256">
        <f>'d3'!E317</f>
        <v>0</v>
      </c>
      <c r="I282" s="273">
        <f>'d3'!J317</f>
        <v>0</v>
      </c>
      <c r="J282" s="273">
        <f>'d3'!K317</f>
        <v>0</v>
      </c>
      <c r="K282" s="257"/>
      <c r="L282" s="257"/>
      <c r="M282" s="257"/>
    </row>
    <row r="283" spans="1:13" ht="184.5" hidden="1" thickTop="1" thickBot="1" x14ac:dyDescent="0.25">
      <c r="A283" s="128" t="s">
        <v>1246</v>
      </c>
      <c r="B283" s="128" t="s">
        <v>1210</v>
      </c>
      <c r="C283" s="128" t="s">
        <v>206</v>
      </c>
      <c r="D283" s="414" t="s">
        <v>1211</v>
      </c>
      <c r="E283" s="255" t="s">
        <v>1294</v>
      </c>
      <c r="F283" s="196" t="s">
        <v>1295</v>
      </c>
      <c r="G283" s="196">
        <f t="shared" si="36"/>
        <v>0</v>
      </c>
      <c r="H283" s="256">
        <f>'d3'!E319</f>
        <v>0</v>
      </c>
      <c r="I283" s="273">
        <f>'d3'!J319</f>
        <v>0</v>
      </c>
      <c r="J283" s="273">
        <f>'d3'!K319</f>
        <v>0</v>
      </c>
      <c r="K283" s="257"/>
      <c r="L283" s="257"/>
      <c r="M283" s="257"/>
    </row>
    <row r="284" spans="1:13" ht="321.75" hidden="1" thickTop="1" thickBot="1" x14ac:dyDescent="0.25">
      <c r="A284" s="128" t="s">
        <v>433</v>
      </c>
      <c r="B284" s="128" t="s">
        <v>434</v>
      </c>
      <c r="C284" s="128" t="s">
        <v>195</v>
      </c>
      <c r="D284" s="128" t="s">
        <v>1187</v>
      </c>
      <c r="E284" s="255" t="s">
        <v>1294</v>
      </c>
      <c r="F284" s="196" t="s">
        <v>1295</v>
      </c>
      <c r="G284" s="196">
        <f>H284+I284</f>
        <v>0</v>
      </c>
      <c r="H284" s="196">
        <f>'d3'!E322</f>
        <v>0</v>
      </c>
      <c r="I284" s="196">
        <f>'d3'!J322</f>
        <v>0</v>
      </c>
      <c r="J284" s="196">
        <f>'d3'!K322</f>
        <v>0</v>
      </c>
      <c r="K284" s="139"/>
      <c r="L284" s="139"/>
      <c r="M284" s="139"/>
    </row>
    <row r="285" spans="1:13" ht="138.75" hidden="1" thickTop="1" thickBot="1" x14ac:dyDescent="0.25">
      <c r="A285" s="128" t="s">
        <v>929</v>
      </c>
      <c r="B285" s="128" t="s">
        <v>305</v>
      </c>
      <c r="C285" s="128" t="s">
        <v>304</v>
      </c>
      <c r="D285" s="128" t="s">
        <v>1532</v>
      </c>
      <c r="E285" s="255" t="s">
        <v>1294</v>
      </c>
      <c r="F285" s="196" t="s">
        <v>1295</v>
      </c>
      <c r="G285" s="196">
        <f t="shared" ref="G285:G298" si="37">H285+I285</f>
        <v>0</v>
      </c>
      <c r="H285" s="196">
        <f>'d3'!E325</f>
        <v>0</v>
      </c>
      <c r="I285" s="196">
        <f>'d3'!J325</f>
        <v>0</v>
      </c>
      <c r="J285" s="196">
        <f>'d3'!K325</f>
        <v>0</v>
      </c>
      <c r="K285" s="139"/>
      <c r="L285" s="139"/>
      <c r="M285" s="139"/>
    </row>
    <row r="286" spans="1:13" ht="138.75" hidden="1" thickTop="1" thickBot="1" x14ac:dyDescent="0.25">
      <c r="A286" s="128" t="s">
        <v>310</v>
      </c>
      <c r="B286" s="128" t="s">
        <v>311</v>
      </c>
      <c r="C286" s="128" t="s">
        <v>304</v>
      </c>
      <c r="D286" s="128" t="s">
        <v>1529</v>
      </c>
      <c r="E286" s="255" t="s">
        <v>1294</v>
      </c>
      <c r="F286" s="196" t="s">
        <v>1295</v>
      </c>
      <c r="G286" s="196">
        <f t="shared" si="37"/>
        <v>0</v>
      </c>
      <c r="H286" s="196">
        <f>'d3'!E327-H287-H288</f>
        <v>0</v>
      </c>
      <c r="I286" s="196">
        <f>'d3'!J327-I288-I287</f>
        <v>0</v>
      </c>
      <c r="J286" s="196">
        <f>'d3'!K327-J288-J287</f>
        <v>0</v>
      </c>
      <c r="K286" s="139"/>
      <c r="L286" s="139"/>
      <c r="M286" s="139"/>
    </row>
    <row r="287" spans="1:13" ht="367.5" thickTop="1" thickBot="1" x14ac:dyDescent="0.25">
      <c r="A287" s="103" t="s">
        <v>310</v>
      </c>
      <c r="B287" s="103" t="s">
        <v>311</v>
      </c>
      <c r="C287" s="103" t="s">
        <v>304</v>
      </c>
      <c r="D287" s="103" t="s">
        <v>1543</v>
      </c>
      <c r="E287" s="322" t="s">
        <v>1226</v>
      </c>
      <c r="F287" s="318" t="s">
        <v>861</v>
      </c>
      <c r="G287" s="318">
        <f t="shared" si="37"/>
        <v>13000000</v>
      </c>
      <c r="H287" s="318">
        <v>0</v>
      </c>
      <c r="I287" s="318">
        <v>13000000</v>
      </c>
      <c r="J287" s="318">
        <v>13000000</v>
      </c>
      <c r="K287" s="139"/>
      <c r="L287" s="139"/>
      <c r="M287" s="139"/>
    </row>
    <row r="288" spans="1:13" ht="138.75" hidden="1" thickTop="1" thickBot="1" x14ac:dyDescent="0.25">
      <c r="A288" s="128" t="s">
        <v>310</v>
      </c>
      <c r="B288" s="128" t="s">
        <v>311</v>
      </c>
      <c r="C288" s="128" t="s">
        <v>304</v>
      </c>
      <c r="D288" s="128" t="s">
        <v>1529</v>
      </c>
      <c r="E288" s="255" t="s">
        <v>1429</v>
      </c>
      <c r="F288" s="196" t="s">
        <v>1177</v>
      </c>
      <c r="G288" s="196">
        <f t="shared" si="37"/>
        <v>0</v>
      </c>
      <c r="H288" s="196">
        <v>0</v>
      </c>
      <c r="I288" s="196">
        <v>0</v>
      </c>
      <c r="J288" s="196">
        <v>0</v>
      </c>
      <c r="K288" s="139"/>
      <c r="L288" s="139"/>
      <c r="M288" s="139"/>
    </row>
    <row r="289" spans="1:13" ht="138.75" hidden="1" thickTop="1" thickBot="1" x14ac:dyDescent="0.25">
      <c r="A289" s="128" t="s">
        <v>516</v>
      </c>
      <c r="B289" s="128" t="s">
        <v>517</v>
      </c>
      <c r="C289" s="128" t="s">
        <v>304</v>
      </c>
      <c r="D289" s="128" t="s">
        <v>1533</v>
      </c>
      <c r="E289" s="255" t="s">
        <v>1294</v>
      </c>
      <c r="F289" s="196" t="s">
        <v>1295</v>
      </c>
      <c r="G289" s="196">
        <f t="shared" si="37"/>
        <v>0</v>
      </c>
      <c r="H289" s="196">
        <f>'d3'!E328</f>
        <v>0</v>
      </c>
      <c r="I289" s="196">
        <f>'d3'!J328</f>
        <v>0</v>
      </c>
      <c r="J289" s="196">
        <f>I289</f>
        <v>0</v>
      </c>
      <c r="K289" s="139"/>
      <c r="L289" s="139"/>
      <c r="M289" s="139"/>
    </row>
    <row r="290" spans="1:13" ht="138.75" hidden="1" thickTop="1" thickBot="1" x14ac:dyDescent="0.25">
      <c r="A290" s="128" t="s">
        <v>312</v>
      </c>
      <c r="B290" s="128" t="s">
        <v>313</v>
      </c>
      <c r="C290" s="128" t="s">
        <v>304</v>
      </c>
      <c r="D290" s="128" t="s">
        <v>1247</v>
      </c>
      <c r="E290" s="255" t="s">
        <v>1170</v>
      </c>
      <c r="F290" s="196" t="s">
        <v>1171</v>
      </c>
      <c r="G290" s="196">
        <f t="shared" si="37"/>
        <v>0</v>
      </c>
      <c r="H290" s="196">
        <f>'d3'!E329</f>
        <v>0</v>
      </c>
      <c r="I290" s="196">
        <f>'d3'!J329</f>
        <v>0</v>
      </c>
      <c r="J290" s="196">
        <f>I290</f>
        <v>0</v>
      </c>
      <c r="K290" s="139"/>
      <c r="L290" s="139"/>
      <c r="M290" s="139"/>
    </row>
    <row r="291" spans="1:13" ht="138.75" hidden="1" thickTop="1" thickBot="1" x14ac:dyDescent="0.25">
      <c r="A291" s="128" t="s">
        <v>314</v>
      </c>
      <c r="B291" s="128" t="s">
        <v>315</v>
      </c>
      <c r="C291" s="128" t="s">
        <v>304</v>
      </c>
      <c r="D291" s="128" t="s">
        <v>1534</v>
      </c>
      <c r="E291" s="255" t="s">
        <v>1294</v>
      </c>
      <c r="F291" s="196" t="s">
        <v>1295</v>
      </c>
      <c r="G291" s="196">
        <f t="shared" si="37"/>
        <v>0</v>
      </c>
      <c r="H291" s="196">
        <f>'d3'!I330-H294-H292-H293</f>
        <v>0</v>
      </c>
      <c r="I291" s="196">
        <f>'d3'!J330-I294-I292-I293</f>
        <v>0</v>
      </c>
      <c r="J291" s="196">
        <f>'d3'!K330-J294-J292-J293</f>
        <v>0</v>
      </c>
      <c r="K291" s="139"/>
      <c r="L291" s="139"/>
      <c r="M291" s="139"/>
    </row>
    <row r="292" spans="1:13" ht="184.5" hidden="1" thickTop="1" thickBot="1" x14ac:dyDescent="0.25">
      <c r="A292" s="128" t="s">
        <v>314</v>
      </c>
      <c r="B292" s="128" t="s">
        <v>315</v>
      </c>
      <c r="C292" s="128" t="s">
        <v>304</v>
      </c>
      <c r="D292" s="128" t="s">
        <v>1534</v>
      </c>
      <c r="E292" s="255" t="s">
        <v>1477</v>
      </c>
      <c r="F292" s="196" t="s">
        <v>1478</v>
      </c>
      <c r="G292" s="196">
        <f t="shared" si="37"/>
        <v>0</v>
      </c>
      <c r="H292" s="196">
        <v>0</v>
      </c>
      <c r="I292" s="196">
        <v>0</v>
      </c>
      <c r="J292" s="196">
        <v>0</v>
      </c>
      <c r="K292" s="139"/>
      <c r="L292" s="139"/>
      <c r="M292" s="139"/>
    </row>
    <row r="293" spans="1:13" ht="367.5" hidden="1" thickTop="1" thickBot="1" x14ac:dyDescent="0.25">
      <c r="A293" s="128" t="s">
        <v>314</v>
      </c>
      <c r="B293" s="128" t="s">
        <v>315</v>
      </c>
      <c r="C293" s="128" t="s">
        <v>304</v>
      </c>
      <c r="D293" s="128" t="s">
        <v>1534</v>
      </c>
      <c r="E293" s="256" t="s">
        <v>1226</v>
      </c>
      <c r="F293" s="196" t="s">
        <v>861</v>
      </c>
      <c r="G293" s="196">
        <f t="shared" si="37"/>
        <v>0</v>
      </c>
      <c r="H293" s="196">
        <v>0</v>
      </c>
      <c r="I293" s="196">
        <v>0</v>
      </c>
      <c r="J293" s="196">
        <v>0</v>
      </c>
      <c r="K293" s="139"/>
      <c r="L293" s="139"/>
      <c r="M293" s="139"/>
    </row>
    <row r="294" spans="1:13" ht="138.75" thickTop="1" thickBot="1" x14ac:dyDescent="0.25">
      <c r="A294" s="103" t="s">
        <v>314</v>
      </c>
      <c r="B294" s="103" t="s">
        <v>315</v>
      </c>
      <c r="C294" s="103" t="s">
        <v>304</v>
      </c>
      <c r="D294" s="103" t="s">
        <v>1548</v>
      </c>
      <c r="E294" s="321" t="s">
        <v>1430</v>
      </c>
      <c r="F294" s="330" t="s">
        <v>425</v>
      </c>
      <c r="G294" s="318">
        <f t="shared" si="37"/>
        <v>3000000</v>
      </c>
      <c r="H294" s="318">
        <v>0</v>
      </c>
      <c r="I294" s="318">
        <v>3000000</v>
      </c>
      <c r="J294" s="318">
        <v>3000000</v>
      </c>
      <c r="K294" s="139"/>
      <c r="L294" s="139"/>
      <c r="M294" s="139"/>
    </row>
    <row r="295" spans="1:13" ht="184.5" hidden="1" thickTop="1" thickBot="1" x14ac:dyDescent="0.25">
      <c r="A295" s="128" t="s">
        <v>437</v>
      </c>
      <c r="B295" s="128" t="s">
        <v>350</v>
      </c>
      <c r="C295" s="128" t="s">
        <v>170</v>
      </c>
      <c r="D295" s="128" t="s">
        <v>262</v>
      </c>
      <c r="E295" s="255" t="s">
        <v>1152</v>
      </c>
      <c r="F295" s="196"/>
      <c r="G295" s="196">
        <f t="shared" si="37"/>
        <v>0</v>
      </c>
      <c r="H295" s="196">
        <f>'d3'!E331</f>
        <v>0</v>
      </c>
      <c r="I295" s="196">
        <f>'d3'!J331</f>
        <v>0</v>
      </c>
      <c r="J295" s="196">
        <f>'d3'!K331</f>
        <v>0</v>
      </c>
      <c r="K295" s="139"/>
      <c r="L295" s="139"/>
      <c r="M295" s="139"/>
    </row>
    <row r="296" spans="1:13" ht="321.75" hidden="1" thickTop="1" thickBot="1" x14ac:dyDescent="0.7">
      <c r="A296" s="753" t="s">
        <v>996</v>
      </c>
      <c r="B296" s="753" t="s">
        <v>338</v>
      </c>
      <c r="C296" s="753" t="s">
        <v>170</v>
      </c>
      <c r="D296" s="155" t="s">
        <v>440</v>
      </c>
      <c r="E296" s="753" t="s">
        <v>1152</v>
      </c>
      <c r="F296" s="753"/>
      <c r="G296" s="196">
        <f t="shared" si="37"/>
        <v>0</v>
      </c>
      <c r="H296" s="729">
        <f>'d3'!E334</f>
        <v>0</v>
      </c>
      <c r="I296" s="729">
        <f>'d3'!J334</f>
        <v>0</v>
      </c>
      <c r="J296" s="729">
        <f>'d3'!K334</f>
        <v>0</v>
      </c>
      <c r="K296" s="139"/>
      <c r="L296" s="139"/>
      <c r="M296" s="139"/>
    </row>
    <row r="297" spans="1:13" ht="138.75" hidden="1" thickTop="1" thickBot="1" x14ac:dyDescent="0.25">
      <c r="A297" s="753"/>
      <c r="B297" s="753"/>
      <c r="C297" s="753"/>
      <c r="D297" s="156" t="s">
        <v>441</v>
      </c>
      <c r="E297" s="753"/>
      <c r="F297" s="753"/>
      <c r="G297" s="196">
        <f t="shared" si="37"/>
        <v>0</v>
      </c>
      <c r="H297" s="762"/>
      <c r="I297" s="762"/>
      <c r="J297" s="762"/>
      <c r="K297" s="139"/>
      <c r="L297" s="139"/>
      <c r="M297" s="139"/>
    </row>
    <row r="298" spans="1:13" ht="138.75" hidden="1" thickTop="1" thickBot="1" x14ac:dyDescent="0.25">
      <c r="A298" s="128" t="s">
        <v>1203</v>
      </c>
      <c r="B298" s="128" t="s">
        <v>257</v>
      </c>
      <c r="C298" s="128" t="s">
        <v>170</v>
      </c>
      <c r="D298" s="156" t="s">
        <v>255</v>
      </c>
      <c r="E298" s="255" t="s">
        <v>1170</v>
      </c>
      <c r="F298" s="196" t="s">
        <v>1171</v>
      </c>
      <c r="G298" s="196">
        <f t="shared" si="37"/>
        <v>0</v>
      </c>
      <c r="H298" s="196"/>
      <c r="I298" s="196">
        <v>0</v>
      </c>
      <c r="J298" s="196">
        <v>0</v>
      </c>
      <c r="K298" s="139"/>
      <c r="L298" s="139"/>
      <c r="M298" s="139"/>
    </row>
    <row r="299" spans="1:13" ht="136.5" hidden="1" thickTop="1" thickBot="1" x14ac:dyDescent="0.25">
      <c r="A299" s="404" t="s">
        <v>160</v>
      </c>
      <c r="B299" s="404"/>
      <c r="C299" s="404"/>
      <c r="D299" s="405" t="s">
        <v>895</v>
      </c>
      <c r="E299" s="404"/>
      <c r="F299" s="404"/>
      <c r="G299" s="406">
        <f>G300</f>
        <v>0</v>
      </c>
      <c r="H299" s="406">
        <f t="shared" ref="H299:J299" si="38">H300</f>
        <v>0</v>
      </c>
      <c r="I299" s="406">
        <f t="shared" si="38"/>
        <v>0</v>
      </c>
      <c r="J299" s="406">
        <f t="shared" si="38"/>
        <v>0</v>
      </c>
      <c r="K299" s="480" t="b">
        <f>H299='d3'!E338-'d3'!E340+H301</f>
        <v>1</v>
      </c>
      <c r="L299" s="480" t="b">
        <f>I299='d3'!J338-'d3'!J340+'d7'!I301</f>
        <v>1</v>
      </c>
      <c r="M299" s="480" t="b">
        <f>J299='d3'!K338-'d3'!K340+'d7'!J301</f>
        <v>1</v>
      </c>
    </row>
    <row r="300" spans="1:13" ht="136.5" hidden="1" thickTop="1" thickBot="1" x14ac:dyDescent="0.25">
      <c r="A300" s="407" t="s">
        <v>161</v>
      </c>
      <c r="B300" s="407"/>
      <c r="C300" s="407"/>
      <c r="D300" s="408" t="s">
        <v>900</v>
      </c>
      <c r="E300" s="409"/>
      <c r="F300" s="409"/>
      <c r="G300" s="409">
        <f>SUM(G301:G304)</f>
        <v>0</v>
      </c>
      <c r="H300" s="409">
        <f>SUM(H301:H304)</f>
        <v>0</v>
      </c>
      <c r="I300" s="409">
        <f>SUM(I301:I304)</f>
        <v>0</v>
      </c>
      <c r="J300" s="409">
        <f>SUM(J301:J304)</f>
        <v>0</v>
      </c>
      <c r="K300" s="139"/>
      <c r="L300" s="139"/>
      <c r="M300" s="139"/>
    </row>
    <row r="301" spans="1:13" ht="184.5" hidden="1" thickTop="1" thickBot="1" x14ac:dyDescent="0.25">
      <c r="A301" s="128" t="s">
        <v>419</v>
      </c>
      <c r="B301" s="128" t="s">
        <v>236</v>
      </c>
      <c r="C301" s="128" t="s">
        <v>234</v>
      </c>
      <c r="D301" s="128" t="s">
        <v>235</v>
      </c>
      <c r="E301" s="255" t="s">
        <v>1044</v>
      </c>
      <c r="F301" s="196" t="s">
        <v>859</v>
      </c>
      <c r="G301" s="196">
        <f>H301+I301</f>
        <v>0</v>
      </c>
      <c r="H301" s="196">
        <v>0</v>
      </c>
      <c r="I301" s="196">
        <v>0</v>
      </c>
      <c r="J301" s="196">
        <v>0</v>
      </c>
      <c r="K301" s="139"/>
      <c r="L301" s="139"/>
      <c r="M301" s="139"/>
    </row>
    <row r="302" spans="1:13" ht="367.5" hidden="1" thickTop="1" thickBot="1" x14ac:dyDescent="0.25">
      <c r="A302" s="128" t="s">
        <v>632</v>
      </c>
      <c r="B302" s="128" t="s">
        <v>362</v>
      </c>
      <c r="C302" s="128" t="s">
        <v>626</v>
      </c>
      <c r="D302" s="128" t="s">
        <v>627</v>
      </c>
      <c r="E302" s="255" t="s">
        <v>1309</v>
      </c>
      <c r="F302" s="196" t="s">
        <v>1310</v>
      </c>
      <c r="G302" s="196">
        <f t="shared" ref="G302:G304" si="39">H302+I302</f>
        <v>0</v>
      </c>
      <c r="H302" s="256">
        <f>'d3'!E341</f>
        <v>0</v>
      </c>
      <c r="I302" s="273">
        <v>0</v>
      </c>
      <c r="J302" s="273">
        <v>0</v>
      </c>
      <c r="K302" s="139"/>
      <c r="L302" s="139"/>
      <c r="M302" s="139"/>
    </row>
    <row r="303" spans="1:13" ht="138.75" hidden="1" thickTop="1" thickBot="1" x14ac:dyDescent="0.25">
      <c r="A303" s="128" t="s">
        <v>1272</v>
      </c>
      <c r="B303" s="128" t="s">
        <v>43</v>
      </c>
      <c r="C303" s="128" t="s">
        <v>42</v>
      </c>
      <c r="D303" s="128" t="s">
        <v>248</v>
      </c>
      <c r="E303" s="255" t="s">
        <v>1294</v>
      </c>
      <c r="F303" s="196" t="s">
        <v>1295</v>
      </c>
      <c r="G303" s="196">
        <f t="shared" si="39"/>
        <v>0</v>
      </c>
      <c r="H303" s="256">
        <f>'d3'!E342</f>
        <v>0</v>
      </c>
      <c r="I303" s="273">
        <f>'d3'!J342</f>
        <v>0</v>
      </c>
      <c r="J303" s="273">
        <f>'d3'!K342</f>
        <v>0</v>
      </c>
      <c r="K303" s="139"/>
      <c r="L303" s="139"/>
      <c r="M303" s="139"/>
    </row>
    <row r="304" spans="1:13" ht="138.75" hidden="1" thickTop="1" thickBot="1" x14ac:dyDescent="0.25">
      <c r="A304" s="128" t="s">
        <v>913</v>
      </c>
      <c r="B304" s="128" t="s">
        <v>914</v>
      </c>
      <c r="C304" s="128" t="s">
        <v>304</v>
      </c>
      <c r="D304" s="128" t="s">
        <v>915</v>
      </c>
      <c r="E304" s="255" t="s">
        <v>1294</v>
      </c>
      <c r="F304" s="196" t="s">
        <v>1295</v>
      </c>
      <c r="G304" s="196">
        <f t="shared" si="39"/>
        <v>0</v>
      </c>
      <c r="H304" s="256">
        <f>'d3'!E345</f>
        <v>0</v>
      </c>
      <c r="I304" s="273">
        <f>'d3'!J345</f>
        <v>0</v>
      </c>
      <c r="J304" s="273">
        <f>'d3'!K345</f>
        <v>0</v>
      </c>
      <c r="K304" s="139"/>
      <c r="L304" s="139"/>
      <c r="M304" s="139"/>
    </row>
    <row r="305" spans="1:13" ht="136.5" thickTop="1" thickBot="1" x14ac:dyDescent="0.25">
      <c r="A305" s="508" t="s">
        <v>444</v>
      </c>
      <c r="B305" s="508"/>
      <c r="C305" s="508"/>
      <c r="D305" s="509" t="s">
        <v>446</v>
      </c>
      <c r="E305" s="508"/>
      <c r="F305" s="508"/>
      <c r="G305" s="510">
        <f>G306</f>
        <v>160849547</v>
      </c>
      <c r="H305" s="510">
        <f t="shared" ref="H305:J305" si="40">H306</f>
        <v>160849547</v>
      </c>
      <c r="I305" s="510">
        <f t="shared" si="40"/>
        <v>0</v>
      </c>
      <c r="J305" s="510">
        <f t="shared" si="40"/>
        <v>0</v>
      </c>
      <c r="K305" s="139"/>
      <c r="L305" s="139"/>
      <c r="M305" s="139"/>
    </row>
    <row r="306" spans="1:13" ht="136.5" thickTop="1" thickBot="1" x14ac:dyDescent="0.25">
      <c r="A306" s="511" t="s">
        <v>445</v>
      </c>
      <c r="B306" s="511"/>
      <c r="C306" s="511"/>
      <c r="D306" s="512" t="s">
        <v>447</v>
      </c>
      <c r="E306" s="513"/>
      <c r="F306" s="513"/>
      <c r="G306" s="513">
        <f>SUM(G307:G316)</f>
        <v>160849547</v>
      </c>
      <c r="H306" s="513">
        <f t="shared" ref="H306" si="41">SUM(H307:H316)</f>
        <v>160849547</v>
      </c>
      <c r="I306" s="513">
        <f>SUM(I307:I316)</f>
        <v>0</v>
      </c>
      <c r="J306" s="513">
        <f>SUM(J307:J316)</f>
        <v>0</v>
      </c>
      <c r="K306" s="96" t="b">
        <f>H306='d3'!E347-'d3'!E349+'d7'!H307</f>
        <v>1</v>
      </c>
      <c r="L306" s="480" t="b">
        <f>I306='d3'!J347-'d3'!J349+'d7'!I307</f>
        <v>1</v>
      </c>
      <c r="M306" s="480" t="b">
        <f>J306='d3'!K347-'d3'!K349+'d7'!J307</f>
        <v>1</v>
      </c>
    </row>
    <row r="307" spans="1:13" ht="184.5" hidden="1" thickTop="1" thickBot="1" x14ac:dyDescent="0.25">
      <c r="A307" s="128" t="s">
        <v>448</v>
      </c>
      <c r="B307" s="128" t="s">
        <v>236</v>
      </c>
      <c r="C307" s="128" t="s">
        <v>234</v>
      </c>
      <c r="D307" s="128" t="s">
        <v>235</v>
      </c>
      <c r="E307" s="255" t="s">
        <v>1044</v>
      </c>
      <c r="F307" s="196" t="s">
        <v>859</v>
      </c>
      <c r="G307" s="196">
        <f>H307+I307</f>
        <v>0</v>
      </c>
      <c r="H307" s="256">
        <v>0</v>
      </c>
      <c r="I307" s="196">
        <v>0</v>
      </c>
      <c r="J307" s="196">
        <v>0</v>
      </c>
      <c r="K307" s="139"/>
      <c r="L307" s="139"/>
      <c r="M307" s="139"/>
    </row>
    <row r="308" spans="1:13" ht="367.5" hidden="1" thickTop="1" thickBot="1" x14ac:dyDescent="0.25">
      <c r="A308" s="128" t="s">
        <v>633</v>
      </c>
      <c r="B308" s="128" t="s">
        <v>362</v>
      </c>
      <c r="C308" s="128" t="s">
        <v>626</v>
      </c>
      <c r="D308" s="128" t="s">
        <v>627</v>
      </c>
      <c r="E308" s="255" t="s">
        <v>1309</v>
      </c>
      <c r="F308" s="196" t="s">
        <v>1310</v>
      </c>
      <c r="G308" s="196">
        <f t="shared" ref="G308:G310" si="42">H308+I308</f>
        <v>0</v>
      </c>
      <c r="H308" s="256">
        <f>'d3'!E350</f>
        <v>0</v>
      </c>
      <c r="I308" s="273">
        <f>'d3'!J350</f>
        <v>0</v>
      </c>
      <c r="J308" s="273">
        <f>'d3'!K350</f>
        <v>0</v>
      </c>
      <c r="K308" s="139"/>
      <c r="L308" s="139"/>
      <c r="M308" s="139"/>
    </row>
    <row r="309" spans="1:13" ht="138.75" thickTop="1" thickBot="1" x14ac:dyDescent="0.25">
      <c r="A309" s="103" t="s">
        <v>467</v>
      </c>
      <c r="B309" s="103" t="s">
        <v>412</v>
      </c>
      <c r="C309" s="103" t="s">
        <v>413</v>
      </c>
      <c r="D309" s="103" t="s">
        <v>414</v>
      </c>
      <c r="E309" s="103" t="s">
        <v>1561</v>
      </c>
      <c r="F309" s="318"/>
      <c r="G309" s="318">
        <f t="shared" si="42"/>
        <v>300000</v>
      </c>
      <c r="H309" s="322">
        <f>'d3'!E354</f>
        <v>300000</v>
      </c>
      <c r="I309" s="475">
        <f>'d3'!J354</f>
        <v>0</v>
      </c>
      <c r="J309" s="475">
        <f>'d3'!K354</f>
        <v>0</v>
      </c>
      <c r="K309" s="139"/>
      <c r="L309" s="139"/>
      <c r="M309" s="139"/>
    </row>
    <row r="310" spans="1:13" ht="184.5" thickTop="1" thickBot="1" x14ac:dyDescent="0.25">
      <c r="A310" s="103" t="s">
        <v>468</v>
      </c>
      <c r="B310" s="103" t="s">
        <v>291</v>
      </c>
      <c r="C310" s="103" t="s">
        <v>1396</v>
      </c>
      <c r="D310" s="103" t="s">
        <v>292</v>
      </c>
      <c r="E310" s="321" t="s">
        <v>1278</v>
      </c>
      <c r="F310" s="318" t="s">
        <v>940</v>
      </c>
      <c r="G310" s="318">
        <f t="shared" si="42"/>
        <v>158360533</v>
      </c>
      <c r="H310" s="322">
        <f>'d3'!E356</f>
        <v>158360533</v>
      </c>
      <c r="I310" s="475">
        <f>'d3'!J356</f>
        <v>0</v>
      </c>
      <c r="J310" s="475">
        <f>'d3'!K356</f>
        <v>0</v>
      </c>
      <c r="K310" s="139"/>
      <c r="L310" s="139"/>
      <c r="M310" s="139"/>
    </row>
    <row r="311" spans="1:13" ht="184.5" hidden="1" thickTop="1" thickBot="1" x14ac:dyDescent="0.25">
      <c r="A311" s="757" t="s">
        <v>1105</v>
      </c>
      <c r="B311" s="757" t="s">
        <v>1106</v>
      </c>
      <c r="C311" s="757" t="s">
        <v>295</v>
      </c>
      <c r="D311" s="757" t="s">
        <v>1104</v>
      </c>
      <c r="E311" s="255" t="s">
        <v>1023</v>
      </c>
      <c r="F311" s="196" t="s">
        <v>489</v>
      </c>
      <c r="G311" s="846">
        <f>H311+I311</f>
        <v>0</v>
      </c>
      <c r="H311" s="849"/>
      <c r="I311" s="850">
        <v>0</v>
      </c>
      <c r="J311" s="850">
        <v>0</v>
      </c>
      <c r="K311" s="139"/>
      <c r="L311" s="139"/>
      <c r="M311" s="139"/>
    </row>
    <row r="312" spans="1:13" ht="138.75" hidden="1" thickTop="1" thickBot="1" x14ac:dyDescent="0.25">
      <c r="A312" s="759"/>
      <c r="B312" s="759" t="s">
        <v>1106</v>
      </c>
      <c r="C312" s="759"/>
      <c r="D312" s="759"/>
      <c r="E312" s="255" t="s">
        <v>1170</v>
      </c>
      <c r="F312" s="196" t="s">
        <v>1171</v>
      </c>
      <c r="G312" s="759"/>
      <c r="H312" s="759"/>
      <c r="I312" s="759"/>
      <c r="J312" s="759"/>
      <c r="K312" s="139"/>
      <c r="L312" s="139"/>
      <c r="M312" s="139"/>
    </row>
    <row r="313" spans="1:13" ht="184.5" hidden="1" thickTop="1" thickBot="1" x14ac:dyDescent="0.25">
      <c r="A313" s="128" t="s">
        <v>1183</v>
      </c>
      <c r="B313" s="128" t="s">
        <v>197</v>
      </c>
      <c r="C313" s="128" t="s">
        <v>170</v>
      </c>
      <c r="D313" s="128" t="s">
        <v>1184</v>
      </c>
      <c r="E313" s="255" t="s">
        <v>1453</v>
      </c>
      <c r="F313" s="196" t="s">
        <v>489</v>
      </c>
      <c r="G313" s="196">
        <f t="shared" ref="G313:G314" si="43">H313+I313</f>
        <v>0</v>
      </c>
      <c r="H313" s="256">
        <f>'d3'!E359-H314</f>
        <v>0</v>
      </c>
      <c r="I313" s="273">
        <v>0</v>
      </c>
      <c r="J313" s="273">
        <v>0</v>
      </c>
      <c r="K313" s="254" t="b">
        <f>H313+H314='d3'!E359</f>
        <v>1</v>
      </c>
      <c r="L313" s="261" t="b">
        <f>I313+I314='d3'!J359</f>
        <v>1</v>
      </c>
      <c r="M313" s="261" t="b">
        <f>J313+J314='d3'!K359</f>
        <v>1</v>
      </c>
    </row>
    <row r="314" spans="1:13" ht="138.75" hidden="1" thickTop="1" thickBot="1" x14ac:dyDescent="0.25">
      <c r="A314" s="128" t="s">
        <v>1183</v>
      </c>
      <c r="B314" s="128" t="s">
        <v>197</v>
      </c>
      <c r="C314" s="128" t="s">
        <v>170</v>
      </c>
      <c r="D314" s="128" t="s">
        <v>1184</v>
      </c>
      <c r="E314" s="255" t="s">
        <v>1454</v>
      </c>
      <c r="F314" s="196" t="s">
        <v>940</v>
      </c>
      <c r="G314" s="196">
        <f t="shared" si="43"/>
        <v>0</v>
      </c>
      <c r="H314" s="256">
        <v>0</v>
      </c>
      <c r="I314" s="273">
        <v>0</v>
      </c>
      <c r="J314" s="273">
        <v>0</v>
      </c>
      <c r="K314" s="139"/>
      <c r="L314" s="139"/>
      <c r="M314" s="139"/>
    </row>
    <row r="315" spans="1:13" ht="138.75" thickTop="1" thickBot="1" x14ac:dyDescent="0.25">
      <c r="A315" s="103" t="s">
        <v>1231</v>
      </c>
      <c r="B315" s="103" t="s">
        <v>1232</v>
      </c>
      <c r="C315" s="103" t="s">
        <v>1197</v>
      </c>
      <c r="D315" s="103" t="s">
        <v>1233</v>
      </c>
      <c r="E315" s="103" t="s">
        <v>1561</v>
      </c>
      <c r="F315" s="318"/>
      <c r="G315" s="318">
        <f>H315+I315</f>
        <v>2189014</v>
      </c>
      <c r="H315" s="322">
        <f>'d3'!E362</f>
        <v>2189014</v>
      </c>
      <c r="I315" s="475">
        <f>'d3'!J362</f>
        <v>0</v>
      </c>
      <c r="J315" s="475">
        <f>'d3'!K362</f>
        <v>0</v>
      </c>
      <c r="K315" s="139"/>
      <c r="L315" s="139"/>
      <c r="M315" s="139"/>
    </row>
    <row r="316" spans="1:13" ht="184.5" hidden="1" thickTop="1" thickBot="1" x14ac:dyDescent="0.25">
      <c r="A316" s="128" t="s">
        <v>1363</v>
      </c>
      <c r="B316" s="128" t="s">
        <v>514</v>
      </c>
      <c r="C316" s="128" t="s">
        <v>43</v>
      </c>
      <c r="D316" s="128" t="s">
        <v>515</v>
      </c>
      <c r="E316" s="128" t="s">
        <v>1392</v>
      </c>
      <c r="F316" s="196" t="s">
        <v>1393</v>
      </c>
      <c r="G316" s="196">
        <f>H316+I316</f>
        <v>0</v>
      </c>
      <c r="H316" s="256">
        <v>0</v>
      </c>
      <c r="I316" s="273">
        <v>0</v>
      </c>
      <c r="J316" s="273">
        <v>0</v>
      </c>
      <c r="K316" s="139"/>
      <c r="L316" s="139"/>
      <c r="M316" s="139"/>
    </row>
    <row r="317" spans="1:13" ht="160.5" customHeight="1" thickTop="1" thickBot="1" x14ac:dyDescent="0.25">
      <c r="A317" s="508" t="s">
        <v>166</v>
      </c>
      <c r="B317" s="508"/>
      <c r="C317" s="508"/>
      <c r="D317" s="509" t="s">
        <v>354</v>
      </c>
      <c r="E317" s="508"/>
      <c r="F317" s="508"/>
      <c r="G317" s="510">
        <f>G318</f>
        <v>2600000</v>
      </c>
      <c r="H317" s="510">
        <f t="shared" ref="H317:J317" si="44">H318</f>
        <v>2600000</v>
      </c>
      <c r="I317" s="510">
        <f t="shared" si="44"/>
        <v>0</v>
      </c>
      <c r="J317" s="510">
        <f t="shared" si="44"/>
        <v>0</v>
      </c>
      <c r="K317" s="96" t="b">
        <f>H317='d3'!E365</f>
        <v>1</v>
      </c>
      <c r="L317" s="480" t="b">
        <f>I317='d3'!J365</f>
        <v>1</v>
      </c>
      <c r="M317" s="480" t="b">
        <f>J317='d3'!K365</f>
        <v>1</v>
      </c>
    </row>
    <row r="318" spans="1:13" ht="136.5" thickTop="1" thickBot="1" x14ac:dyDescent="0.25">
      <c r="A318" s="511" t="s">
        <v>167</v>
      </c>
      <c r="B318" s="511"/>
      <c r="C318" s="511"/>
      <c r="D318" s="512" t="s">
        <v>355</v>
      </c>
      <c r="E318" s="513"/>
      <c r="F318" s="513"/>
      <c r="G318" s="513">
        <f>SUM(G319:G329)</f>
        <v>2600000</v>
      </c>
      <c r="H318" s="513">
        <f>SUM(H319:H329)</f>
        <v>2600000</v>
      </c>
      <c r="I318" s="513">
        <f>SUM(I319:I329)</f>
        <v>0</v>
      </c>
      <c r="J318" s="513">
        <f>SUM(J319:J329)</f>
        <v>0</v>
      </c>
      <c r="K318" s="139"/>
      <c r="L318" s="139"/>
      <c r="M318" s="139"/>
    </row>
    <row r="319" spans="1:13" ht="184.5" hidden="1" thickTop="1" thickBot="1" x14ac:dyDescent="0.25">
      <c r="A319" s="128" t="s">
        <v>1330</v>
      </c>
      <c r="B319" s="128" t="s">
        <v>1210</v>
      </c>
      <c r="C319" s="128" t="s">
        <v>206</v>
      </c>
      <c r="D319" s="414" t="s">
        <v>1211</v>
      </c>
      <c r="E319" s="196" t="s">
        <v>1164</v>
      </c>
      <c r="F319" s="196" t="s">
        <v>1325</v>
      </c>
      <c r="G319" s="256">
        <f>H319+I319</f>
        <v>0</v>
      </c>
      <c r="H319" s="196">
        <f>'d3'!E368</f>
        <v>0</v>
      </c>
      <c r="I319" s="196">
        <f>'d3'!J368</f>
        <v>0</v>
      </c>
      <c r="J319" s="196">
        <f>'d3'!K368</f>
        <v>0</v>
      </c>
      <c r="K319" s="139"/>
      <c r="L319" s="139"/>
      <c r="M319" s="139"/>
    </row>
    <row r="320" spans="1:13" ht="138.75" thickTop="1" thickBot="1" x14ac:dyDescent="0.25">
      <c r="A320" s="103" t="s">
        <v>1019</v>
      </c>
      <c r="B320" s="103" t="s">
        <v>350</v>
      </c>
      <c r="C320" s="103" t="s">
        <v>170</v>
      </c>
      <c r="D320" s="103" t="s">
        <v>262</v>
      </c>
      <c r="E320" s="321" t="s">
        <v>1560</v>
      </c>
      <c r="F320" s="318"/>
      <c r="G320" s="322">
        <f>H320+I320</f>
        <v>50000</v>
      </c>
      <c r="H320" s="318">
        <v>50000</v>
      </c>
      <c r="I320" s="318">
        <v>0</v>
      </c>
      <c r="J320" s="318">
        <v>0</v>
      </c>
      <c r="K320" s="96" t="b">
        <f>H320='d3'!E371</f>
        <v>1</v>
      </c>
      <c r="L320" s="480" t="b">
        <f>I320='d3'!J371</f>
        <v>1</v>
      </c>
      <c r="M320" s="480" t="b">
        <f>J320='d3'!K371</f>
        <v>1</v>
      </c>
    </row>
    <row r="321" spans="1:13" ht="138.75" thickTop="1" thickBot="1" x14ac:dyDescent="0.25">
      <c r="A321" s="103" t="s">
        <v>260</v>
      </c>
      <c r="B321" s="103" t="s">
        <v>261</v>
      </c>
      <c r="C321" s="103" t="s">
        <v>259</v>
      </c>
      <c r="D321" s="103" t="s">
        <v>258</v>
      </c>
      <c r="E321" s="321" t="s">
        <v>1311</v>
      </c>
      <c r="F321" s="318" t="s">
        <v>1172</v>
      </c>
      <c r="G321" s="322">
        <f>H321+I321</f>
        <v>1995000</v>
      </c>
      <c r="H321" s="318">
        <v>1995000</v>
      </c>
      <c r="I321" s="318">
        <v>0</v>
      </c>
      <c r="J321" s="318">
        <v>0</v>
      </c>
      <c r="K321" s="96" t="b">
        <f>H321+H322='d3'!E373</f>
        <v>1</v>
      </c>
      <c r="L321" s="480" t="b">
        <f>I321+I322='d3'!J373</f>
        <v>1</v>
      </c>
      <c r="M321" s="480" t="b">
        <f>J321+J322='d3'!K373</f>
        <v>1</v>
      </c>
    </row>
    <row r="322" spans="1:13" ht="138.75" thickTop="1" thickBot="1" x14ac:dyDescent="0.25">
      <c r="A322" s="103" t="s">
        <v>260</v>
      </c>
      <c r="B322" s="103" t="s">
        <v>261</v>
      </c>
      <c r="C322" s="103" t="s">
        <v>259</v>
      </c>
      <c r="D322" s="103" t="s">
        <v>258</v>
      </c>
      <c r="E322" s="321" t="s">
        <v>1430</v>
      </c>
      <c r="F322" s="330" t="s">
        <v>425</v>
      </c>
      <c r="G322" s="322">
        <f t="shared" ref="G322:G329" si="45">H322+I322</f>
        <v>50000</v>
      </c>
      <c r="H322" s="318">
        <f>(100000)-50000</f>
        <v>50000</v>
      </c>
      <c r="I322" s="318">
        <v>0</v>
      </c>
      <c r="J322" s="318">
        <v>0</v>
      </c>
      <c r="K322" s="139"/>
      <c r="L322" s="139"/>
      <c r="M322" s="261"/>
    </row>
    <row r="323" spans="1:13" ht="184.5" thickTop="1" thickBot="1" x14ac:dyDescent="0.25">
      <c r="A323" s="103" t="s">
        <v>252</v>
      </c>
      <c r="B323" s="103" t="s">
        <v>254</v>
      </c>
      <c r="C323" s="103" t="s">
        <v>213</v>
      </c>
      <c r="D323" s="103" t="s">
        <v>253</v>
      </c>
      <c r="E323" s="318" t="s">
        <v>1284</v>
      </c>
      <c r="F323" s="318" t="s">
        <v>864</v>
      </c>
      <c r="G323" s="322">
        <f t="shared" si="45"/>
        <v>505000</v>
      </c>
      <c r="H323" s="318">
        <v>505000</v>
      </c>
      <c r="I323" s="318">
        <v>0</v>
      </c>
      <c r="J323" s="318">
        <v>0</v>
      </c>
      <c r="K323" s="96" t="b">
        <f>H323='d3'!E374</f>
        <v>1</v>
      </c>
      <c r="L323" s="480" t="b">
        <f>I323='d3'!J374</f>
        <v>1</v>
      </c>
      <c r="M323" s="480" t="b">
        <f>J323='d3'!K374</f>
        <v>1</v>
      </c>
    </row>
    <row r="324" spans="1:13" ht="138.75" hidden="1" thickTop="1" thickBot="1" x14ac:dyDescent="0.25">
      <c r="A324" s="128" t="s">
        <v>1324</v>
      </c>
      <c r="B324" s="128" t="s">
        <v>212</v>
      </c>
      <c r="C324" s="128" t="s">
        <v>213</v>
      </c>
      <c r="D324" s="128" t="s">
        <v>41</v>
      </c>
      <c r="E324" s="196" t="s">
        <v>1164</v>
      </c>
      <c r="F324" s="196" t="s">
        <v>1325</v>
      </c>
      <c r="G324" s="256">
        <f t="shared" si="45"/>
        <v>0</v>
      </c>
      <c r="H324" s="196">
        <f>'d3'!E375</f>
        <v>0</v>
      </c>
      <c r="I324" s="196">
        <f>'d3'!J375</f>
        <v>0</v>
      </c>
      <c r="J324" s="196">
        <f>'d3'!K375</f>
        <v>0</v>
      </c>
      <c r="K324" s="254"/>
      <c r="L324" s="261"/>
      <c r="M324" s="261"/>
    </row>
    <row r="325" spans="1:13" ht="138.75" hidden="1" thickTop="1" thickBot="1" x14ac:dyDescent="0.25">
      <c r="A325" s="128" t="s">
        <v>256</v>
      </c>
      <c r="B325" s="128" t="s">
        <v>257</v>
      </c>
      <c r="C325" s="128" t="s">
        <v>170</v>
      </c>
      <c r="D325" s="128" t="s">
        <v>255</v>
      </c>
      <c r="E325" s="196" t="s">
        <v>1164</v>
      </c>
      <c r="F325" s="196" t="s">
        <v>589</v>
      </c>
      <c r="G325" s="256">
        <f t="shared" si="45"/>
        <v>0</v>
      </c>
      <c r="H325" s="196"/>
      <c r="I325" s="196"/>
      <c r="J325" s="196"/>
    </row>
    <row r="326" spans="1:13" ht="184.5" hidden="1" thickTop="1" thickBot="1" x14ac:dyDescent="0.25">
      <c r="A326" s="41" t="s">
        <v>256</v>
      </c>
      <c r="B326" s="41" t="s">
        <v>257</v>
      </c>
      <c r="C326" s="41" t="s">
        <v>170</v>
      </c>
      <c r="D326" s="41" t="s">
        <v>255</v>
      </c>
      <c r="E326" s="258" t="s">
        <v>959</v>
      </c>
      <c r="F326" s="73" t="s">
        <v>960</v>
      </c>
      <c r="G326" s="259">
        <f t="shared" si="45"/>
        <v>0</v>
      </c>
      <c r="H326" s="73">
        <v>0</v>
      </c>
      <c r="I326" s="73">
        <v>0</v>
      </c>
      <c r="J326" s="73">
        <v>0</v>
      </c>
      <c r="K326" s="254"/>
      <c r="L326" s="261"/>
      <c r="M326" s="262"/>
    </row>
    <row r="327" spans="1:13" ht="184.5" hidden="1" thickTop="1" thickBot="1" x14ac:dyDescent="0.25">
      <c r="A327" s="128" t="s">
        <v>256</v>
      </c>
      <c r="B327" s="128" t="s">
        <v>257</v>
      </c>
      <c r="C327" s="128" t="s">
        <v>170</v>
      </c>
      <c r="D327" s="128" t="s">
        <v>255</v>
      </c>
      <c r="E327" s="255" t="s">
        <v>1394</v>
      </c>
      <c r="F327" s="151" t="s">
        <v>1395</v>
      </c>
      <c r="G327" s="256">
        <f t="shared" si="45"/>
        <v>0</v>
      </c>
      <c r="H327" s="196">
        <v>0</v>
      </c>
      <c r="I327" s="196">
        <v>0</v>
      </c>
      <c r="J327" s="196">
        <v>0</v>
      </c>
      <c r="K327" s="254" t="b">
        <f>'d3'!E377=H325+H326+H327</f>
        <v>1</v>
      </c>
      <c r="L327" s="261" t="b">
        <f>'d3'!J377=I325+I326+I327</f>
        <v>1</v>
      </c>
      <c r="M327" s="261" t="b">
        <f>'d3'!K377=J325+J326+J327</f>
        <v>1</v>
      </c>
    </row>
    <row r="328" spans="1:13" ht="138.75" hidden="1" thickTop="1" thickBot="1" x14ac:dyDescent="0.25">
      <c r="A328" s="128" t="s">
        <v>1328</v>
      </c>
      <c r="B328" s="128" t="s">
        <v>1199</v>
      </c>
      <c r="C328" s="128" t="s">
        <v>1197</v>
      </c>
      <c r="D328" s="128" t="s">
        <v>1196</v>
      </c>
      <c r="E328" s="196" t="s">
        <v>1164</v>
      </c>
      <c r="F328" s="196" t="s">
        <v>1325</v>
      </c>
      <c r="G328" s="256">
        <f t="shared" ref="G328" si="46">H328+I328</f>
        <v>0</v>
      </c>
      <c r="H328" s="196">
        <f>'d3'!E380</f>
        <v>0</v>
      </c>
      <c r="I328" s="196">
        <f>'d3'!J380</f>
        <v>0</v>
      </c>
      <c r="J328" s="196">
        <f>'d3'!K380</f>
        <v>0</v>
      </c>
      <c r="K328" s="254"/>
      <c r="L328" s="261"/>
      <c r="M328" s="262"/>
    </row>
    <row r="329" spans="1:13" ht="138.75" hidden="1" thickTop="1" thickBot="1" x14ac:dyDescent="0.25">
      <c r="A329" s="128" t="s">
        <v>910</v>
      </c>
      <c r="B329" s="128" t="s">
        <v>363</v>
      </c>
      <c r="C329" s="128" t="s">
        <v>43</v>
      </c>
      <c r="D329" s="128" t="s">
        <v>364</v>
      </c>
      <c r="E329" s="255" t="s">
        <v>1294</v>
      </c>
      <c r="F329" s="196" t="s">
        <v>1295</v>
      </c>
      <c r="G329" s="256">
        <f t="shared" si="45"/>
        <v>0</v>
      </c>
      <c r="H329" s="196">
        <f>'d3'!E383</f>
        <v>0</v>
      </c>
      <c r="I329" s="196">
        <f>'d3'!J383</f>
        <v>0</v>
      </c>
      <c r="J329" s="196">
        <f>'d3'!K383</f>
        <v>0</v>
      </c>
      <c r="K329" s="254"/>
      <c r="L329" s="261"/>
      <c r="M329" s="262"/>
    </row>
    <row r="330" spans="1:13" ht="181.5" thickTop="1" thickBot="1" x14ac:dyDescent="0.25">
      <c r="A330" s="508" t="s">
        <v>164</v>
      </c>
      <c r="B330" s="508"/>
      <c r="C330" s="508"/>
      <c r="D330" s="509" t="s">
        <v>890</v>
      </c>
      <c r="E330" s="508"/>
      <c r="F330" s="508"/>
      <c r="G330" s="510">
        <f>G331</f>
        <v>1200000</v>
      </c>
      <c r="H330" s="510">
        <f t="shared" ref="H330:J330" si="47">H331</f>
        <v>0</v>
      </c>
      <c r="I330" s="510">
        <f t="shared" si="47"/>
        <v>1200000</v>
      </c>
      <c r="J330" s="510">
        <f t="shared" si="47"/>
        <v>0</v>
      </c>
      <c r="K330" s="96" t="b">
        <f>H330='d3'!E385-'d3'!E387+H332</f>
        <v>1</v>
      </c>
      <c r="L330" s="480" t="b">
        <f>I330='d3'!J385-'d3'!J387+'d7'!I332</f>
        <v>1</v>
      </c>
      <c r="M330" s="480" t="b">
        <f>J330='d3'!K385-'d3'!K387+'d7'!J332</f>
        <v>1</v>
      </c>
    </row>
    <row r="331" spans="1:13" ht="181.5" thickTop="1" thickBot="1" x14ac:dyDescent="0.25">
      <c r="A331" s="511" t="s">
        <v>165</v>
      </c>
      <c r="B331" s="511"/>
      <c r="C331" s="511"/>
      <c r="D331" s="512" t="s">
        <v>891</v>
      </c>
      <c r="E331" s="513"/>
      <c r="F331" s="513"/>
      <c r="G331" s="513">
        <f>SUM(G332:G336)</f>
        <v>1200000</v>
      </c>
      <c r="H331" s="513">
        <f>SUM(H332:H336)</f>
        <v>0</v>
      </c>
      <c r="I331" s="513">
        <f>SUM(I332:I336)</f>
        <v>1200000</v>
      </c>
      <c r="J331" s="513">
        <f>SUM(J332:J336)</f>
        <v>0</v>
      </c>
      <c r="K331" s="139"/>
      <c r="L331" s="139"/>
      <c r="M331" s="139"/>
    </row>
    <row r="332" spans="1:13" ht="184.5" hidden="1" thickTop="1" thickBot="1" x14ac:dyDescent="0.25">
      <c r="A332" s="128" t="s">
        <v>422</v>
      </c>
      <c r="B332" s="128" t="s">
        <v>236</v>
      </c>
      <c r="C332" s="128" t="s">
        <v>234</v>
      </c>
      <c r="D332" s="128" t="s">
        <v>235</v>
      </c>
      <c r="E332" s="255" t="s">
        <v>1044</v>
      </c>
      <c r="F332" s="196" t="s">
        <v>859</v>
      </c>
      <c r="G332" s="196">
        <f>H332+I332</f>
        <v>0</v>
      </c>
      <c r="H332" s="256"/>
      <c r="I332" s="196"/>
      <c r="J332" s="196"/>
      <c r="K332" s="139"/>
      <c r="L332" s="139"/>
      <c r="M332" s="139"/>
    </row>
    <row r="333" spans="1:13" ht="391.7" hidden="1" customHeight="1" thickTop="1" thickBot="1" x14ac:dyDescent="0.25">
      <c r="A333" s="128" t="s">
        <v>634</v>
      </c>
      <c r="B333" s="128" t="s">
        <v>362</v>
      </c>
      <c r="C333" s="128" t="s">
        <v>626</v>
      </c>
      <c r="D333" s="128" t="s">
        <v>627</v>
      </c>
      <c r="E333" s="265" t="s">
        <v>886</v>
      </c>
      <c r="F333" s="266" t="s">
        <v>887</v>
      </c>
      <c r="G333" s="196">
        <f t="shared" ref="G333" si="48">H333+I333</f>
        <v>0</v>
      </c>
      <c r="H333" s="256">
        <f>'d3'!E388</f>
        <v>0</v>
      </c>
      <c r="I333" s="273"/>
      <c r="J333" s="273"/>
      <c r="K333" s="139"/>
      <c r="L333" s="139"/>
      <c r="M333" s="139"/>
    </row>
    <row r="334" spans="1:13" ht="138.75" thickTop="1" thickBot="1" x14ac:dyDescent="0.25">
      <c r="A334" s="103" t="s">
        <v>1135</v>
      </c>
      <c r="B334" s="103" t="s">
        <v>1136</v>
      </c>
      <c r="C334" s="103" t="s">
        <v>51</v>
      </c>
      <c r="D334" s="103" t="s">
        <v>1137</v>
      </c>
      <c r="E334" s="321" t="s">
        <v>1217</v>
      </c>
      <c r="F334" s="318" t="s">
        <v>958</v>
      </c>
      <c r="G334" s="322">
        <f t="shared" ref="G334:G336" si="49">H334+I334</f>
        <v>1200000</v>
      </c>
      <c r="H334" s="318">
        <f>'d3'!E391</f>
        <v>0</v>
      </c>
      <c r="I334" s="318">
        <v>1200000</v>
      </c>
      <c r="J334" s="318">
        <f>'d3'!K391</f>
        <v>0</v>
      </c>
      <c r="K334" s="96" t="b">
        <f>H334+H335='d3'!E391</f>
        <v>1</v>
      </c>
      <c r="L334" s="96" t="b">
        <f>I334+I335='d3'!J391</f>
        <v>1</v>
      </c>
      <c r="M334" s="96" t="b">
        <f>J334+J335='d3'!K391</f>
        <v>1</v>
      </c>
    </row>
    <row r="335" spans="1:13" ht="184.5" hidden="1" thickTop="1" thickBot="1" x14ac:dyDescent="0.25">
      <c r="A335" s="128" t="s">
        <v>1135</v>
      </c>
      <c r="B335" s="128" t="s">
        <v>1136</v>
      </c>
      <c r="C335" s="128" t="s">
        <v>51</v>
      </c>
      <c r="D335" s="128" t="s">
        <v>1137</v>
      </c>
      <c r="E335" s="255" t="s">
        <v>1287</v>
      </c>
      <c r="F335" s="196" t="s">
        <v>1260</v>
      </c>
      <c r="G335" s="256">
        <f t="shared" si="49"/>
        <v>0</v>
      </c>
      <c r="H335" s="196">
        <v>0</v>
      </c>
      <c r="I335" s="196">
        <v>0</v>
      </c>
      <c r="J335" s="196">
        <v>0</v>
      </c>
      <c r="K335" s="139"/>
      <c r="L335" s="139"/>
      <c r="M335" s="139"/>
    </row>
    <row r="336" spans="1:13" ht="184.5" hidden="1" thickTop="1" thickBot="1" x14ac:dyDescent="0.25">
      <c r="A336" s="128" t="s">
        <v>1258</v>
      </c>
      <c r="B336" s="128" t="s">
        <v>514</v>
      </c>
      <c r="C336" s="128" t="s">
        <v>43</v>
      </c>
      <c r="D336" s="128" t="s">
        <v>515</v>
      </c>
      <c r="E336" s="255" t="s">
        <v>1287</v>
      </c>
      <c r="F336" s="196" t="s">
        <v>1260</v>
      </c>
      <c r="G336" s="256">
        <f t="shared" si="49"/>
        <v>0</v>
      </c>
      <c r="H336" s="196">
        <f>'d3'!E393</f>
        <v>0</v>
      </c>
      <c r="I336" s="196">
        <f>'d3'!J393</f>
        <v>0</v>
      </c>
      <c r="J336" s="196">
        <f>'d3'!K393</f>
        <v>0</v>
      </c>
      <c r="K336" s="139"/>
      <c r="L336" s="139"/>
      <c r="M336" s="139"/>
    </row>
    <row r="337" spans="1:17" ht="136.5" thickTop="1" thickBot="1" x14ac:dyDescent="0.25">
      <c r="A337" s="508" t="s">
        <v>162</v>
      </c>
      <c r="B337" s="508"/>
      <c r="C337" s="508"/>
      <c r="D337" s="509" t="s">
        <v>901</v>
      </c>
      <c r="E337" s="508"/>
      <c r="F337" s="508"/>
      <c r="G337" s="510">
        <f>G338</f>
        <v>65000</v>
      </c>
      <c r="H337" s="510">
        <f t="shared" ref="H337:J337" si="50">H338</f>
        <v>30000</v>
      </c>
      <c r="I337" s="510">
        <f t="shared" si="50"/>
        <v>35000</v>
      </c>
      <c r="J337" s="510">
        <f t="shared" si="50"/>
        <v>35000</v>
      </c>
      <c r="K337" s="96" t="b">
        <f>H337='d3'!E395-'d3'!E397+H339</f>
        <v>1</v>
      </c>
      <c r="L337" s="480" t="b">
        <f>I337='d3'!J395-'d3'!J397+I339</f>
        <v>1</v>
      </c>
      <c r="M337" s="480" t="b">
        <f>J337='d3'!K395-'d3'!K397+J339</f>
        <v>1</v>
      </c>
    </row>
    <row r="338" spans="1:17" ht="181.5" thickTop="1" thickBot="1" x14ac:dyDescent="0.25">
      <c r="A338" s="511" t="s">
        <v>163</v>
      </c>
      <c r="B338" s="511"/>
      <c r="C338" s="511"/>
      <c r="D338" s="512" t="s">
        <v>902</v>
      </c>
      <c r="E338" s="513"/>
      <c r="F338" s="513"/>
      <c r="G338" s="513">
        <f>SUM(G339:G342)</f>
        <v>65000</v>
      </c>
      <c r="H338" s="513">
        <f>SUM(H339:H342)</f>
        <v>30000</v>
      </c>
      <c r="I338" s="513">
        <f>SUM(I339:I342)</f>
        <v>35000</v>
      </c>
      <c r="J338" s="513">
        <f>SUM(J339:J342)</f>
        <v>35000</v>
      </c>
      <c r="K338" s="139"/>
      <c r="L338" s="139"/>
      <c r="M338" s="139"/>
    </row>
    <row r="339" spans="1:17" ht="184.5" hidden="1" thickTop="1" thickBot="1" x14ac:dyDescent="0.25">
      <c r="A339" s="128" t="s">
        <v>418</v>
      </c>
      <c r="B339" s="128" t="s">
        <v>236</v>
      </c>
      <c r="C339" s="128" t="s">
        <v>234</v>
      </c>
      <c r="D339" s="128" t="s">
        <v>235</v>
      </c>
      <c r="E339" s="255" t="s">
        <v>1044</v>
      </c>
      <c r="F339" s="196" t="s">
        <v>859</v>
      </c>
      <c r="G339" s="196">
        <f>H339+I339</f>
        <v>0</v>
      </c>
      <c r="H339" s="256">
        <v>0</v>
      </c>
      <c r="I339" s="196">
        <v>0</v>
      </c>
      <c r="J339" s="196">
        <v>0</v>
      </c>
      <c r="K339" s="139"/>
      <c r="L339" s="139"/>
      <c r="M339" s="139"/>
    </row>
    <row r="340" spans="1:17" ht="138.75" thickTop="1" thickBot="1" x14ac:dyDescent="0.25">
      <c r="A340" s="103" t="s">
        <v>306</v>
      </c>
      <c r="B340" s="103" t="s">
        <v>307</v>
      </c>
      <c r="C340" s="103" t="s">
        <v>308</v>
      </c>
      <c r="D340" s="103" t="s">
        <v>461</v>
      </c>
      <c r="E340" s="321" t="s">
        <v>1560</v>
      </c>
      <c r="F340" s="318"/>
      <c r="G340" s="322">
        <f t="shared" ref="G340:G342" si="51">H340+I340</f>
        <v>30000</v>
      </c>
      <c r="H340" s="318">
        <v>0</v>
      </c>
      <c r="I340" s="318">
        <f>'d3'!J400</f>
        <v>30000</v>
      </c>
      <c r="J340" s="318">
        <f>'d3'!K400</f>
        <v>30000</v>
      </c>
      <c r="K340" s="139"/>
      <c r="L340" s="139"/>
      <c r="M340" s="139"/>
    </row>
    <row r="341" spans="1:17" ht="138.75" thickTop="1" thickBot="1" x14ac:dyDescent="0.25">
      <c r="A341" s="103" t="s">
        <v>306</v>
      </c>
      <c r="B341" s="103" t="s">
        <v>307</v>
      </c>
      <c r="C341" s="103" t="s">
        <v>308</v>
      </c>
      <c r="D341" s="103" t="s">
        <v>461</v>
      </c>
      <c r="E341" s="321" t="s">
        <v>1217</v>
      </c>
      <c r="F341" s="318" t="s">
        <v>958</v>
      </c>
      <c r="G341" s="322">
        <f t="shared" si="51"/>
        <v>30000</v>
      </c>
      <c r="H341" s="318">
        <v>30000</v>
      </c>
      <c r="I341" s="318">
        <v>0</v>
      </c>
      <c r="J341" s="318">
        <v>0</v>
      </c>
      <c r="K341" s="139"/>
      <c r="L341" s="139"/>
      <c r="M341" s="139"/>
    </row>
    <row r="342" spans="1:17" ht="138.75" thickTop="1" thickBot="1" x14ac:dyDescent="1.2">
      <c r="A342" s="103" t="s">
        <v>368</v>
      </c>
      <c r="B342" s="103" t="s">
        <v>369</v>
      </c>
      <c r="C342" s="103" t="s">
        <v>170</v>
      </c>
      <c r="D342" s="103" t="s">
        <v>370</v>
      </c>
      <c r="E342" s="321" t="s">
        <v>1560</v>
      </c>
      <c r="F342" s="318"/>
      <c r="G342" s="322">
        <f t="shared" si="51"/>
        <v>5000</v>
      </c>
      <c r="H342" s="318">
        <f>'d3'!E402</f>
        <v>0</v>
      </c>
      <c r="I342" s="318">
        <f>'d3'!J402</f>
        <v>5000</v>
      </c>
      <c r="J342" s="318">
        <f>'d3'!K402</f>
        <v>5000</v>
      </c>
      <c r="K342" s="696" t="b">
        <f>G349=G348+G347+G342+G341+G340+G334+G323+G322+G321+G320+G315+G310+G309+G294+G287+G275+G274+G268+G256+G254+G253+G252+G251+G250+G247+G245+G244+G243+G240+G236+G233+G231+G229+G225+G224+G223+G222+G219+G218+G217+G216+G205+G204+G203+G201+G199+G198+G197+G196+G195++G193+G186+G185+G184+G183+G182+G181+G180+G178+G176+G173+G171+G163+G162+G161+G160+G159+G158+G157+G155+G154++G153+G152+G151+G150+G149+G148+G147+G144+G142+G141+G140+G139+G138+G137+G136+G135+G134+G133+G132+G130+G119+G118+G117+G116+G114+G110+G109+G108+G106+G98+G97+G95+G94+G90+G80+G79+G78+G76+G75+G74+G73+G72+G71+G70+G68+G67+G66+G64+G63+G60+G59+G57+G42+G41+G40+G39+G38+G36++G35+G33+G32+G29+G28+G26+G25+G24+G43+G46</f>
        <v>1</v>
      </c>
      <c r="L342" s="696" t="b">
        <f>H349=H348+H347+H342+H341+H340+H334+H323+H322+H321+H320+H315+H310+H309+H294+H287+H275+H274+H268+H256+H254+H253+H252+H251+H250+H247+H245+H244+H243+H240+H236+H233+H231+H229+H225+H224+H223+H222+H219+H218+H217+H216+H205+H204+H203+H201+H199+H198+H197+H196+H195++H193+H186+H185+H184+H183+H182+H181+H180+H178+H176+H173+H171+H163+H162+H161+H160+H159+H158+H157+H155+H154++H153+H152+H151+H150+H149+H148+H147+H144+H142+H141+H140+H139+H138+H137+H136+H135+H134+H133+H132+H130+H119+H118+H117+H116+H114+H110+H109+H108+H106+H98+H97+H95+H94+H90+H80+H79+H78+H76+H75+H74+H73+H72+H71+H70+H68+H67+H66+H64+H63+H60+H59+H57+H42+H41+H40+H39+H38+H36++H35+H33+H32+H29+H28+H26+H25+H24+H43+H46</f>
        <v>1</v>
      </c>
      <c r="M342" s="696" t="b">
        <f>I349=I348+I347+I342+I341+I340+I334+I323+I322+I321+I320+I315+I310+I309+I294+I287+I275+I274+I268+I256+I254+I253+I252+I251+I250+I247+I245+I244+I243+I240+I236+I233+I231+I229+I225+I224+I223+I222+I219+I218+I217+I216+I205+I204+I203+I201+I199+I198+I197+I196+I195++I193+I186+I185+I184+I183+I182+I181+I180+I178+I176+I173+I171+I163+I162+I161+I160+I159+I158+I157+I155+I154++I153+I152+I151+I150+I149+I148+I147+I144+I142+I141+I140+I139+I138+I137+I136+I135+I134+I133+I132+I130+I119+I118+I117+I116+I114+I110+I109+I108+I106+I98+I97+I95+I94+I90+I80+I79+I78+I76+I75+I74+I73+I72+I71+I70+I68+I67+I66+I64+I63+I60+I59+I57+I42+I41+I40+I39+I38+I36++I35+I33+I32+I29+I28+I26+I25+I24+I43+I46</f>
        <v>1</v>
      </c>
      <c r="N342" s="696" t="b">
        <f>J349=J348+J347+J342+J341+J340+J334+J323+J322+J321+J320+J315+J310+J309+J294+J287+J275+J274+J268+J256+J254+J253+J252+J251+J250+J247+J245+J244+J243+J240+J236+J233+J231+J229+J225+J224+J223+J222+J219+J218+J217+J216+J205+J204+J203+J201+J199+J198+J197+J196+J195++J193+J186+J185+J184+J183+J182+J181+J180+J178+J176+J173+J171+J163+J162+J161+J160+J159+J158+J157+J155+J154++J153+J152+J151+J150+J149+J148+J147+J144+J142+J141+J140+J139+J138+J137+J136+J135+J134+J133+J132+J130+J119+J118+J117+J116+J114+J110+J109+J108+J106+J98+J97+J95+J94+J90+J80+J79+J78+J76+J75+J74+J73+J72+J71+J70+J68+J67+J66+J64+J63+J60+J59+J57+J42+J41+J40+J39+J38+J36++J35+J33+J32+J29+J28+J26+J25+J24+J43+J46</f>
        <v>1</v>
      </c>
    </row>
    <row r="343" spans="1:17" ht="91.5" thickTop="1" thickBot="1" x14ac:dyDescent="0.25">
      <c r="A343" s="508" t="s">
        <v>168</v>
      </c>
      <c r="B343" s="508"/>
      <c r="C343" s="508"/>
      <c r="D343" s="509" t="s">
        <v>27</v>
      </c>
      <c r="E343" s="508"/>
      <c r="F343" s="508"/>
      <c r="G343" s="510">
        <f>G344</f>
        <v>8185656</v>
      </c>
      <c r="H343" s="510">
        <f t="shared" ref="H343:J343" si="52">H344</f>
        <v>525644</v>
      </c>
      <c r="I343" s="510">
        <f t="shared" si="52"/>
        <v>7660012</v>
      </c>
      <c r="J343" s="510">
        <f t="shared" si="52"/>
        <v>7660012</v>
      </c>
      <c r="K343" s="139"/>
      <c r="L343" s="139"/>
      <c r="M343" s="139"/>
    </row>
    <row r="344" spans="1:17" ht="136.5" thickTop="1" thickBot="1" x14ac:dyDescent="0.25">
      <c r="A344" s="511" t="s">
        <v>169</v>
      </c>
      <c r="B344" s="511"/>
      <c r="C344" s="511"/>
      <c r="D344" s="512" t="s">
        <v>40</v>
      </c>
      <c r="E344" s="513"/>
      <c r="F344" s="513"/>
      <c r="G344" s="513">
        <f>SUM(G345:G348)</f>
        <v>8185656</v>
      </c>
      <c r="H344" s="513">
        <f t="shared" ref="H344:J344" si="53">SUM(H345:H348)</f>
        <v>525644</v>
      </c>
      <c r="I344" s="513">
        <f>SUM(I345:I348)</f>
        <v>7660012</v>
      </c>
      <c r="J344" s="513">
        <f t="shared" si="53"/>
        <v>7660012</v>
      </c>
      <c r="K344" s="139"/>
      <c r="L344" s="139"/>
      <c r="M344" s="139"/>
    </row>
    <row r="345" spans="1:17" ht="184.5" hidden="1" thickTop="1" thickBot="1" x14ac:dyDescent="0.25">
      <c r="A345" s="41" t="s">
        <v>420</v>
      </c>
      <c r="B345" s="41" t="s">
        <v>236</v>
      </c>
      <c r="C345" s="41" t="s">
        <v>234</v>
      </c>
      <c r="D345" s="41" t="s">
        <v>235</v>
      </c>
      <c r="E345" s="258" t="s">
        <v>1044</v>
      </c>
      <c r="F345" s="73" t="s">
        <v>859</v>
      </c>
      <c r="G345" s="73">
        <f t="shared" ref="G345:G348" si="54">H345+I345</f>
        <v>0</v>
      </c>
      <c r="H345" s="259">
        <f>0</f>
        <v>0</v>
      </c>
      <c r="I345" s="274">
        <v>0</v>
      </c>
      <c r="J345" s="274">
        <v>0</v>
      </c>
      <c r="K345" s="139"/>
      <c r="L345" s="139"/>
      <c r="M345" s="139"/>
    </row>
    <row r="346" spans="1:17" ht="367.5" hidden="1" thickTop="1" thickBot="1" x14ac:dyDescent="1.2">
      <c r="A346" s="128" t="s">
        <v>635</v>
      </c>
      <c r="B346" s="128" t="s">
        <v>362</v>
      </c>
      <c r="C346" s="128" t="s">
        <v>626</v>
      </c>
      <c r="D346" s="128" t="s">
        <v>627</v>
      </c>
      <c r="E346" s="255" t="s">
        <v>1185</v>
      </c>
      <c r="F346" s="196" t="s">
        <v>1186</v>
      </c>
      <c r="G346" s="196">
        <f t="shared" si="54"/>
        <v>0</v>
      </c>
      <c r="H346" s="256">
        <f>'d3'!E407</f>
        <v>0</v>
      </c>
      <c r="I346" s="273">
        <v>0</v>
      </c>
      <c r="J346" s="273">
        <v>0</v>
      </c>
      <c r="O346" s="278"/>
    </row>
    <row r="347" spans="1:17" ht="138.75" thickTop="1" thickBot="1" x14ac:dyDescent="1.2">
      <c r="A347" s="103">
        <v>3718600</v>
      </c>
      <c r="B347" s="103">
        <v>8600</v>
      </c>
      <c r="C347" s="103" t="s">
        <v>362</v>
      </c>
      <c r="D347" s="103" t="s">
        <v>452</v>
      </c>
      <c r="E347" s="321" t="s">
        <v>1560</v>
      </c>
      <c r="F347" s="196"/>
      <c r="G347" s="318">
        <f t="shared" si="54"/>
        <v>525644</v>
      </c>
      <c r="H347" s="322">
        <f>'d3'!E412</f>
        <v>525644</v>
      </c>
      <c r="I347" s="475">
        <f>'d3'!J412</f>
        <v>0</v>
      </c>
      <c r="J347" s="475">
        <f>'d3'!K412</f>
        <v>0</v>
      </c>
      <c r="O347" s="278"/>
    </row>
    <row r="348" spans="1:17" ht="184.5" thickTop="1" thickBot="1" x14ac:dyDescent="1.2">
      <c r="A348" s="103" t="s">
        <v>1399</v>
      </c>
      <c r="B348" s="103" t="s">
        <v>1400</v>
      </c>
      <c r="C348" s="103" t="s">
        <v>170</v>
      </c>
      <c r="D348" s="103" t="s">
        <v>1163</v>
      </c>
      <c r="E348" s="321" t="s">
        <v>1560</v>
      </c>
      <c r="F348" s="318"/>
      <c r="G348" s="318">
        <f t="shared" si="54"/>
        <v>7660012</v>
      </c>
      <c r="H348" s="322">
        <f>'d4'!F25</f>
        <v>0</v>
      </c>
      <c r="I348" s="475">
        <f>'d4'!G27</f>
        <v>7660012</v>
      </c>
      <c r="J348" s="475">
        <f>'d4'!H27</f>
        <v>7660012</v>
      </c>
      <c r="O348" s="278"/>
    </row>
    <row r="349" spans="1:17" ht="91.5" thickTop="1" thickBot="1" x14ac:dyDescent="1.2">
      <c r="A349" s="692" t="s">
        <v>381</v>
      </c>
      <c r="B349" s="692" t="s">
        <v>381</v>
      </c>
      <c r="C349" s="692" t="s">
        <v>381</v>
      </c>
      <c r="D349" s="693" t="s">
        <v>391</v>
      </c>
      <c r="E349" s="692" t="s">
        <v>381</v>
      </c>
      <c r="F349" s="692" t="s">
        <v>381</v>
      </c>
      <c r="G349" s="694">
        <f>G16+G56+G191+G102+G127+G170+G279+G318+G331+G338+G306+G300+G239+G213+G344</f>
        <v>3911266749.2200003</v>
      </c>
      <c r="H349" s="694">
        <f>H16+H56+H191+H102+H127+H170+H279+H318+H331+H338+H306+H300+H239+H213+H344</f>
        <v>3433637788.4200001</v>
      </c>
      <c r="I349" s="694">
        <f>I16+I56+I191+I102+I127+I170+I279+I318+I331+I338+I306+I300+I239+I213+I344</f>
        <v>477628960.80000001</v>
      </c>
      <c r="J349" s="694">
        <f>J16+J56+J191+J102+J127+J170+J279+J318+J331+J338+J306+J300+J239+J213+J344</f>
        <v>242068008.80000001</v>
      </c>
      <c r="K349" s="695" t="b">
        <f>G349=H349+I349</f>
        <v>1</v>
      </c>
      <c r="L349" s="695" t="b">
        <f>J349='d3'!K421+'d4'!P28</f>
        <v>1</v>
      </c>
      <c r="M349" s="139"/>
    </row>
    <row r="350" spans="1:17" ht="31.7" customHeight="1" thickTop="1" x14ac:dyDescent="0.2">
      <c r="A350" s="719" t="s">
        <v>1564</v>
      </c>
      <c r="B350" s="720"/>
      <c r="C350" s="720"/>
      <c r="D350" s="720"/>
      <c r="E350" s="720"/>
      <c r="F350" s="720"/>
      <c r="G350" s="720"/>
      <c r="H350" s="720"/>
      <c r="I350" s="720"/>
      <c r="J350" s="720"/>
    </row>
    <row r="351" spans="1:17" ht="4.5" customHeight="1" x14ac:dyDescent="0.2">
      <c r="A351" s="15"/>
      <c r="B351" s="16"/>
      <c r="C351" s="16"/>
      <c r="D351" s="16"/>
      <c r="E351" s="16"/>
      <c r="F351" s="16"/>
      <c r="G351" s="16"/>
      <c r="H351" s="16"/>
      <c r="I351" s="16"/>
      <c r="J351" s="16"/>
    </row>
    <row r="352" spans="1:17" ht="15.75" customHeight="1" x14ac:dyDescent="0.65">
      <c r="A352" s="15"/>
      <c r="B352" s="16"/>
      <c r="C352" s="16"/>
      <c r="D352" s="851"/>
      <c r="E352" s="778"/>
      <c r="F352" s="363"/>
      <c r="G352" s="363"/>
      <c r="H352" s="17"/>
      <c r="I352" s="17"/>
      <c r="J352" s="17"/>
      <c r="K352" s="279"/>
      <c r="L352" s="201"/>
      <c r="M352" s="280"/>
      <c r="N352" s="281"/>
      <c r="O352" s="201"/>
      <c r="P352" s="201"/>
      <c r="Q352" s="282"/>
    </row>
    <row r="353" spans="1:17" ht="45.75" x14ac:dyDescent="0.65">
      <c r="A353" s="76"/>
      <c r="B353" s="76"/>
      <c r="C353" s="76"/>
      <c r="D353" s="851" t="s">
        <v>1515</v>
      </c>
      <c r="E353" s="778"/>
      <c r="F353" s="363"/>
      <c r="G353" s="363" t="s">
        <v>1516</v>
      </c>
      <c r="H353" s="2"/>
      <c r="I353" s="2"/>
      <c r="J353" s="2"/>
      <c r="K353" s="202"/>
      <c r="L353" s="201"/>
      <c r="M353" s="280"/>
      <c r="N353" s="281"/>
      <c r="O353" s="201"/>
      <c r="P353" s="201"/>
      <c r="Q353" s="282"/>
    </row>
    <row r="354" spans="1:17" ht="45.75" hidden="1" x14ac:dyDescent="0.65">
      <c r="A354" s="76"/>
      <c r="B354" s="76"/>
      <c r="C354" s="76"/>
      <c r="D354" s="3" t="s">
        <v>1517</v>
      </c>
      <c r="E354" s="319"/>
      <c r="F354" s="3"/>
      <c r="G354" s="3" t="s">
        <v>1480</v>
      </c>
      <c r="H354" s="2"/>
      <c r="I354" s="2"/>
      <c r="J354" s="2"/>
      <c r="K354" s="202"/>
      <c r="L354" s="201"/>
      <c r="M354" s="280"/>
      <c r="N354" s="281"/>
      <c r="O354" s="201"/>
      <c r="P354" s="201"/>
      <c r="Q354" s="282"/>
    </row>
    <row r="355" spans="1:17" ht="78.75" customHeight="1" x14ac:dyDescent="0.65">
      <c r="A355" s="75"/>
      <c r="B355" s="75"/>
      <c r="C355" s="75"/>
      <c r="D355" s="851" t="s">
        <v>524</v>
      </c>
      <c r="E355" s="778"/>
      <c r="F355" s="3"/>
      <c r="G355" s="364" t="s">
        <v>1374</v>
      </c>
      <c r="H355" s="354"/>
      <c r="I355" s="355"/>
      <c r="J355" s="356"/>
      <c r="K355" s="124"/>
      <c r="L355" s="124"/>
      <c r="M355" s="124"/>
      <c r="N355" s="6"/>
      <c r="O355" s="6"/>
      <c r="P355" s="6"/>
      <c r="Q355" s="6"/>
    </row>
    <row r="356" spans="1:17" ht="45.75" x14ac:dyDescent="0.65">
      <c r="D356" s="835"/>
      <c r="E356" s="835"/>
      <c r="F356" s="835"/>
      <c r="G356" s="835"/>
      <c r="H356" s="835"/>
      <c r="I356" s="835"/>
      <c r="J356" s="835"/>
      <c r="K356" s="124"/>
      <c r="L356" s="124"/>
      <c r="M356" s="124"/>
      <c r="N356" s="6"/>
      <c r="O356" s="6"/>
      <c r="P356" s="6"/>
      <c r="Q356" s="6"/>
    </row>
    <row r="357" spans="1:17" x14ac:dyDescent="0.2">
      <c r="E357" s="284"/>
      <c r="F357" s="285"/>
    </row>
    <row r="358" spans="1:17" x14ac:dyDescent="0.2">
      <c r="E358" s="284"/>
      <c r="F358" s="285"/>
    </row>
    <row r="359" spans="1:17" ht="62.25" x14ac:dyDescent="0.8">
      <c r="A359" s="13"/>
      <c r="B359" s="13"/>
      <c r="C359" s="13"/>
      <c r="D359" s="13"/>
      <c r="E359" s="282"/>
      <c r="F359" s="281"/>
      <c r="I359" s="13"/>
      <c r="J359" s="287"/>
    </row>
    <row r="360" spans="1:17" ht="45.75" x14ac:dyDescent="0.2">
      <c r="E360" s="288"/>
      <c r="F360" s="283"/>
    </row>
    <row r="361" spans="1:17" ht="45.75" x14ac:dyDescent="0.2">
      <c r="A361" s="13"/>
      <c r="B361" s="13"/>
      <c r="C361" s="13"/>
      <c r="D361" s="13"/>
      <c r="E361" s="282"/>
      <c r="F361" s="281"/>
      <c r="I361" s="13"/>
      <c r="J361" s="13"/>
    </row>
    <row r="362" spans="1:17" ht="45.75" x14ac:dyDescent="0.2">
      <c r="E362" s="288"/>
      <c r="F362" s="283"/>
    </row>
    <row r="363" spans="1:17" ht="45.75" x14ac:dyDescent="0.2">
      <c r="E363" s="288"/>
      <c r="F363" s="283"/>
    </row>
    <row r="364" spans="1:17" ht="45.75" x14ac:dyDescent="0.2">
      <c r="E364" s="288"/>
      <c r="F364" s="283"/>
    </row>
    <row r="365" spans="1:17" ht="45.75" x14ac:dyDescent="0.2">
      <c r="A365" s="13"/>
      <c r="B365" s="13"/>
      <c r="C365" s="13"/>
      <c r="D365" s="13"/>
      <c r="E365" s="288"/>
      <c r="F365" s="283"/>
      <c r="G365" s="13"/>
      <c r="H365" s="13"/>
      <c r="I365" s="13"/>
      <c r="J365" s="13"/>
    </row>
    <row r="366" spans="1:17" ht="45.75" x14ac:dyDescent="0.2">
      <c r="A366" s="13"/>
      <c r="B366" s="13"/>
      <c r="C366" s="13"/>
      <c r="D366" s="13"/>
      <c r="E366" s="288"/>
      <c r="F366" s="283"/>
      <c r="G366" s="13"/>
      <c r="H366" s="13"/>
      <c r="I366" s="13"/>
      <c r="J366" s="13"/>
    </row>
    <row r="367" spans="1:17" ht="45.75" x14ac:dyDescent="0.2">
      <c r="A367" s="13"/>
      <c r="B367" s="13"/>
      <c r="C367" s="13"/>
      <c r="D367" s="13"/>
      <c r="E367" s="288"/>
      <c r="F367" s="283"/>
      <c r="G367" s="13"/>
      <c r="H367" s="13"/>
      <c r="I367" s="13"/>
      <c r="J367" s="13"/>
    </row>
    <row r="368" spans="1:17" ht="45.75" x14ac:dyDescent="0.2">
      <c r="A368" s="13"/>
      <c r="B368" s="13"/>
      <c r="C368" s="13"/>
      <c r="D368" s="13"/>
      <c r="E368" s="288"/>
      <c r="F368" s="283"/>
      <c r="G368" s="13"/>
      <c r="H368" s="13"/>
      <c r="I368" s="13"/>
      <c r="J368" s="13"/>
    </row>
  </sheetData>
  <mergeCells count="94">
    <mergeCell ref="M157:M160"/>
    <mergeCell ref="I296:I297"/>
    <mergeCell ref="J296:J297"/>
    <mergeCell ref="H271:H272"/>
    <mergeCell ref="I271:I272"/>
    <mergeCell ref="J271:J272"/>
    <mergeCell ref="H296:H297"/>
    <mergeCell ref="G271:G272"/>
    <mergeCell ref="K157:K160"/>
    <mergeCell ref="J33:J34"/>
    <mergeCell ref="G33:G34"/>
    <mergeCell ref="L157:L160"/>
    <mergeCell ref="I167:I168"/>
    <mergeCell ref="J167:J168"/>
    <mergeCell ref="I234:I235"/>
    <mergeCell ref="J234:J235"/>
    <mergeCell ref="H33:H34"/>
    <mergeCell ref="I33:I34"/>
    <mergeCell ref="F296:F297"/>
    <mergeCell ref="A271:A272"/>
    <mergeCell ref="B271:B272"/>
    <mergeCell ref="C271:C272"/>
    <mergeCell ref="E271:E272"/>
    <mergeCell ref="F271:F272"/>
    <mergeCell ref="D254:D255"/>
    <mergeCell ref="A296:A297"/>
    <mergeCell ref="B296:B297"/>
    <mergeCell ref="C296:C297"/>
    <mergeCell ref="E296:E297"/>
    <mergeCell ref="L24:L26"/>
    <mergeCell ref="M24:M26"/>
    <mergeCell ref="A6:J6"/>
    <mergeCell ref="A9:J9"/>
    <mergeCell ref="A10:J10"/>
    <mergeCell ref="F12:F13"/>
    <mergeCell ref="G12:G13"/>
    <mergeCell ref="A12:A13"/>
    <mergeCell ref="B12:B13"/>
    <mergeCell ref="C12:C13"/>
    <mergeCell ref="D12:D13"/>
    <mergeCell ref="E12:E13"/>
    <mergeCell ref="H12:H13"/>
    <mergeCell ref="I12:J12"/>
    <mergeCell ref="A7:J7"/>
    <mergeCell ref="K24:K26"/>
    <mergeCell ref="I1:J1"/>
    <mergeCell ref="I2:J2"/>
    <mergeCell ref="I3:J3"/>
    <mergeCell ref="A5:J5"/>
    <mergeCell ref="A8:J8"/>
    <mergeCell ref="A33:A34"/>
    <mergeCell ref="B33:B34"/>
    <mergeCell ref="C33:C34"/>
    <mergeCell ref="E33:E34"/>
    <mergeCell ref="F33:F34"/>
    <mergeCell ref="A167:A168"/>
    <mergeCell ref="B167:B168"/>
    <mergeCell ref="C167:C168"/>
    <mergeCell ref="E167:E168"/>
    <mergeCell ref="F167:F168"/>
    <mergeCell ref="C234:C235"/>
    <mergeCell ref="E234:E235"/>
    <mergeCell ref="F234:F235"/>
    <mergeCell ref="G234:G235"/>
    <mergeCell ref="H234:H235"/>
    <mergeCell ref="D356:J356"/>
    <mergeCell ref="A350:J350"/>
    <mergeCell ref="H311:H312"/>
    <mergeCell ref="I311:I312"/>
    <mergeCell ref="J311:J312"/>
    <mergeCell ref="D311:D312"/>
    <mergeCell ref="A311:A312"/>
    <mergeCell ref="B311:B312"/>
    <mergeCell ref="C311:C312"/>
    <mergeCell ref="G311:G312"/>
    <mergeCell ref="D355:E355"/>
    <mergeCell ref="D352:E352"/>
    <mergeCell ref="D353:E353"/>
    <mergeCell ref="A234:A235"/>
    <mergeCell ref="J84:J85"/>
    <mergeCell ref="A84:A85"/>
    <mergeCell ref="B84:B85"/>
    <mergeCell ref="C84:C85"/>
    <mergeCell ref="D84:D85"/>
    <mergeCell ref="G84:G85"/>
    <mergeCell ref="H84:H85"/>
    <mergeCell ref="I84:I85"/>
    <mergeCell ref="B234:B235"/>
    <mergeCell ref="G122:G123"/>
    <mergeCell ref="H122:H123"/>
    <mergeCell ref="I122:I123"/>
    <mergeCell ref="J122:J123"/>
    <mergeCell ref="G167:G168"/>
    <mergeCell ref="H167:H168"/>
  </mergeCells>
  <pageMargins left="0.23622047244094491" right="0.27559055118110237" top="0.27559055118110237" bottom="0.15748031496062992" header="0.23622047244094491" footer="0.27559055118110237"/>
  <pageSetup paperSize="9" scale="18" fitToHeight="0" orientation="landscape" r:id="rId1"/>
  <headerFooter alignWithMargins="0">
    <oddFooter>&amp;C&amp;"Times New Roman Cyr,курсив"Сторінка &amp;P з &amp;N</oddFooter>
  </headerFooter>
  <rowBreaks count="3" manualBreakCount="3">
    <brk id="34" max="9" man="1"/>
    <brk id="273" max="9" man="1"/>
    <brk id="355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Аркуш6"/>
  <dimension ref="A1:J168"/>
  <sheetViews>
    <sheetView view="pageBreakPreview" topLeftCell="A35" zoomScale="85" zoomScaleNormal="85" zoomScaleSheetLayoutView="85" workbookViewId="0">
      <selection activeCell="A39" sqref="A39:XFD39"/>
    </sheetView>
  </sheetViews>
  <sheetFormatPr defaultColWidth="9.140625" defaultRowHeight="12.75" x14ac:dyDescent="0.2"/>
  <cols>
    <col min="1" max="1" width="18.140625" style="99" customWidth="1"/>
    <col min="2" max="2" width="108" style="99" customWidth="1"/>
    <col min="3" max="3" width="4" style="99" hidden="1" customWidth="1"/>
    <col min="4" max="4" width="17" style="99" customWidth="1"/>
    <col min="5" max="5" width="14.7109375" style="99" customWidth="1"/>
    <col min="6" max="6" width="21.85546875" style="99" bestFit="1" customWidth="1"/>
    <col min="7" max="7" width="18.85546875" style="99" bestFit="1" customWidth="1"/>
    <col min="8" max="9" width="9.140625" style="99"/>
    <col min="10" max="10" width="52.5703125" style="99" customWidth="1"/>
    <col min="11" max="16384" width="9.140625" style="99"/>
  </cols>
  <sheetData>
    <row r="1" spans="1:9" ht="16.5" customHeight="1" x14ac:dyDescent="0.2">
      <c r="A1" s="306"/>
      <c r="B1" s="306"/>
      <c r="C1" s="697" t="s">
        <v>593</v>
      </c>
      <c r="D1" s="697"/>
      <c r="E1" s="307"/>
      <c r="F1" s="307"/>
      <c r="G1" s="306"/>
      <c r="H1" s="306"/>
      <c r="I1" s="306"/>
    </row>
    <row r="2" spans="1:9" ht="16.5" customHeight="1" x14ac:dyDescent="0.2">
      <c r="A2" s="306"/>
      <c r="B2" s="306"/>
      <c r="C2" s="884" t="s">
        <v>966</v>
      </c>
      <c r="D2" s="885"/>
      <c r="E2" s="885"/>
      <c r="F2" s="885"/>
      <c r="G2" s="306"/>
      <c r="H2" s="306"/>
      <c r="I2" s="306"/>
    </row>
    <row r="3" spans="1:9" ht="12.75" customHeight="1" x14ac:dyDescent="0.2">
      <c r="A3" s="306"/>
      <c r="B3" s="306"/>
      <c r="C3" s="697" t="s">
        <v>1320</v>
      </c>
      <c r="D3" s="879"/>
      <c r="E3" s="306"/>
      <c r="F3" s="306"/>
      <c r="G3" s="306"/>
      <c r="H3" s="306"/>
      <c r="I3" s="306"/>
    </row>
    <row r="4" spans="1:9" ht="12.75" customHeight="1" x14ac:dyDescent="0.2">
      <c r="A4" s="306"/>
      <c r="B4" s="306"/>
      <c r="C4" s="697"/>
      <c r="D4" s="699"/>
      <c r="E4" s="306"/>
      <c r="F4" s="306"/>
      <c r="G4" s="306"/>
      <c r="H4" s="306"/>
      <c r="I4" s="306"/>
    </row>
    <row r="5" spans="1:9" ht="16.5" x14ac:dyDescent="0.25">
      <c r="A5" s="867" t="s">
        <v>569</v>
      </c>
      <c r="B5" s="867"/>
      <c r="C5" s="867"/>
      <c r="D5" s="699"/>
      <c r="E5" s="886"/>
      <c r="F5" s="887"/>
      <c r="G5" s="887"/>
      <c r="H5" s="887"/>
      <c r="I5" s="701"/>
    </row>
    <row r="6" spans="1:9" ht="16.5" x14ac:dyDescent="0.25">
      <c r="A6" s="867" t="s">
        <v>568</v>
      </c>
      <c r="B6" s="867"/>
      <c r="C6" s="867"/>
      <c r="D6" s="699"/>
      <c r="E6" s="100"/>
      <c r="F6" s="101"/>
      <c r="G6" s="101"/>
      <c r="H6" s="101"/>
      <c r="I6" s="308"/>
    </row>
    <row r="7" spans="1:9" ht="16.5" x14ac:dyDescent="0.25">
      <c r="A7" s="868" t="s">
        <v>126</v>
      </c>
      <c r="B7" s="868"/>
      <c r="C7" s="868"/>
      <c r="D7" s="869"/>
      <c r="E7" s="886"/>
      <c r="F7" s="886"/>
      <c r="G7" s="886"/>
      <c r="H7" s="886"/>
      <c r="I7" s="698"/>
    </row>
    <row r="8" spans="1:9" ht="16.5" x14ac:dyDescent="0.2">
      <c r="A8" s="868" t="s">
        <v>1576</v>
      </c>
      <c r="B8" s="868"/>
      <c r="C8" s="868"/>
      <c r="D8" s="869"/>
      <c r="E8" s="888"/>
      <c r="F8" s="888"/>
      <c r="G8" s="888"/>
      <c r="H8" s="888"/>
      <c r="I8" s="889"/>
    </row>
    <row r="9" spans="1:9" ht="16.5" x14ac:dyDescent="0.2">
      <c r="A9" s="98"/>
      <c r="B9" s="98"/>
      <c r="C9" s="98"/>
      <c r="D9" s="309"/>
      <c r="E9" s="102"/>
      <c r="F9" s="102"/>
      <c r="G9" s="102"/>
      <c r="H9" s="102"/>
      <c r="I9" s="310"/>
    </row>
    <row r="10" spans="1:9" ht="16.5" x14ac:dyDescent="0.2">
      <c r="A10" s="493">
        <v>2256400000</v>
      </c>
      <c r="B10" s="610"/>
      <c r="C10" s="611"/>
      <c r="D10" s="309"/>
      <c r="E10" s="612"/>
      <c r="F10" s="612"/>
      <c r="G10" s="612"/>
      <c r="H10" s="102"/>
      <c r="I10" s="310"/>
    </row>
    <row r="11" spans="1:9" ht="16.5" x14ac:dyDescent="0.2">
      <c r="A11" s="482" t="s">
        <v>490</v>
      </c>
      <c r="B11" s="483"/>
      <c r="C11" s="611"/>
      <c r="D11" s="309"/>
      <c r="E11" s="612"/>
      <c r="F11" s="612"/>
      <c r="G11" s="612"/>
      <c r="H11" s="102"/>
      <c r="I11" s="310"/>
    </row>
    <row r="12" spans="1:9" ht="17.25" thickBot="1" x14ac:dyDescent="0.25">
      <c r="A12" s="613"/>
      <c r="B12" s="613"/>
      <c r="C12" s="614"/>
      <c r="D12" s="614" t="s">
        <v>404</v>
      </c>
      <c r="E12" s="612"/>
      <c r="F12" s="612"/>
      <c r="G12" s="615"/>
      <c r="H12" s="306"/>
      <c r="I12" s="306"/>
    </row>
    <row r="13" spans="1:9" s="289" customFormat="1" ht="50.25" customHeight="1" thickTop="1" thickBot="1" x14ac:dyDescent="0.25">
      <c r="A13" s="616" t="s">
        <v>127</v>
      </c>
      <c r="B13" s="880" t="s">
        <v>128</v>
      </c>
      <c r="C13" s="882"/>
      <c r="D13" s="882"/>
      <c r="E13" s="617"/>
      <c r="F13" s="617"/>
      <c r="G13" s="617"/>
      <c r="H13" s="618"/>
      <c r="I13" s="618"/>
    </row>
    <row r="14" spans="1:9" s="289" customFormat="1" ht="39.75" customHeight="1" thickTop="1" thickBot="1" x14ac:dyDescent="0.25">
      <c r="A14" s="619" t="s">
        <v>129</v>
      </c>
      <c r="B14" s="865" t="s">
        <v>130</v>
      </c>
      <c r="C14" s="866"/>
      <c r="D14" s="620">
        <v>200</v>
      </c>
      <c r="E14" s="74"/>
      <c r="F14" s="74"/>
      <c r="G14" s="74"/>
    </row>
    <row r="15" spans="1:9" s="289" customFormat="1" ht="40.700000000000003" customHeight="1" thickTop="1" thickBot="1" x14ac:dyDescent="0.25">
      <c r="A15" s="619" t="s">
        <v>131</v>
      </c>
      <c r="B15" s="865" t="s">
        <v>132</v>
      </c>
      <c r="C15" s="866"/>
      <c r="D15" s="620">
        <v>2300000</v>
      </c>
      <c r="E15" s="74"/>
      <c r="F15" s="74"/>
      <c r="G15" s="74"/>
    </row>
    <row r="16" spans="1:9" s="289" customFormat="1" ht="66" customHeight="1" thickTop="1" thickBot="1" x14ac:dyDescent="0.25">
      <c r="A16" s="619" t="s">
        <v>133</v>
      </c>
      <c r="B16" s="865" t="s">
        <v>1252</v>
      </c>
      <c r="C16" s="866"/>
      <c r="D16" s="620">
        <v>350000</v>
      </c>
      <c r="E16" s="74"/>
      <c r="F16" s="74"/>
      <c r="G16" s="74"/>
    </row>
    <row r="17" spans="1:7" s="289" customFormat="1" ht="41.25" customHeight="1" thickTop="1" thickBot="1" x14ac:dyDescent="0.25">
      <c r="A17" s="619" t="s">
        <v>1016</v>
      </c>
      <c r="B17" s="865" t="s">
        <v>1017</v>
      </c>
      <c r="C17" s="866"/>
      <c r="D17" s="620">
        <v>2000000</v>
      </c>
      <c r="E17" s="74"/>
      <c r="F17" s="74"/>
      <c r="G17" s="74"/>
    </row>
    <row r="18" spans="1:7" s="289" customFormat="1" ht="41.25" customHeight="1" thickTop="1" thickBot="1" x14ac:dyDescent="0.25">
      <c r="A18" s="619" t="s">
        <v>134</v>
      </c>
      <c r="B18" s="865" t="s">
        <v>135</v>
      </c>
      <c r="C18" s="866"/>
      <c r="D18" s="620">
        <v>600</v>
      </c>
      <c r="E18" s="74"/>
      <c r="F18" s="74"/>
      <c r="G18" s="74"/>
    </row>
    <row r="19" spans="1:7" s="289" customFormat="1" ht="41.25" customHeight="1" thickTop="1" thickBot="1" x14ac:dyDescent="0.25">
      <c r="A19" s="619" t="s">
        <v>1253</v>
      </c>
      <c r="B19" s="865" t="s">
        <v>1254</v>
      </c>
      <c r="C19" s="866"/>
      <c r="D19" s="620">
        <v>415000</v>
      </c>
      <c r="E19" s="74"/>
      <c r="F19" s="74"/>
      <c r="G19" s="74"/>
    </row>
    <row r="20" spans="1:7" s="289" customFormat="1" ht="41.25" customHeight="1" thickTop="1" thickBot="1" x14ac:dyDescent="0.25">
      <c r="A20" s="619" t="s">
        <v>1255</v>
      </c>
      <c r="B20" s="865" t="s">
        <v>1256</v>
      </c>
      <c r="C20" s="866"/>
      <c r="D20" s="620">
        <v>150000</v>
      </c>
      <c r="E20" s="863" t="s">
        <v>1302</v>
      </c>
      <c r="F20" s="864"/>
      <c r="G20" s="74"/>
    </row>
    <row r="21" spans="1:7" s="289" customFormat="1" ht="18.75" thickTop="1" thickBot="1" x14ac:dyDescent="0.25">
      <c r="A21" s="619"/>
      <c r="B21" s="875" t="s">
        <v>136</v>
      </c>
      <c r="C21" s="866"/>
      <c r="D21" s="623">
        <f>SUM(D14:D20)</f>
        <v>5215800</v>
      </c>
      <c r="E21" s="74"/>
      <c r="F21" s="74"/>
      <c r="G21" s="74"/>
    </row>
    <row r="22" spans="1:7" s="289" customFormat="1" ht="18.75" hidden="1" thickTop="1" thickBot="1" x14ac:dyDescent="0.25">
      <c r="A22" s="290"/>
      <c r="B22" s="873" t="s">
        <v>439</v>
      </c>
      <c r="C22" s="874"/>
      <c r="D22" s="472"/>
      <c r="E22" s="74"/>
      <c r="F22" s="74"/>
      <c r="G22" s="74"/>
    </row>
    <row r="23" spans="1:7" s="289" customFormat="1" ht="18.75" hidden="1" thickTop="1" thickBot="1" x14ac:dyDescent="0.25">
      <c r="A23" s="290"/>
      <c r="B23" s="873" t="s">
        <v>1251</v>
      </c>
      <c r="C23" s="874"/>
      <c r="D23" s="472">
        <v>0</v>
      </c>
      <c r="E23" s="74"/>
      <c r="F23" s="74"/>
      <c r="G23" s="74"/>
    </row>
    <row r="24" spans="1:7" s="289" customFormat="1" ht="26.45" customHeight="1" thickTop="1" thickBot="1" x14ac:dyDescent="0.25">
      <c r="A24" s="621" t="s">
        <v>381</v>
      </c>
      <c r="B24" s="876" t="s">
        <v>494</v>
      </c>
      <c r="C24" s="883"/>
      <c r="D24" s="622">
        <f>D21+D23</f>
        <v>5215800</v>
      </c>
      <c r="E24" s="629" t="b">
        <f>D24='d1'!E109+D23</f>
        <v>1</v>
      </c>
      <c r="G24" s="74"/>
    </row>
    <row r="25" spans="1:7" s="289" customFormat="1" ht="47.25" customHeight="1" thickTop="1" thickBot="1" x14ac:dyDescent="0.25">
      <c r="A25" s="616" t="s">
        <v>127</v>
      </c>
      <c r="B25" s="880" t="s">
        <v>137</v>
      </c>
      <c r="C25" s="881"/>
      <c r="D25" s="881"/>
      <c r="E25" s="74"/>
      <c r="F25" s="74"/>
      <c r="G25" s="74"/>
    </row>
    <row r="26" spans="1:7" s="289" customFormat="1" ht="43.5" customHeight="1" thickTop="1" thickBot="1" x14ac:dyDescent="0.25">
      <c r="A26" s="619" t="s">
        <v>138</v>
      </c>
      <c r="B26" s="865" t="s">
        <v>139</v>
      </c>
      <c r="C26" s="866"/>
      <c r="D26" s="620">
        <v>30000</v>
      </c>
      <c r="E26" s="74"/>
      <c r="F26" s="74"/>
      <c r="G26" s="74"/>
    </row>
    <row r="27" spans="1:7" s="289" customFormat="1" ht="44.45" customHeight="1" thickTop="1" thickBot="1" x14ac:dyDescent="0.25">
      <c r="A27" s="619" t="s">
        <v>140</v>
      </c>
      <c r="B27" s="865" t="s">
        <v>141</v>
      </c>
      <c r="C27" s="866"/>
      <c r="D27" s="620">
        <v>150600</v>
      </c>
      <c r="E27" s="74"/>
      <c r="F27" s="74"/>
      <c r="G27" s="74"/>
    </row>
    <row r="28" spans="1:7" s="289" customFormat="1" ht="44.45" hidden="1" customHeight="1" thickTop="1" thickBot="1" x14ac:dyDescent="0.25">
      <c r="A28" s="619" t="s">
        <v>470</v>
      </c>
      <c r="B28" s="865" t="s">
        <v>409</v>
      </c>
      <c r="C28" s="866"/>
      <c r="D28" s="620">
        <v>0</v>
      </c>
      <c r="E28" s="74"/>
      <c r="F28" s="74"/>
      <c r="G28" s="74"/>
    </row>
    <row r="29" spans="1:7" s="289" customFormat="1" ht="32.25" customHeight="1" thickTop="1" thickBot="1" x14ac:dyDescent="0.25">
      <c r="A29" s="619" t="s">
        <v>142</v>
      </c>
      <c r="B29" s="865" t="s">
        <v>144</v>
      </c>
      <c r="C29" s="866"/>
      <c r="D29" s="620">
        <v>330000</v>
      </c>
      <c r="E29" s="74"/>
      <c r="F29" s="74"/>
      <c r="G29" s="74"/>
    </row>
    <row r="30" spans="1:7" s="289" customFormat="1" ht="55.5" customHeight="1" thickTop="1" thickBot="1" x14ac:dyDescent="0.25">
      <c r="A30" s="619" t="s">
        <v>143</v>
      </c>
      <c r="B30" s="865" t="s">
        <v>1522</v>
      </c>
      <c r="C30" s="866"/>
      <c r="D30" s="620">
        <v>4205200</v>
      </c>
      <c r="E30" s="74"/>
      <c r="F30" s="74"/>
      <c r="G30" s="74"/>
    </row>
    <row r="31" spans="1:7" s="289" customFormat="1" ht="104.25" customHeight="1" thickTop="1" thickBot="1" x14ac:dyDescent="0.25">
      <c r="A31" s="619" t="s">
        <v>145</v>
      </c>
      <c r="B31" s="865" t="s">
        <v>1220</v>
      </c>
      <c r="C31" s="866"/>
      <c r="D31" s="620">
        <v>0</v>
      </c>
      <c r="E31" s="74"/>
      <c r="F31" s="74"/>
      <c r="G31" s="74"/>
    </row>
    <row r="32" spans="1:7" s="289" customFormat="1" ht="51" hidden="1" thickTop="1" thickBot="1" x14ac:dyDescent="0.25">
      <c r="A32" s="624" t="s">
        <v>997</v>
      </c>
      <c r="B32" s="625" t="s">
        <v>998</v>
      </c>
      <c r="C32" s="626"/>
      <c r="D32" s="627">
        <v>0</v>
      </c>
      <c r="E32" s="74"/>
      <c r="F32" s="74"/>
      <c r="G32" s="74"/>
    </row>
    <row r="33" spans="1:7" s="289" customFormat="1" ht="17.25" hidden="1" thickTop="1" thickBot="1" x14ac:dyDescent="0.25">
      <c r="A33" s="619" t="s">
        <v>471</v>
      </c>
      <c r="B33" s="865" t="s">
        <v>146</v>
      </c>
      <c r="C33" s="866"/>
      <c r="D33" s="620">
        <f>(20000)-20000</f>
        <v>0</v>
      </c>
      <c r="E33" s="74"/>
      <c r="F33" s="74"/>
      <c r="G33" s="74"/>
    </row>
    <row r="34" spans="1:7" s="289" customFormat="1" ht="17.25" hidden="1" thickTop="1" thickBot="1" x14ac:dyDescent="0.25">
      <c r="A34" s="619" t="s">
        <v>471</v>
      </c>
      <c r="B34" s="865" t="s">
        <v>146</v>
      </c>
      <c r="C34" s="866"/>
      <c r="D34" s="620"/>
      <c r="E34" s="74"/>
      <c r="F34" s="74"/>
      <c r="G34" s="74"/>
    </row>
    <row r="35" spans="1:7" s="289" customFormat="1" ht="157.5" customHeight="1" thickTop="1" thickBot="1" x14ac:dyDescent="0.25">
      <c r="A35" s="619" t="s">
        <v>472</v>
      </c>
      <c r="B35" s="878" t="s">
        <v>1257</v>
      </c>
      <c r="C35" s="699"/>
      <c r="D35" s="628">
        <v>500000</v>
      </c>
      <c r="E35" s="74"/>
      <c r="F35" s="74"/>
      <c r="G35" s="74"/>
    </row>
    <row r="36" spans="1:7" s="289" customFormat="1" ht="27.75" customHeight="1" thickTop="1" thickBot="1" x14ac:dyDescent="0.25">
      <c r="A36" s="621" t="s">
        <v>381</v>
      </c>
      <c r="B36" s="876" t="s">
        <v>494</v>
      </c>
      <c r="C36" s="877"/>
      <c r="D36" s="622">
        <f>SUM(D26:D35)</f>
        <v>5215800</v>
      </c>
      <c r="E36" s="629" t="b">
        <f>D24=D36</f>
        <v>1</v>
      </c>
      <c r="F36" s="629" t="b">
        <f>D36='d3'!J30+'d3'!J190+'d3'!J270+'d3'!J301+'d3'!J334</f>
        <v>1</v>
      </c>
      <c r="G36" s="629" t="b">
        <f>D36='d7'!G271+'d7'!G234+'d7'!G167+'d7'!G33+'d7'!G296</f>
        <v>1</v>
      </c>
    </row>
    <row r="37" spans="1:7" s="295" customFormat="1" ht="27.75" customHeight="1" thickTop="1" x14ac:dyDescent="0.2">
      <c r="A37" s="291"/>
      <c r="B37" s="292"/>
      <c r="C37" s="293"/>
      <c r="D37" s="294"/>
      <c r="E37" s="10"/>
      <c r="F37" s="10"/>
    </row>
    <row r="38" spans="1:7" ht="15.75" x14ac:dyDescent="0.25">
      <c r="B38" s="838" t="s">
        <v>1515</v>
      </c>
      <c r="C38" s="839"/>
      <c r="D38" s="372" t="s">
        <v>1516</v>
      </c>
      <c r="E38" s="1"/>
      <c r="F38" s="372"/>
    </row>
    <row r="39" spans="1:7" ht="15.75" hidden="1" x14ac:dyDescent="0.25">
      <c r="B39" s="344" t="s">
        <v>1479</v>
      </c>
      <c r="C39" s="345"/>
      <c r="D39" s="344" t="s">
        <v>1480</v>
      </c>
      <c r="E39" s="1"/>
      <c r="F39" s="372"/>
    </row>
    <row r="40" spans="1:7" ht="15" x14ac:dyDescent="0.25">
      <c r="B40" s="344"/>
      <c r="C40" s="344"/>
      <c r="D40" s="344"/>
      <c r="E40" s="11"/>
    </row>
    <row r="41" spans="1:7" ht="22.5" customHeight="1" x14ac:dyDescent="0.65">
      <c r="A41" s="296" t="s">
        <v>526</v>
      </c>
      <c r="B41" s="838" t="s">
        <v>524</v>
      </c>
      <c r="C41" s="839"/>
      <c r="D41" s="344" t="s">
        <v>1374</v>
      </c>
      <c r="E41" s="3"/>
    </row>
    <row r="42" spans="1:7" ht="18.75" x14ac:dyDescent="0.2">
      <c r="A42" s="296"/>
      <c r="B42" s="296"/>
      <c r="C42" s="296"/>
    </row>
    <row r="43" spans="1:7" ht="18.75" x14ac:dyDescent="0.2">
      <c r="A43" s="872"/>
      <c r="B43" s="872"/>
      <c r="C43" s="297"/>
    </row>
    <row r="49" spans="1:4" ht="16.5" x14ac:dyDescent="0.2">
      <c r="A49" s="871"/>
      <c r="B49" s="298"/>
      <c r="C49" s="299"/>
      <c r="D49" s="300"/>
    </row>
    <row r="50" spans="1:4" ht="16.5" x14ac:dyDescent="0.2">
      <c r="A50" s="871"/>
      <c r="B50" s="301"/>
      <c r="C50" s="299"/>
      <c r="D50" s="300"/>
    </row>
    <row r="51" spans="1:4" ht="16.5" x14ac:dyDescent="0.2">
      <c r="A51" s="871"/>
      <c r="B51" s="302"/>
      <c r="C51" s="299"/>
      <c r="D51" s="300"/>
    </row>
    <row r="52" spans="1:4" ht="16.5" x14ac:dyDescent="0.2">
      <c r="A52" s="871"/>
      <c r="B52" s="298"/>
      <c r="C52" s="299"/>
      <c r="D52" s="300"/>
    </row>
    <row r="53" spans="1:4" ht="16.5" x14ac:dyDescent="0.2">
      <c r="A53" s="871"/>
      <c r="B53" s="298"/>
      <c r="C53" s="299"/>
      <c r="D53" s="300"/>
    </row>
    <row r="84" spans="6:6" x14ac:dyDescent="0.2">
      <c r="F84" s="870"/>
    </row>
    <row r="85" spans="6:6" x14ac:dyDescent="0.2">
      <c r="F85" s="787"/>
    </row>
    <row r="121" spans="4:6" x14ac:dyDescent="0.2">
      <c r="D121" s="99">
        <f>SUM(D122:D134)+D141</f>
        <v>88281</v>
      </c>
      <c r="F121" s="99">
        <f>G121+H121</f>
        <v>0</v>
      </c>
    </row>
    <row r="123" spans="4:6" x14ac:dyDescent="0.2">
      <c r="F123" s="99">
        <f t="shared" ref="F123:F133" si="0">G123+H123</f>
        <v>0</v>
      </c>
    </row>
    <row r="124" spans="4:6" x14ac:dyDescent="0.2">
      <c r="F124" s="99">
        <f t="shared" si="0"/>
        <v>0</v>
      </c>
    </row>
    <row r="125" spans="4:6" x14ac:dyDescent="0.2">
      <c r="F125" s="99">
        <f t="shared" si="0"/>
        <v>0</v>
      </c>
    </row>
    <row r="126" spans="4:6" x14ac:dyDescent="0.2">
      <c r="F126" s="99">
        <f t="shared" si="0"/>
        <v>0</v>
      </c>
    </row>
    <row r="127" spans="4:6" x14ac:dyDescent="0.2">
      <c r="F127" s="99">
        <f t="shared" si="0"/>
        <v>0</v>
      </c>
    </row>
    <row r="128" spans="4:6" x14ac:dyDescent="0.2">
      <c r="F128" s="99">
        <f t="shared" si="0"/>
        <v>0</v>
      </c>
    </row>
    <row r="129" spans="1:10" x14ac:dyDescent="0.2">
      <c r="F129" s="99">
        <f t="shared" si="0"/>
        <v>0</v>
      </c>
    </row>
    <row r="130" spans="1:10" x14ac:dyDescent="0.2">
      <c r="F130" s="99">
        <f t="shared" si="0"/>
        <v>0</v>
      </c>
    </row>
    <row r="131" spans="1:10" x14ac:dyDescent="0.2">
      <c r="F131" s="99">
        <f t="shared" si="0"/>
        <v>0</v>
      </c>
    </row>
    <row r="132" spans="1:10" x14ac:dyDescent="0.2">
      <c r="F132" s="99">
        <f t="shared" si="0"/>
        <v>0</v>
      </c>
    </row>
    <row r="133" spans="1:10" x14ac:dyDescent="0.2">
      <c r="F133" s="99">
        <f t="shared" si="0"/>
        <v>0</v>
      </c>
    </row>
    <row r="135" spans="1:10" x14ac:dyDescent="0.2">
      <c r="F135" s="99">
        <f>G136+H136</f>
        <v>0</v>
      </c>
    </row>
    <row r="136" spans="1:10" x14ac:dyDescent="0.2">
      <c r="F136" s="99">
        <f t="shared" ref="F136" si="1">G136+H136</f>
        <v>0</v>
      </c>
    </row>
    <row r="137" spans="1:10" x14ac:dyDescent="0.2">
      <c r="F137" s="99">
        <f>G137+H137</f>
        <v>0</v>
      </c>
    </row>
    <row r="138" spans="1:10" x14ac:dyDescent="0.2">
      <c r="F138" s="99">
        <f>G138+H138</f>
        <v>0</v>
      </c>
    </row>
    <row r="139" spans="1:10" x14ac:dyDescent="0.2">
      <c r="F139" s="99">
        <f>G139+H139</f>
        <v>0</v>
      </c>
    </row>
    <row r="140" spans="1:10" x14ac:dyDescent="0.2">
      <c r="F140" s="99">
        <f>G140+H140</f>
        <v>0</v>
      </c>
    </row>
    <row r="141" spans="1:10" x14ac:dyDescent="0.2">
      <c r="A141" s="99">
        <v>41057700</v>
      </c>
      <c r="B141" s="99" t="s">
        <v>1406</v>
      </c>
      <c r="D141" s="99">
        <v>88281</v>
      </c>
    </row>
    <row r="142" spans="1:10" x14ac:dyDescent="0.2">
      <c r="G142" s="99" t="b">
        <f>C142=C138+C137+C136+C116+C110+C104+C98+C97+C93+C92+C91+C90+C87+C86+C85+C84+C82+C81+C79+C77+C76+C75+C72+C71+C70+C68+C67+C63+C62+C61+C58+C57+C56+C54+C53+C49+C48+C47+C46+C45+C44+C43+C42+C41+C40+C35+C33+C30+C28+C26+C23+C21+C20+C19+C18+C102+C101+C36+C51+C127+C126+C108+C141</f>
        <v>1</v>
      </c>
      <c r="H142" s="99" t="e">
        <f>D142=D138+D137+D136+D116+D110+D104+D98+D97+D93+D92+D91+D90+D87+D86+D85+D84+D82+D81+D79+D77+D76+D75+D72+D71+D70+D68+D67+D63+D62+D61+D58+D57+D56+D54+D53+D49+D48+D47+D46+D45+D44+D43+D42+D41+D40+D35+D33+D30+D28+D26+D23+D21+D20+D19+D18+D102+D101+D36+D51+D127+D126+D108+D141</f>
        <v>#VALUE!</v>
      </c>
      <c r="I142" s="99" t="e">
        <f>E142=E138+E137+E136+E116+E110+E104+E98+E97+E93+E92+E91+E90+E87+E86+E85+E84+E82+E81+E79+E77+E76+E75+E72+E71+E70+E68+E67+E63+E62+E61+E58+E57+E56+E54+E53+E49+E48+E47+E46+E45+E44+E43+E42+E41+E40+E35+E33+E30+E28+E26+E23+E21+E20+E19+E18+E102+E101+E36+E51+E127+E126+E108+E141</f>
        <v>#VALUE!</v>
      </c>
      <c r="J142" s="99" t="b">
        <f>F142=F138+F137+F136+F116+F110+F104+F98+F97+F93+F92+F91+F90+F87+F86+F85+F84+F82+F81+F79+F77+F76+F75+F72+F71+F70+F68+F67+F63+F62+F61+F58+F57+F56+F54+F53+F49+F48+F47+F46+F45+F44+F43+F42+F41+F40+F35+F33+F30+F28+F26+F23+F21+F20+F19+F18+F102+F101+F36+F51+F127+F126+F108+F141</f>
        <v>0</v>
      </c>
    </row>
    <row r="143" spans="1:10" x14ac:dyDescent="0.2">
      <c r="G143" s="99" t="b">
        <f>(3453807039-'d2'!C37+7423154+961639+622418100+3715400+4544686)+16400+4309689+6350319+16579700+88281=C142</f>
        <v>0</v>
      </c>
    </row>
    <row r="146" spans="6:9" ht="46.5" x14ac:dyDescent="0.2">
      <c r="I146" s="12"/>
    </row>
    <row r="149" spans="6:9" ht="46.5" x14ac:dyDescent="0.2">
      <c r="F149" s="12">
        <f>G149+H149</f>
        <v>0</v>
      </c>
      <c r="I149" s="12"/>
    </row>
    <row r="168" spans="10:10" ht="90" x14ac:dyDescent="0.2">
      <c r="J168" s="303" t="b">
        <f>F168=G168+H168</f>
        <v>1</v>
      </c>
    </row>
  </sheetData>
  <mergeCells count="40">
    <mergeCell ref="C1:D1"/>
    <mergeCell ref="C3:D3"/>
    <mergeCell ref="C4:D4"/>
    <mergeCell ref="B29:C29"/>
    <mergeCell ref="B28:C28"/>
    <mergeCell ref="B27:C27"/>
    <mergeCell ref="B26:C26"/>
    <mergeCell ref="B25:D25"/>
    <mergeCell ref="B13:D13"/>
    <mergeCell ref="B24:C24"/>
    <mergeCell ref="C2:F2"/>
    <mergeCell ref="E5:I5"/>
    <mergeCell ref="E7:I7"/>
    <mergeCell ref="E8:I8"/>
    <mergeCell ref="B18:C18"/>
    <mergeCell ref="A8:D8"/>
    <mergeCell ref="F84:F85"/>
    <mergeCell ref="A49:A53"/>
    <mergeCell ref="A43:B43"/>
    <mergeCell ref="B22:C22"/>
    <mergeCell ref="B21:C21"/>
    <mergeCell ref="B36:C36"/>
    <mergeCell ref="B35:C35"/>
    <mergeCell ref="B33:C33"/>
    <mergeCell ref="B31:C31"/>
    <mergeCell ref="B30:C30"/>
    <mergeCell ref="B23:C23"/>
    <mergeCell ref="B41:C41"/>
    <mergeCell ref="B38:C38"/>
    <mergeCell ref="B16:C16"/>
    <mergeCell ref="B15:C15"/>
    <mergeCell ref="B14:C14"/>
    <mergeCell ref="A5:D5"/>
    <mergeCell ref="A7:D7"/>
    <mergeCell ref="A6:D6"/>
    <mergeCell ref="E20:F20"/>
    <mergeCell ref="B17:C17"/>
    <mergeCell ref="B19:C19"/>
    <mergeCell ref="B20:C20"/>
    <mergeCell ref="B34:C34"/>
  </mergeCells>
  <pageMargins left="0.23622047244094491" right="0.31496062992125984" top="0.27559055118110237" bottom="0" header="0.23622047244094491" footer="0.19685039370078741"/>
  <pageSetup paperSize="9" scale="6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59"/>
  <sheetViews>
    <sheetView tabSelected="1" view="pageBreakPreview" topLeftCell="A4" zoomScale="70" zoomScaleNormal="85" zoomScaleSheetLayoutView="70" workbookViewId="0">
      <selection activeCell="G34" sqref="G34"/>
    </sheetView>
  </sheetViews>
  <sheetFormatPr defaultColWidth="9.140625" defaultRowHeight="12.75" x14ac:dyDescent="0.2"/>
  <cols>
    <col min="1" max="1" width="6.85546875" style="13" customWidth="1"/>
    <col min="2" max="2" width="15.140625" style="13" customWidth="1"/>
    <col min="3" max="3" width="15.28515625" style="13" customWidth="1"/>
    <col min="4" max="4" width="10.85546875" style="13" customWidth="1"/>
    <col min="5" max="5" width="62" style="13" customWidth="1"/>
    <col min="6" max="6" width="17.5703125" style="13" customWidth="1"/>
    <col min="7" max="10" width="15.7109375" style="13" bestFit="1" customWidth="1"/>
    <col min="11" max="11" width="52.5703125" style="13" customWidth="1"/>
    <col min="12" max="16384" width="9.140625" style="13"/>
  </cols>
  <sheetData>
    <row r="1" spans="1:10" x14ac:dyDescent="0.2">
      <c r="A1" s="514"/>
      <c r="B1" s="514"/>
      <c r="C1" s="514"/>
      <c r="D1" s="514"/>
      <c r="E1" s="514"/>
      <c r="F1" s="514" t="s">
        <v>594</v>
      </c>
      <c r="G1"/>
      <c r="H1"/>
      <c r="I1"/>
    </row>
    <row r="2" spans="1:10" x14ac:dyDescent="0.2">
      <c r="A2" s="514"/>
      <c r="B2" s="514"/>
      <c r="C2" s="514"/>
      <c r="D2" s="514"/>
      <c r="E2" s="514"/>
      <c r="F2" s="514" t="s">
        <v>967</v>
      </c>
      <c r="G2"/>
      <c r="H2"/>
      <c r="I2"/>
    </row>
    <row r="3" spans="1:10" x14ac:dyDescent="0.2">
      <c r="A3" s="514"/>
      <c r="B3" s="514"/>
      <c r="C3" s="514"/>
      <c r="D3" s="514"/>
      <c r="E3" s="514"/>
      <c r="F3" s="892" t="s">
        <v>1321</v>
      </c>
      <c r="G3" s="810"/>
      <c r="H3" s="810"/>
      <c r="I3" s="810"/>
    </row>
    <row r="4" spans="1:10" ht="15.75" x14ac:dyDescent="0.25">
      <c r="A4" s="893" t="s">
        <v>571</v>
      </c>
      <c r="B4" s="712"/>
      <c r="C4" s="712"/>
      <c r="D4" s="712"/>
      <c r="E4" s="712"/>
      <c r="F4" s="712"/>
      <c r="G4"/>
      <c r="H4"/>
      <c r="I4"/>
    </row>
    <row r="5" spans="1:10" ht="15.75" x14ac:dyDescent="0.25">
      <c r="A5" s="893" t="s">
        <v>570</v>
      </c>
      <c r="B5" s="712"/>
      <c r="C5" s="712"/>
      <c r="D5" s="712"/>
      <c r="E5" s="712"/>
      <c r="F5" s="712"/>
      <c r="G5"/>
      <c r="H5"/>
      <c r="I5"/>
    </row>
    <row r="6" spans="1:10" ht="15.75" x14ac:dyDescent="0.25">
      <c r="A6" s="893" t="s">
        <v>899</v>
      </c>
      <c r="B6" s="712"/>
      <c r="C6" s="712"/>
      <c r="D6" s="712"/>
      <c r="E6" s="712"/>
      <c r="F6" s="712"/>
      <c r="G6"/>
      <c r="H6"/>
      <c r="I6"/>
    </row>
    <row r="7" spans="1:10" ht="15.75" x14ac:dyDescent="0.25">
      <c r="A7"/>
      <c r="B7"/>
      <c r="C7" s="893" t="s">
        <v>1554</v>
      </c>
      <c r="D7" s="712"/>
      <c r="E7" s="712"/>
      <c r="F7"/>
      <c r="G7"/>
      <c r="H7"/>
      <c r="I7"/>
    </row>
    <row r="8" spans="1:10" ht="12.75" customHeight="1" x14ac:dyDescent="0.25">
      <c r="A8" s="515"/>
      <c r="B8" s="515"/>
      <c r="C8" s="515"/>
      <c r="D8" s="515"/>
      <c r="E8" s="515"/>
      <c r="F8" s="515"/>
      <c r="G8" s="515"/>
      <c r="H8" s="515"/>
      <c r="I8" s="515"/>
      <c r="J8" s="304"/>
    </row>
    <row r="9" spans="1:10" x14ac:dyDescent="0.2">
      <c r="A9" s="782">
        <v>2256400000</v>
      </c>
      <c r="B9" s="712"/>
      <c r="C9" s="494"/>
      <c r="D9" s="494"/>
      <c r="E9" s="494"/>
      <c r="F9" s="494"/>
      <c r="G9"/>
      <c r="H9"/>
      <c r="I9"/>
    </row>
    <row r="10" spans="1:10" x14ac:dyDescent="0.2">
      <c r="A10" s="784" t="s">
        <v>490</v>
      </c>
      <c r="B10" s="890"/>
      <c r="C10" s="494"/>
      <c r="D10" s="494"/>
      <c r="E10" s="494"/>
      <c r="F10" s="494"/>
      <c r="G10"/>
      <c r="H10"/>
      <c r="I10"/>
    </row>
    <row r="11" spans="1:10" ht="13.5" thickBot="1" x14ac:dyDescent="0.25">
      <c r="A11" s="482"/>
      <c r="B11" s="482"/>
      <c r="C11" s="494"/>
      <c r="D11" s="494"/>
      <c r="E11" s="494"/>
      <c r="F11" s="494"/>
      <c r="G11"/>
      <c r="H11"/>
      <c r="I11"/>
    </row>
    <row r="12" spans="1:10" ht="48" customHeight="1" thickTop="1" thickBot="1" x14ac:dyDescent="0.25">
      <c r="A12" s="519" t="s">
        <v>316</v>
      </c>
      <c r="B12" s="520" t="s">
        <v>317</v>
      </c>
      <c r="C12" s="520" t="s">
        <v>20</v>
      </c>
      <c r="D12" s="520" t="s">
        <v>16</v>
      </c>
      <c r="E12" s="519" t="s">
        <v>318</v>
      </c>
      <c r="F12" s="521" t="s">
        <v>405</v>
      </c>
      <c r="G12" s="20"/>
    </row>
    <row r="13" spans="1:10" ht="17.25" thickTop="1" thickBot="1" x14ac:dyDescent="0.25">
      <c r="A13" s="522">
        <v>1</v>
      </c>
      <c r="B13" s="523" t="s">
        <v>1135</v>
      </c>
      <c r="C13" s="523" t="s">
        <v>1136</v>
      </c>
      <c r="D13" s="523" t="s">
        <v>51</v>
      </c>
      <c r="E13" s="524" t="s">
        <v>1555</v>
      </c>
      <c r="F13" s="516">
        <v>80000</v>
      </c>
      <c r="G13" s="20"/>
    </row>
    <row r="14" spans="1:10" ht="64.5" thickTop="1" thickBot="1" x14ac:dyDescent="0.25">
      <c r="A14" s="522">
        <v>2</v>
      </c>
      <c r="B14" s="523" t="s">
        <v>1135</v>
      </c>
      <c r="C14" s="523" t="s">
        <v>1136</v>
      </c>
      <c r="D14" s="523" t="s">
        <v>51</v>
      </c>
      <c r="E14" s="524" t="s">
        <v>1556</v>
      </c>
      <c r="F14" s="516">
        <v>120000</v>
      </c>
      <c r="G14" s="20"/>
    </row>
    <row r="15" spans="1:10" ht="48.75" thickTop="1" thickBot="1" x14ac:dyDescent="0.25">
      <c r="A15" s="522">
        <v>3</v>
      </c>
      <c r="B15" s="523" t="s">
        <v>1135</v>
      </c>
      <c r="C15" s="523" t="s">
        <v>1136</v>
      </c>
      <c r="D15" s="523" t="s">
        <v>51</v>
      </c>
      <c r="E15" s="524" t="s">
        <v>1557</v>
      </c>
      <c r="F15" s="517">
        <v>100000</v>
      </c>
      <c r="G15" s="20"/>
    </row>
    <row r="16" spans="1:10" ht="33" thickTop="1" thickBot="1" x14ac:dyDescent="0.25">
      <c r="A16" s="522">
        <v>4</v>
      </c>
      <c r="B16" s="523" t="s">
        <v>1135</v>
      </c>
      <c r="C16" s="523" t="s">
        <v>1136</v>
      </c>
      <c r="D16" s="523" t="s">
        <v>51</v>
      </c>
      <c r="E16" s="524" t="s">
        <v>1558</v>
      </c>
      <c r="F16" s="517">
        <v>600000</v>
      </c>
      <c r="G16" s="20"/>
    </row>
    <row r="17" spans="1:7" ht="17.25" thickTop="1" thickBot="1" x14ac:dyDescent="0.25">
      <c r="A17" s="522">
        <v>5</v>
      </c>
      <c r="B17" s="523" t="s">
        <v>1135</v>
      </c>
      <c r="C17" s="523" t="s">
        <v>1136</v>
      </c>
      <c r="D17" s="523" t="s">
        <v>51</v>
      </c>
      <c r="E17" s="524" t="s">
        <v>1559</v>
      </c>
      <c r="F17" s="518">
        <v>300000</v>
      </c>
      <c r="G17" s="20"/>
    </row>
    <row r="18" spans="1:7" ht="32.25" customHeight="1" thickTop="1" thickBot="1" x14ac:dyDescent="0.25">
      <c r="A18" s="525" t="s">
        <v>381</v>
      </c>
      <c r="B18" s="525" t="s">
        <v>381</v>
      </c>
      <c r="C18" s="525" t="s">
        <v>381</v>
      </c>
      <c r="D18" s="525" t="s">
        <v>381</v>
      </c>
      <c r="E18" s="525" t="s">
        <v>391</v>
      </c>
      <c r="F18" s="526">
        <f>SUM(F13:F17)</f>
        <v>1200000</v>
      </c>
      <c r="G18" s="534" t="b">
        <f>F18='d3'!P391</f>
        <v>1</v>
      </c>
    </row>
    <row r="19" spans="1:7" ht="15" customHeight="1" thickTop="1" x14ac:dyDescent="0.2">
      <c r="A19" s="527"/>
      <c r="B19" s="527"/>
      <c r="C19" s="527"/>
      <c r="D19" s="527"/>
      <c r="E19" s="527"/>
      <c r="F19" s="528"/>
    </row>
    <row r="20" spans="1:7" ht="15.75" hidden="1" customHeight="1" x14ac:dyDescent="0.25">
      <c r="A20" s="484"/>
      <c r="B20" s="1"/>
      <c r="C20" s="529"/>
      <c r="D20" s="1"/>
      <c r="E20" s="1"/>
      <c r="F20" s="1"/>
    </row>
    <row r="21" spans="1:7" ht="27" hidden="1" customHeight="1" x14ac:dyDescent="0.2">
      <c r="A21" s="891" t="s">
        <v>524</v>
      </c>
      <c r="B21" s="891"/>
      <c r="C21" s="891"/>
      <c r="D21" s="891"/>
      <c r="E21" s="484"/>
      <c r="F21" s="531" t="s">
        <v>525</v>
      </c>
    </row>
    <row r="22" spans="1:7" ht="15.75" hidden="1" x14ac:dyDescent="0.2">
      <c r="A22" s="530"/>
      <c r="B22" s="530"/>
      <c r="C22" s="530"/>
      <c r="D22" s="530"/>
      <c r="E22" s="484"/>
      <c r="F22" s="532"/>
    </row>
    <row r="23" spans="1:7" ht="15.75" x14ac:dyDescent="0.25">
      <c r="A23" s="484"/>
      <c r="B23" s="794" t="s">
        <v>1515</v>
      </c>
      <c r="C23" s="839"/>
      <c r="D23" s="346"/>
      <c r="E23" s="1"/>
      <c r="F23" s="346" t="s">
        <v>1516</v>
      </c>
    </row>
    <row r="24" spans="1:7" ht="15.75" hidden="1" x14ac:dyDescent="0.25">
      <c r="A24" s="484"/>
      <c r="B24" s="344" t="s">
        <v>1517</v>
      </c>
      <c r="C24" s="352"/>
      <c r="D24" s="344"/>
      <c r="E24" s="344"/>
      <c r="F24" s="344" t="s">
        <v>1480</v>
      </c>
    </row>
    <row r="25" spans="1:7" ht="15.75" x14ac:dyDescent="0.25">
      <c r="A25" s="530"/>
      <c r="B25" s="344"/>
      <c r="C25" s="344"/>
      <c r="D25" s="344"/>
      <c r="E25" s="344"/>
      <c r="F25" s="344"/>
    </row>
    <row r="26" spans="1:7" ht="15.75" x14ac:dyDescent="0.25">
      <c r="A26" s="530"/>
      <c r="B26" s="794" t="s">
        <v>524</v>
      </c>
      <c r="C26" s="839"/>
      <c r="D26" s="344"/>
      <c r="E26" s="344"/>
      <c r="F26" s="344" t="s">
        <v>1374</v>
      </c>
    </row>
    <row r="75" spans="7:7" x14ac:dyDescent="0.2">
      <c r="G75" s="787"/>
    </row>
    <row r="76" spans="7:7" x14ac:dyDescent="0.2">
      <c r="G76" s="787"/>
    </row>
    <row r="110" spans="4:4" x14ac:dyDescent="0.2">
      <c r="D110" s="13">
        <f>SUM(D111:D123)+D130</f>
        <v>88281</v>
      </c>
    </row>
    <row r="130" spans="1:10" x14ac:dyDescent="0.2">
      <c r="A130" s="13">
        <v>41057700</v>
      </c>
      <c r="B130" s="13" t="s">
        <v>1406</v>
      </c>
      <c r="D130" s="13">
        <v>88281</v>
      </c>
    </row>
    <row r="131" spans="1:10" x14ac:dyDescent="0.2">
      <c r="G131" s="13" t="e">
        <f>C131=C127+C126+C125+C105+C99+C93+C87+C86+C82+C81+C80+C79+C76+C75+C74+C73+C71+C70+C68+C66+C65+C64+C61+C60+C59+C57+C56+C52+C51+C50+C47+C46+C45+C43+C42+C38+C37+C36+C35+C34+C33+C32+C31+C30+C29+C25+C22+C19+#REF!+#REF!+#REF!+#REF!+#REF!+#REF!+C17+C91+C90+C26+C40+C116+C115+C97+C130</f>
        <v>#REF!</v>
      </c>
      <c r="H131" s="13" t="e">
        <f>D131=D127+D126+D125+D105+D99+D93+D87+D86+D82+D81+D80+D79+D76+D75+D74+D73+D71+D70+D68+D66+D65+D64+D61+D60+D59+D57+D56+D52+D51+D50+D47+D46+D45+D43+D42+D38+D37+D36+D35+D34+D33+D32+D31+D30+D29+D25+D22+D19+#REF!+#REF!+#REF!+#REF!+#REF!+#REF!+D17+D91+D90+D26+D40+D116+D115+D97+D130</f>
        <v>#REF!</v>
      </c>
      <c r="I131" s="13" t="e">
        <f>E131=E127+E126+E125+E105+E99+E93+E87+E86+E82+E81+E80+E79+E76+E75+E74+E73+E71+E70+E68+E66+E65+E64+E61+E60+E59+E57+E56+E52+E51+E50+E47+E46+E45+E43+E42+E38+E37+E36+E35+E34+E33+E32+E31+E30+E29+E25+E22+E19+#REF!+#REF!+#REF!+#REF!+#REF!+#REF!+E17+E91+E90+E26+E40+E116+E115+E97+E130</f>
        <v>#REF!</v>
      </c>
      <c r="J131" s="13" t="e">
        <f>F131=F127+F126+F125+F105+F99+F93+F87+F86+F82+F81+F80+F79+F76+F75+F74+F73+F71+F70+F68+F66+F65+F64+F61+F60+F59+F57+F56+F52+F51+F50+F47+F46+F45+F43+F42+F38+F37+F36+F35+F34+F33+F32+F31+F30+F29+F25+F22+F19+#REF!+#REF!+#REF!+#REF!+#REF!+#REF!+F17+F91+F90+F26+F40+F116+F115+F97+F130</f>
        <v>#REF!</v>
      </c>
    </row>
    <row r="132" spans="1:10" x14ac:dyDescent="0.2">
      <c r="G132" s="13" t="b">
        <f>(3453807039-'d2'!C37+7423154+961639+622418100+3715400+4544686)+16400+4309689+6350319+16579700+88281=C131</f>
        <v>0</v>
      </c>
    </row>
    <row r="137" spans="1:10" ht="46.5" x14ac:dyDescent="0.65">
      <c r="J137" s="9"/>
    </row>
    <row r="140" spans="1:10" ht="46.5" x14ac:dyDescent="0.65">
      <c r="G140" s="9"/>
      <c r="J140" s="9"/>
    </row>
    <row r="159" spans="11:11" ht="90" x14ac:dyDescent="1.1499999999999999">
      <c r="K159" s="305" t="b">
        <f>G159=H159+I159</f>
        <v>1</v>
      </c>
    </row>
  </sheetData>
  <mergeCells count="11">
    <mergeCell ref="A10:B10"/>
    <mergeCell ref="A21:D21"/>
    <mergeCell ref="G75:G76"/>
    <mergeCell ref="F3:I3"/>
    <mergeCell ref="A4:F4"/>
    <mergeCell ref="A5:F5"/>
    <mergeCell ref="A6:F6"/>
    <mergeCell ref="C7:E7"/>
    <mergeCell ref="A9:B9"/>
    <mergeCell ref="B26:C26"/>
    <mergeCell ref="B23:C23"/>
  </mergeCells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9</vt:i4>
      </vt:variant>
      <vt:variant>
        <vt:lpstr>Іменовані діапазони</vt:lpstr>
      </vt:variant>
      <vt:variant>
        <vt:i4>12</vt:i4>
      </vt:variant>
    </vt:vector>
  </HeadingPairs>
  <TitlesOfParts>
    <vt:vector size="21" baseType="lpstr">
      <vt:lpstr>d1</vt:lpstr>
      <vt:lpstr>d2</vt:lpstr>
      <vt:lpstr>d3</vt:lpstr>
      <vt:lpstr>d4</vt:lpstr>
      <vt:lpstr>d5</vt:lpstr>
      <vt:lpstr>d6</vt:lpstr>
      <vt:lpstr>d7</vt:lpstr>
      <vt:lpstr>d8</vt:lpstr>
      <vt:lpstr>d9</vt:lpstr>
      <vt:lpstr>'d3'!Заголовки_для_друку</vt:lpstr>
      <vt:lpstr>'d6'!Заголовки_для_друку</vt:lpstr>
      <vt:lpstr>'d7'!Заголовки_для_друку</vt:lpstr>
      <vt:lpstr>'d1'!Область_друку</vt:lpstr>
      <vt:lpstr>'d2'!Область_друку</vt:lpstr>
      <vt:lpstr>'d3'!Область_друку</vt:lpstr>
      <vt:lpstr>'d4'!Область_друку</vt:lpstr>
      <vt:lpstr>'d5'!Область_друку</vt:lpstr>
      <vt:lpstr>'d6'!Область_друку</vt:lpstr>
      <vt:lpstr>'d7'!Область_друку</vt:lpstr>
      <vt:lpstr>'d8'!Область_друку</vt:lpstr>
      <vt:lpstr>'d9'!Область_друку</vt:lpstr>
    </vt:vector>
  </TitlesOfParts>
  <Company>Міське фінуправління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Власюк Олена</dc:creator>
  <cp:lastModifiedBy>Ковтун Денис Леонідович</cp:lastModifiedBy>
  <cp:lastPrinted>2023-12-19T14:22:42Z</cp:lastPrinted>
  <dcterms:created xsi:type="dcterms:W3CDTF">2001-12-03T09:30:42Z</dcterms:created>
  <dcterms:modified xsi:type="dcterms:W3CDTF">2023-12-20T08:46:57Z</dcterms:modified>
</cp:coreProperties>
</file>