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ЦяКнига"/>
  <mc:AlternateContent xmlns:mc="http://schemas.openxmlformats.org/markup-compatibility/2006">
    <mc:Choice Requires="x15">
      <x15ac:absPath xmlns:x15ac="http://schemas.microsoft.com/office/spreadsheetml/2010/11/ac" url="\\docs\documents\Zagaln vidd\ВИКОНКОМ 2024\16.05.2024\"/>
    </mc:Choice>
  </mc:AlternateContent>
  <bookViews>
    <workbookView xWindow="-28920" yWindow="-120" windowWidth="29040" windowHeight="15720" tabRatio="583" firstSheet="1" activeTab="11"/>
  </bookViews>
  <sheets>
    <sheet name="d1" sheetId="188" r:id="rId1"/>
    <sheet name="d2" sheetId="172" r:id="rId2"/>
    <sheet name="d3" sheetId="165" r:id="rId3"/>
    <sheet name="d4" sheetId="107" r:id="rId4"/>
    <sheet name="d5" sheetId="170" r:id="rId5"/>
    <sheet name="d6" sheetId="184" r:id="rId6"/>
    <sheet name="d7" sheetId="167" r:id="rId7"/>
    <sheet name="d8" sheetId="108" r:id="rId8"/>
    <sheet name="d9" sheetId="197" r:id="rId9"/>
    <sheet name="d1П" sheetId="202" r:id="rId10"/>
    <sheet name="d1РП" sheetId="210" r:id="rId11"/>
    <sheet name="d1М" sheetId="205" r:id="rId12"/>
    <sheet name="d1РМ" sheetId="209" r:id="rId13"/>
    <sheet name="d3П" sheetId="203" r:id="rId14"/>
    <sheet name="d3РП" sheetId="207" r:id="rId15"/>
    <sheet name="d3М" sheetId="204" r:id="rId16"/>
    <sheet name="d3РМ" sheetId="206" r:id="rId17"/>
    <sheet name="d3РМ-П" sheetId="208" r:id="rId18"/>
  </sheets>
  <definedNames>
    <definedName name="_GoBack" localSheetId="5">'d6'!#REF!</definedName>
    <definedName name="_xlnm.Print_Titles" localSheetId="2">'d3'!$11:$14</definedName>
    <definedName name="_xlnm.Print_Titles" localSheetId="15">d3М!$11:$14</definedName>
    <definedName name="_xlnm.Print_Titles" localSheetId="13">d3П!$11:$14</definedName>
    <definedName name="_xlnm.Print_Titles" localSheetId="16">d3РМ!$11:$14</definedName>
    <definedName name="_xlnm.Print_Titles" localSheetId="17">'d3РМ-П'!$11:$14</definedName>
    <definedName name="_xlnm.Print_Titles" localSheetId="14">d3РП!$11:$14</definedName>
    <definedName name="_xlnm.Print_Titles" localSheetId="5">'d6'!$9:$10</definedName>
    <definedName name="_xlnm.Print_Titles" localSheetId="6">'d7'!$12:$14</definedName>
    <definedName name="_xlnm.Print_Area" localSheetId="0">'d1'!$A$1:$F$155</definedName>
    <definedName name="_xlnm.Print_Area" localSheetId="11">d1М!$A$1:$F$155</definedName>
    <definedName name="_xlnm.Print_Area" localSheetId="9">d1П!$A$1:$F$154</definedName>
    <definedName name="_xlnm.Print_Area" localSheetId="12">d1РМ!$A$1:$F$150</definedName>
    <definedName name="_xlnm.Print_Area" localSheetId="10">d1РП!$A$1:$F$155</definedName>
    <definedName name="_xlnm.Print_Area" localSheetId="1">'d2'!$A$1:$F$64</definedName>
    <definedName name="_xlnm.Print_Area" localSheetId="2">'d3'!$A$1:$P$435</definedName>
    <definedName name="_xlnm.Print_Area" localSheetId="15">d3М!$A$1:$P$429</definedName>
    <definedName name="_xlnm.Print_Area" localSheetId="13">d3П!$A$1:$P$429</definedName>
    <definedName name="_xlnm.Print_Area" localSheetId="16">d3РМ!$A$1:$P$435</definedName>
    <definedName name="_xlnm.Print_Area" localSheetId="17">'d3РМ-П'!$A$1:$P$435</definedName>
    <definedName name="_xlnm.Print_Area" localSheetId="14">d3РП!$A$1:$P$435</definedName>
    <definedName name="_xlnm.Print_Area" localSheetId="3">'d4'!$B$1:$Q$34</definedName>
    <definedName name="_xlnm.Print_Area" localSheetId="4">'d5'!$A$1:$D$110</definedName>
    <definedName name="_xlnm.Print_Area" localSheetId="5">'d6'!$B$1:$K$127</definedName>
    <definedName name="_xlnm.Print_Area" localSheetId="6">'d7'!$A$1:$J$365</definedName>
    <definedName name="_xlnm.Print_Area" localSheetId="7">'d8'!$A$1:$D$41</definedName>
    <definedName name="_xlnm.Print_Area" localSheetId="8">'d9'!$A$1:$F$28</definedName>
    <definedName name="С16" localSheetId="0">#REF!</definedName>
    <definedName name="С16" localSheetId="11">#REF!</definedName>
    <definedName name="С16" localSheetId="9">#REF!</definedName>
    <definedName name="С16" localSheetId="12">#REF!</definedName>
    <definedName name="С16" localSheetId="10">#REF!</definedName>
    <definedName name="С16" localSheetId="1">#REF!</definedName>
    <definedName name="С16" localSheetId="4">#REF!</definedName>
    <definedName name="С16" localSheetId="5">#REF!</definedName>
    <definedName name="С16" localSheetId="6">#REF!</definedName>
    <definedName name="С16" localSheetId="8">#REF!</definedName>
    <definedName name="С16">#REF!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431" i="165" l="1"/>
  <c r="J431" i="165"/>
  <c r="K431" i="165"/>
  <c r="F431" i="165"/>
  <c r="D79" i="170"/>
  <c r="D93" i="170"/>
  <c r="J45" i="167"/>
  <c r="I45" i="167"/>
  <c r="H45" i="167"/>
  <c r="K46" i="165"/>
  <c r="F46" i="165"/>
  <c r="J53" i="167"/>
  <c r="I53" i="167"/>
  <c r="H51" i="167"/>
  <c r="J29" i="167"/>
  <c r="I29" i="167"/>
  <c r="H29" i="167"/>
  <c r="P24" i="208"/>
  <c r="O24" i="208"/>
  <c r="N24" i="208"/>
  <c r="M24" i="208"/>
  <c r="L24" i="208"/>
  <c r="K24" i="208"/>
  <c r="J24" i="208"/>
  <c r="I24" i="208"/>
  <c r="H24" i="208"/>
  <c r="G24" i="208"/>
  <c r="F24" i="208"/>
  <c r="P23" i="208"/>
  <c r="O23" i="208"/>
  <c r="N23" i="208"/>
  <c r="M23" i="208"/>
  <c r="L23" i="208"/>
  <c r="K23" i="208"/>
  <c r="J23" i="208"/>
  <c r="I23" i="208"/>
  <c r="H23" i="208"/>
  <c r="G23" i="208"/>
  <c r="F23" i="208"/>
  <c r="P22" i="208"/>
  <c r="O22" i="208"/>
  <c r="N22" i="208"/>
  <c r="M22" i="208"/>
  <c r="L22" i="208"/>
  <c r="K22" i="208"/>
  <c r="J22" i="208"/>
  <c r="I22" i="208"/>
  <c r="H22" i="208"/>
  <c r="G22" i="208"/>
  <c r="F22" i="208"/>
  <c r="E24" i="208"/>
  <c r="E23" i="208"/>
  <c r="E22" i="208"/>
  <c r="N16" i="207"/>
  <c r="M16" i="207"/>
  <c r="L16" i="207"/>
  <c r="I16" i="207"/>
  <c r="H16" i="207"/>
  <c r="G16" i="207"/>
  <c r="N15" i="207"/>
  <c r="M15" i="207"/>
  <c r="L15" i="207"/>
  <c r="I15" i="207"/>
  <c r="H15" i="207"/>
  <c r="G15" i="207"/>
  <c r="P24" i="207"/>
  <c r="O24" i="207"/>
  <c r="N24" i="207"/>
  <c r="M24" i="207"/>
  <c r="L24" i="207"/>
  <c r="K24" i="207"/>
  <c r="J24" i="207"/>
  <c r="I24" i="207"/>
  <c r="H24" i="207"/>
  <c r="G24" i="207"/>
  <c r="F24" i="207"/>
  <c r="E24" i="207"/>
  <c r="P23" i="207"/>
  <c r="O23" i="207"/>
  <c r="N23" i="207"/>
  <c r="M23" i="207"/>
  <c r="L23" i="207"/>
  <c r="K23" i="207"/>
  <c r="J23" i="207"/>
  <c r="I23" i="207"/>
  <c r="H23" i="207"/>
  <c r="G23" i="207"/>
  <c r="F23" i="207"/>
  <c r="E23" i="207"/>
  <c r="P22" i="207"/>
  <c r="O22" i="207"/>
  <c r="N22" i="207"/>
  <c r="M22" i="207"/>
  <c r="L22" i="207"/>
  <c r="K22" i="207"/>
  <c r="J22" i="207"/>
  <c r="I22" i="207"/>
  <c r="H22" i="207"/>
  <c r="G22" i="207"/>
  <c r="F22" i="207"/>
  <c r="E22" i="207"/>
  <c r="N16" i="206"/>
  <c r="M16" i="206"/>
  <c r="L16" i="206"/>
  <c r="I16" i="206"/>
  <c r="H16" i="206"/>
  <c r="G16" i="206"/>
  <c r="N15" i="206"/>
  <c r="M15" i="206"/>
  <c r="L15" i="206"/>
  <c r="I15" i="206"/>
  <c r="H15" i="206"/>
  <c r="G15" i="206"/>
  <c r="P24" i="206"/>
  <c r="O24" i="206"/>
  <c r="N24" i="206"/>
  <c r="M24" i="206"/>
  <c r="L24" i="206"/>
  <c r="K24" i="206"/>
  <c r="J24" i="206"/>
  <c r="I24" i="206"/>
  <c r="H24" i="206"/>
  <c r="G24" i="206"/>
  <c r="F24" i="206"/>
  <c r="P23" i="206"/>
  <c r="O23" i="206"/>
  <c r="N23" i="206"/>
  <c r="M23" i="206"/>
  <c r="L23" i="206"/>
  <c r="K23" i="206"/>
  <c r="J23" i="206"/>
  <c r="I23" i="206"/>
  <c r="H23" i="206"/>
  <c r="G23" i="206"/>
  <c r="F23" i="206"/>
  <c r="P22" i="206"/>
  <c r="O22" i="206"/>
  <c r="N22" i="206"/>
  <c r="M22" i="206"/>
  <c r="L22" i="206"/>
  <c r="K22" i="206"/>
  <c r="J22" i="206"/>
  <c r="I22" i="206"/>
  <c r="H22" i="206"/>
  <c r="G22" i="206"/>
  <c r="F22" i="206"/>
  <c r="E24" i="206"/>
  <c r="E23" i="206"/>
  <c r="E22" i="206"/>
  <c r="O22" i="165"/>
  <c r="N22" i="165"/>
  <c r="M22" i="165"/>
  <c r="L22" i="165"/>
  <c r="K22" i="165"/>
  <c r="J22" i="165"/>
  <c r="I22" i="165"/>
  <c r="H22" i="165"/>
  <c r="G22" i="165"/>
  <c r="E22" i="165"/>
  <c r="O24" i="165"/>
  <c r="N23" i="165"/>
  <c r="M23" i="165"/>
  <c r="L23" i="165"/>
  <c r="K23" i="165"/>
  <c r="I23" i="165"/>
  <c r="H23" i="165"/>
  <c r="G23" i="165"/>
  <c r="F23" i="165"/>
  <c r="F22" i="165" s="1"/>
  <c r="O23" i="165"/>
  <c r="E24" i="165"/>
  <c r="E23" i="165" s="1"/>
  <c r="F292" i="165"/>
  <c r="F422" i="165"/>
  <c r="F27" i="165"/>
  <c r="F38" i="165"/>
  <c r="G29" i="167"/>
  <c r="J329" i="167"/>
  <c r="I329" i="167"/>
  <c r="K379" i="165"/>
  <c r="F206" i="165"/>
  <c r="K204" i="165"/>
  <c r="J40" i="184"/>
  <c r="K193" i="165"/>
  <c r="F184" i="165"/>
  <c r="F159" i="165"/>
  <c r="F157" i="165"/>
  <c r="K195" i="165"/>
  <c r="F50" i="165"/>
  <c r="F52" i="165"/>
  <c r="K52" i="165"/>
  <c r="K65" i="165"/>
  <c r="K60" i="165"/>
  <c r="J301" i="167"/>
  <c r="I301" i="167"/>
  <c r="J120" i="184"/>
  <c r="K337" i="165"/>
  <c r="J99" i="184"/>
  <c r="J266" i="167"/>
  <c r="I266" i="167"/>
  <c r="K306" i="165"/>
  <c r="H257" i="167"/>
  <c r="F296" i="165"/>
  <c r="K275" i="165"/>
  <c r="K265" i="165"/>
  <c r="K98" i="165"/>
  <c r="J102" i="167"/>
  <c r="I102" i="167"/>
  <c r="J24" i="184"/>
  <c r="H40" i="167"/>
  <c r="G38" i="167"/>
  <c r="F39" i="165"/>
  <c r="F148" i="210"/>
  <c r="E148" i="210"/>
  <c r="D148" i="210"/>
  <c r="C148" i="210"/>
  <c r="F147" i="210"/>
  <c r="E147" i="210"/>
  <c r="D147" i="210"/>
  <c r="C147" i="210"/>
  <c r="F146" i="210"/>
  <c r="E146" i="210"/>
  <c r="D146" i="210"/>
  <c r="C146" i="210"/>
  <c r="F145" i="210"/>
  <c r="E145" i="210"/>
  <c r="D145" i="210"/>
  <c r="C145" i="210"/>
  <c r="F144" i="210"/>
  <c r="E144" i="210"/>
  <c r="D144" i="210"/>
  <c r="C144" i="210"/>
  <c r="F143" i="210"/>
  <c r="E143" i="210"/>
  <c r="D143" i="210"/>
  <c r="C143" i="210"/>
  <c r="F141" i="210"/>
  <c r="E141" i="210"/>
  <c r="D141" i="210"/>
  <c r="C141" i="210"/>
  <c r="F142" i="210"/>
  <c r="E142" i="210"/>
  <c r="D142" i="210"/>
  <c r="C142" i="210"/>
  <c r="F136" i="210"/>
  <c r="E136" i="210"/>
  <c r="D136" i="210"/>
  <c r="F135" i="210"/>
  <c r="E135" i="210"/>
  <c r="D135" i="210"/>
  <c r="F134" i="210"/>
  <c r="E134" i="210"/>
  <c r="D134" i="210"/>
  <c r="F133" i="210"/>
  <c r="E133" i="210"/>
  <c r="D133" i="210"/>
  <c r="C133" i="210"/>
  <c r="F132" i="210"/>
  <c r="E132" i="210"/>
  <c r="D132" i="210"/>
  <c r="C132" i="210"/>
  <c r="F126" i="210"/>
  <c r="E126" i="210"/>
  <c r="D126" i="210"/>
  <c r="C126" i="210"/>
  <c r="F125" i="210"/>
  <c r="E125" i="210"/>
  <c r="D125" i="210"/>
  <c r="C125" i="210"/>
  <c r="F124" i="210"/>
  <c r="E124" i="210"/>
  <c r="D124" i="210"/>
  <c r="C124" i="210"/>
  <c r="F123" i="210"/>
  <c r="E123" i="210"/>
  <c r="D123" i="210"/>
  <c r="C123" i="210"/>
  <c r="F122" i="210"/>
  <c r="E122" i="210"/>
  <c r="D122" i="210"/>
  <c r="C122" i="210"/>
  <c r="F121" i="210"/>
  <c r="E121" i="210"/>
  <c r="D121" i="210"/>
  <c r="C121" i="210"/>
  <c r="F120" i="210"/>
  <c r="E120" i="210"/>
  <c r="D120" i="210"/>
  <c r="C120" i="210"/>
  <c r="F119" i="210"/>
  <c r="E119" i="210"/>
  <c r="D119" i="210"/>
  <c r="C119" i="210"/>
  <c r="F117" i="210"/>
  <c r="E117" i="210"/>
  <c r="D117" i="210"/>
  <c r="C117" i="210"/>
  <c r="F116" i="210"/>
  <c r="E116" i="210"/>
  <c r="D116" i="210"/>
  <c r="C116" i="210"/>
  <c r="F115" i="210"/>
  <c r="E115" i="210"/>
  <c r="D115" i="210"/>
  <c r="C115" i="210"/>
  <c r="F110" i="210"/>
  <c r="E110" i="210"/>
  <c r="D110" i="210"/>
  <c r="C110" i="210"/>
  <c r="F107" i="210"/>
  <c r="E107" i="210"/>
  <c r="D107" i="210"/>
  <c r="C107" i="210"/>
  <c r="F106" i="210"/>
  <c r="E106" i="210"/>
  <c r="D106" i="210"/>
  <c r="C106" i="210"/>
  <c r="F105" i="210"/>
  <c r="E105" i="210"/>
  <c r="D105" i="210"/>
  <c r="C105" i="210"/>
  <c r="F104" i="210"/>
  <c r="E104" i="210"/>
  <c r="D104" i="210"/>
  <c r="C104" i="210"/>
  <c r="F103" i="210"/>
  <c r="E103" i="210"/>
  <c r="D103" i="210"/>
  <c r="C103" i="210"/>
  <c r="F102" i="210"/>
  <c r="E102" i="210"/>
  <c r="D102" i="210"/>
  <c r="C102" i="210"/>
  <c r="F101" i="210"/>
  <c r="E101" i="210"/>
  <c r="D101" i="210"/>
  <c r="C101" i="210"/>
  <c r="F100" i="210"/>
  <c r="E100" i="210"/>
  <c r="D100" i="210"/>
  <c r="C100" i="210"/>
  <c r="F98" i="210"/>
  <c r="E98" i="210"/>
  <c r="D98" i="210"/>
  <c r="C98" i="210"/>
  <c r="F97" i="210"/>
  <c r="E97" i="210"/>
  <c r="D97" i="210"/>
  <c r="C97" i="210"/>
  <c r="F96" i="210"/>
  <c r="E96" i="210"/>
  <c r="D96" i="210"/>
  <c r="C96" i="210"/>
  <c r="F95" i="210"/>
  <c r="E95" i="210"/>
  <c r="D95" i="210"/>
  <c r="C95" i="210"/>
  <c r="F94" i="210"/>
  <c r="E94" i="210"/>
  <c r="D94" i="210"/>
  <c r="C94" i="210"/>
  <c r="F93" i="210"/>
  <c r="E93" i="210"/>
  <c r="D93" i="210"/>
  <c r="C93" i="210"/>
  <c r="F92" i="210"/>
  <c r="E92" i="210"/>
  <c r="D92" i="210"/>
  <c r="C92" i="210"/>
  <c r="F91" i="210"/>
  <c r="E91" i="210"/>
  <c r="D91" i="210"/>
  <c r="C91" i="210"/>
  <c r="F90" i="210"/>
  <c r="E90" i="210"/>
  <c r="D90" i="210"/>
  <c r="C90" i="210"/>
  <c r="F89" i="210"/>
  <c r="E89" i="210"/>
  <c r="D89" i="210"/>
  <c r="C89" i="210"/>
  <c r="F88" i="210"/>
  <c r="E88" i="210"/>
  <c r="D88" i="210"/>
  <c r="C88" i="210"/>
  <c r="F87" i="210"/>
  <c r="E87" i="210"/>
  <c r="D87" i="210"/>
  <c r="C87" i="210"/>
  <c r="F86" i="210"/>
  <c r="E86" i="210"/>
  <c r="D86" i="210"/>
  <c r="C86" i="210"/>
  <c r="F85" i="210"/>
  <c r="E85" i="210"/>
  <c r="D85" i="210"/>
  <c r="C85" i="210"/>
  <c r="F84" i="210"/>
  <c r="E84" i="210"/>
  <c r="D84" i="210"/>
  <c r="C84" i="210"/>
  <c r="F83" i="210"/>
  <c r="E83" i="210"/>
  <c r="D83" i="210"/>
  <c r="C83" i="210"/>
  <c r="F82" i="210"/>
  <c r="E82" i="210"/>
  <c r="D82" i="210"/>
  <c r="C82" i="210"/>
  <c r="F81" i="210"/>
  <c r="E81" i="210"/>
  <c r="D81" i="210"/>
  <c r="C81" i="210"/>
  <c r="F80" i="210"/>
  <c r="E80" i="210"/>
  <c r="D80" i="210"/>
  <c r="C80" i="210"/>
  <c r="F79" i="210"/>
  <c r="E79" i="210"/>
  <c r="D79" i="210"/>
  <c r="C79" i="210"/>
  <c r="F78" i="210"/>
  <c r="E78" i="210"/>
  <c r="D78" i="210"/>
  <c r="C78" i="210"/>
  <c r="F77" i="210"/>
  <c r="E77" i="210"/>
  <c r="D77" i="210"/>
  <c r="C77" i="210"/>
  <c r="F76" i="210"/>
  <c r="E76" i="210"/>
  <c r="D76" i="210"/>
  <c r="C76" i="210"/>
  <c r="F75" i="210"/>
  <c r="E75" i="210"/>
  <c r="D75" i="210"/>
  <c r="C75" i="210"/>
  <c r="F74" i="210"/>
  <c r="E74" i="210"/>
  <c r="D74" i="210"/>
  <c r="C74" i="210"/>
  <c r="F73" i="210"/>
  <c r="E73" i="210"/>
  <c r="D73" i="210"/>
  <c r="C73" i="210"/>
  <c r="F72" i="210"/>
  <c r="E72" i="210"/>
  <c r="D72" i="210"/>
  <c r="C72" i="210"/>
  <c r="F71" i="210"/>
  <c r="E71" i="210"/>
  <c r="D71" i="210"/>
  <c r="C71" i="210"/>
  <c r="F70" i="210"/>
  <c r="E70" i="210"/>
  <c r="D70" i="210"/>
  <c r="C70" i="210"/>
  <c r="F69" i="210"/>
  <c r="E69" i="210"/>
  <c r="D69" i="210"/>
  <c r="C69" i="210"/>
  <c r="F68" i="210"/>
  <c r="E68" i="210"/>
  <c r="D68" i="210"/>
  <c r="C68" i="210"/>
  <c r="F67" i="210"/>
  <c r="E67" i="210"/>
  <c r="D67" i="210"/>
  <c r="C67" i="210"/>
  <c r="F65" i="210"/>
  <c r="E65" i="210"/>
  <c r="D65" i="210"/>
  <c r="C65" i="210"/>
  <c r="F64" i="210"/>
  <c r="E64" i="210"/>
  <c r="D64" i="210"/>
  <c r="C64" i="210"/>
  <c r="F63" i="210"/>
  <c r="E63" i="210"/>
  <c r="D63" i="210"/>
  <c r="C63" i="210"/>
  <c r="F62" i="210"/>
  <c r="E62" i="210"/>
  <c r="D62" i="210"/>
  <c r="C62" i="210"/>
  <c r="F61" i="210"/>
  <c r="E61" i="210"/>
  <c r="D61" i="210"/>
  <c r="C61" i="210"/>
  <c r="F60" i="210"/>
  <c r="E60" i="210"/>
  <c r="D60" i="210"/>
  <c r="C60" i="210"/>
  <c r="F59" i="210"/>
  <c r="E59" i="210"/>
  <c r="D59" i="210"/>
  <c r="C59" i="210"/>
  <c r="F58" i="210"/>
  <c r="E58" i="210"/>
  <c r="D58" i="210"/>
  <c r="C58" i="210"/>
  <c r="F57" i="210"/>
  <c r="E57" i="210"/>
  <c r="D57" i="210"/>
  <c r="C57" i="210"/>
  <c r="F56" i="210"/>
  <c r="E56" i="210"/>
  <c r="D56" i="210"/>
  <c r="C56" i="210"/>
  <c r="F55" i="210"/>
  <c r="E55" i="210"/>
  <c r="D55" i="210"/>
  <c r="C55" i="210"/>
  <c r="F54" i="210"/>
  <c r="E54" i="210"/>
  <c r="D54" i="210"/>
  <c r="C54" i="210"/>
  <c r="F53" i="210"/>
  <c r="E53" i="210"/>
  <c r="D53" i="210"/>
  <c r="C53" i="210"/>
  <c r="F52" i="210"/>
  <c r="E52" i="210"/>
  <c r="D52" i="210"/>
  <c r="C52" i="210"/>
  <c r="F51" i="210"/>
  <c r="E51" i="210"/>
  <c r="D51" i="210"/>
  <c r="C51" i="210"/>
  <c r="F50" i="210"/>
  <c r="E50" i="210"/>
  <c r="D50" i="210"/>
  <c r="C50" i="210"/>
  <c r="F49" i="210"/>
  <c r="E49" i="210"/>
  <c r="D49" i="210"/>
  <c r="C49" i="210"/>
  <c r="F48" i="210"/>
  <c r="E48" i="210"/>
  <c r="D48" i="210"/>
  <c r="C48" i="210"/>
  <c r="F47" i="210"/>
  <c r="E47" i="210"/>
  <c r="D47" i="210"/>
  <c r="C47" i="210"/>
  <c r="F46" i="210"/>
  <c r="E46" i="210"/>
  <c r="D46" i="210"/>
  <c r="C46" i="210"/>
  <c r="F45" i="210"/>
  <c r="E45" i="210"/>
  <c r="D45" i="210"/>
  <c r="C45" i="210"/>
  <c r="F44" i="210"/>
  <c r="E44" i="210"/>
  <c r="D44" i="210"/>
  <c r="C44" i="210"/>
  <c r="F43" i="210"/>
  <c r="E43" i="210"/>
  <c r="D43" i="210"/>
  <c r="C43" i="210"/>
  <c r="F42" i="210"/>
  <c r="E42" i="210"/>
  <c r="D42" i="210"/>
  <c r="C42" i="210"/>
  <c r="F41" i="210"/>
  <c r="E41" i="210"/>
  <c r="D41" i="210"/>
  <c r="C41" i="210"/>
  <c r="F40" i="210"/>
  <c r="E40" i="210"/>
  <c r="D40" i="210"/>
  <c r="C40" i="210"/>
  <c r="F39" i="210"/>
  <c r="E39" i="210"/>
  <c r="D39" i="210"/>
  <c r="C39" i="210"/>
  <c r="F38" i="210"/>
  <c r="E38" i="210"/>
  <c r="D38" i="210"/>
  <c r="C38" i="210"/>
  <c r="F37" i="210"/>
  <c r="E37" i="210"/>
  <c r="D37" i="210"/>
  <c r="C37" i="210"/>
  <c r="F36" i="210"/>
  <c r="E36" i="210"/>
  <c r="D36" i="210"/>
  <c r="C36" i="210"/>
  <c r="F35" i="210"/>
  <c r="E35" i="210"/>
  <c r="D35" i="210"/>
  <c r="C35" i="210"/>
  <c r="F34" i="210"/>
  <c r="E34" i="210"/>
  <c r="D34" i="210"/>
  <c r="C34" i="210"/>
  <c r="F33" i="210"/>
  <c r="E33" i="210"/>
  <c r="D33" i="210"/>
  <c r="C33" i="210"/>
  <c r="F32" i="210"/>
  <c r="E32" i="210"/>
  <c r="D32" i="210"/>
  <c r="C32" i="210"/>
  <c r="F31" i="210"/>
  <c r="E31" i="210"/>
  <c r="D31" i="210"/>
  <c r="C31" i="210"/>
  <c r="F30" i="210"/>
  <c r="E30" i="210"/>
  <c r="D30" i="210"/>
  <c r="C30" i="210"/>
  <c r="F29" i="210"/>
  <c r="E29" i="210"/>
  <c r="D29" i="210"/>
  <c r="C29" i="210"/>
  <c r="F28" i="210"/>
  <c r="E28" i="210"/>
  <c r="D28" i="210"/>
  <c r="C28" i="210"/>
  <c r="F27" i="210"/>
  <c r="E27" i="210"/>
  <c r="D27" i="210"/>
  <c r="C27" i="210"/>
  <c r="F26" i="210"/>
  <c r="E26" i="210"/>
  <c r="D26" i="210"/>
  <c r="C26" i="210"/>
  <c r="F25" i="210"/>
  <c r="E25" i="210"/>
  <c r="D25" i="210"/>
  <c r="C25" i="210"/>
  <c r="F24" i="210"/>
  <c r="E24" i="210"/>
  <c r="D24" i="210"/>
  <c r="C24" i="210"/>
  <c r="F23" i="210"/>
  <c r="E23" i="210"/>
  <c r="D23" i="210"/>
  <c r="C23" i="210"/>
  <c r="F22" i="210"/>
  <c r="E22" i="210"/>
  <c r="D22" i="210"/>
  <c r="C22" i="210"/>
  <c r="F21" i="210"/>
  <c r="E21" i="210"/>
  <c r="D21" i="210"/>
  <c r="C21" i="210"/>
  <c r="F20" i="210"/>
  <c r="E20" i="210"/>
  <c r="D20" i="210"/>
  <c r="C20" i="210"/>
  <c r="F19" i="210"/>
  <c r="E19" i="210"/>
  <c r="D19" i="210"/>
  <c r="C19" i="210"/>
  <c r="F18" i="210"/>
  <c r="E18" i="210"/>
  <c r="D18" i="210"/>
  <c r="C18" i="210"/>
  <c r="F17" i="210"/>
  <c r="E17" i="210"/>
  <c r="D17" i="210"/>
  <c r="C17" i="210"/>
  <c r="F16" i="210"/>
  <c r="E16" i="210"/>
  <c r="D16" i="210"/>
  <c r="C16" i="210"/>
  <c r="C149" i="210"/>
  <c r="C114" i="210"/>
  <c r="D113" i="210"/>
  <c r="C113" i="210"/>
  <c r="F109" i="210"/>
  <c r="E109" i="210"/>
  <c r="C109" i="210" s="1"/>
  <c r="D109" i="210"/>
  <c r="C108" i="210"/>
  <c r="E99" i="210"/>
  <c r="F66" i="210"/>
  <c r="F15" i="210"/>
  <c r="E15" i="210"/>
  <c r="F148" i="209"/>
  <c r="E148" i="209"/>
  <c r="D148" i="209"/>
  <c r="C148" i="209"/>
  <c r="F147" i="209"/>
  <c r="E147" i="209"/>
  <c r="D147" i="209"/>
  <c r="C147" i="209"/>
  <c r="F146" i="209"/>
  <c r="E146" i="209"/>
  <c r="D146" i="209"/>
  <c r="C146" i="209"/>
  <c r="F145" i="209"/>
  <c r="E145" i="209"/>
  <c r="D145" i="209"/>
  <c r="C145" i="209"/>
  <c r="F144" i="209"/>
  <c r="E144" i="209"/>
  <c r="D144" i="209"/>
  <c r="C144" i="209"/>
  <c r="F143" i="209"/>
  <c r="E143" i="209"/>
  <c r="D143" i="209"/>
  <c r="C143" i="209"/>
  <c r="F142" i="209"/>
  <c r="E142" i="209"/>
  <c r="D142" i="209"/>
  <c r="C142" i="209"/>
  <c r="F141" i="209"/>
  <c r="E141" i="209"/>
  <c r="D141" i="209"/>
  <c r="C141" i="209"/>
  <c r="F140" i="209"/>
  <c r="E140" i="209"/>
  <c r="D140" i="209"/>
  <c r="C140" i="209"/>
  <c r="F139" i="209"/>
  <c r="E139" i="209"/>
  <c r="D139" i="209"/>
  <c r="C139" i="209"/>
  <c r="F138" i="209"/>
  <c r="E138" i="209"/>
  <c r="D138" i="209"/>
  <c r="C138" i="209"/>
  <c r="F137" i="209"/>
  <c r="E137" i="209"/>
  <c r="D137" i="209"/>
  <c r="C137" i="209"/>
  <c r="F136" i="209"/>
  <c r="E136" i="209"/>
  <c r="D136" i="209"/>
  <c r="C136" i="209"/>
  <c r="F135" i="209"/>
  <c r="E135" i="209"/>
  <c r="D135" i="209"/>
  <c r="C135" i="209"/>
  <c r="F134" i="209"/>
  <c r="E134" i="209"/>
  <c r="D134" i="209"/>
  <c r="C134" i="209"/>
  <c r="F133" i="209"/>
  <c r="E133" i="209"/>
  <c r="D133" i="209"/>
  <c r="C133" i="209"/>
  <c r="F132" i="209"/>
  <c r="E132" i="209"/>
  <c r="D132" i="209"/>
  <c r="C132" i="209"/>
  <c r="F131" i="209"/>
  <c r="E131" i="209"/>
  <c r="D131" i="209"/>
  <c r="C131" i="209"/>
  <c r="F130" i="209"/>
  <c r="E130" i="209"/>
  <c r="D130" i="209"/>
  <c r="C130" i="209"/>
  <c r="F129" i="209"/>
  <c r="E129" i="209"/>
  <c r="D129" i="209"/>
  <c r="C129" i="209"/>
  <c r="F128" i="209"/>
  <c r="E128" i="209"/>
  <c r="D128" i="209"/>
  <c r="C128" i="209"/>
  <c r="F127" i="209"/>
  <c r="E127" i="209"/>
  <c r="D127" i="209"/>
  <c r="C127" i="209"/>
  <c r="F126" i="209"/>
  <c r="E126" i="209"/>
  <c r="D126" i="209"/>
  <c r="C126" i="209"/>
  <c r="F125" i="209"/>
  <c r="E125" i="209"/>
  <c r="D125" i="209"/>
  <c r="C125" i="209"/>
  <c r="F124" i="209"/>
  <c r="E124" i="209"/>
  <c r="D124" i="209"/>
  <c r="C124" i="209"/>
  <c r="F123" i="209"/>
  <c r="E123" i="209"/>
  <c r="D123" i="209"/>
  <c r="C123" i="209"/>
  <c r="F122" i="209"/>
  <c r="E122" i="209"/>
  <c r="D122" i="209"/>
  <c r="C122" i="209"/>
  <c r="F121" i="209"/>
  <c r="E121" i="209"/>
  <c r="D121" i="209"/>
  <c r="C121" i="209"/>
  <c r="F120" i="209"/>
  <c r="E120" i="209"/>
  <c r="D120" i="209"/>
  <c r="C120" i="209"/>
  <c r="F119" i="209"/>
  <c r="E119" i="209"/>
  <c r="D119" i="209"/>
  <c r="C119" i="209"/>
  <c r="F118" i="209"/>
  <c r="E118" i="209"/>
  <c r="D118" i="209"/>
  <c r="C118" i="209"/>
  <c r="F117" i="209"/>
  <c r="E117" i="209"/>
  <c r="D117" i="209"/>
  <c r="C117" i="209"/>
  <c r="F116" i="209"/>
  <c r="E116" i="209"/>
  <c r="D116" i="209"/>
  <c r="C116" i="209"/>
  <c r="F115" i="209"/>
  <c r="E115" i="209"/>
  <c r="D115" i="209"/>
  <c r="C115" i="209"/>
  <c r="F110" i="209"/>
  <c r="E110" i="209"/>
  <c r="D110" i="209"/>
  <c r="C110" i="209"/>
  <c r="F107" i="209"/>
  <c r="E107" i="209"/>
  <c r="D107" i="209"/>
  <c r="C107" i="209"/>
  <c r="F106" i="209"/>
  <c r="E106" i="209"/>
  <c r="D106" i="209"/>
  <c r="C106" i="209"/>
  <c r="F105" i="209"/>
  <c r="E105" i="209"/>
  <c r="D105" i="209"/>
  <c r="C105" i="209"/>
  <c r="F104" i="209"/>
  <c r="E104" i="209"/>
  <c r="D104" i="209"/>
  <c r="C104" i="209"/>
  <c r="F103" i="209"/>
  <c r="E103" i="209"/>
  <c r="D103" i="209"/>
  <c r="C103" i="209"/>
  <c r="F102" i="209"/>
  <c r="E102" i="209"/>
  <c r="D102" i="209"/>
  <c r="C102" i="209"/>
  <c r="F101" i="209"/>
  <c r="E101" i="209"/>
  <c r="D101" i="209"/>
  <c r="C101" i="209"/>
  <c r="F100" i="209"/>
  <c r="E100" i="209"/>
  <c r="D100" i="209"/>
  <c r="C100" i="209"/>
  <c r="F98" i="209"/>
  <c r="E98" i="209"/>
  <c r="D98" i="209"/>
  <c r="C98" i="209"/>
  <c r="F97" i="209"/>
  <c r="E97" i="209"/>
  <c r="D97" i="209"/>
  <c r="C97" i="209"/>
  <c r="F96" i="209"/>
  <c r="E96" i="209"/>
  <c r="D96" i="209"/>
  <c r="C96" i="209"/>
  <c r="F95" i="209"/>
  <c r="E95" i="209"/>
  <c r="D95" i="209"/>
  <c r="C95" i="209"/>
  <c r="F94" i="209"/>
  <c r="E94" i="209"/>
  <c r="D94" i="209"/>
  <c r="C94" i="209"/>
  <c r="F93" i="209"/>
  <c r="E93" i="209"/>
  <c r="D93" i="209"/>
  <c r="C93" i="209"/>
  <c r="F92" i="209"/>
  <c r="E92" i="209"/>
  <c r="D92" i="209"/>
  <c r="C92" i="209"/>
  <c r="F91" i="209"/>
  <c r="E91" i="209"/>
  <c r="D91" i="209"/>
  <c r="C91" i="209"/>
  <c r="F90" i="209"/>
  <c r="E90" i="209"/>
  <c r="D90" i="209"/>
  <c r="C90" i="209"/>
  <c r="F89" i="209"/>
  <c r="E89" i="209"/>
  <c r="D89" i="209"/>
  <c r="C89" i="209"/>
  <c r="F88" i="209"/>
  <c r="E88" i="209"/>
  <c r="D88" i="209"/>
  <c r="C88" i="209"/>
  <c r="F87" i="209"/>
  <c r="E87" i="209"/>
  <c r="D87" i="209"/>
  <c r="C87" i="209"/>
  <c r="F86" i="209"/>
  <c r="E86" i="209"/>
  <c r="D86" i="209"/>
  <c r="C86" i="209"/>
  <c r="F85" i="209"/>
  <c r="E85" i="209"/>
  <c r="D85" i="209"/>
  <c r="C85" i="209"/>
  <c r="F84" i="209"/>
  <c r="E84" i="209"/>
  <c r="D84" i="209"/>
  <c r="C84" i="209"/>
  <c r="F83" i="209"/>
  <c r="E83" i="209"/>
  <c r="D83" i="209"/>
  <c r="C83" i="209"/>
  <c r="F82" i="209"/>
  <c r="E82" i="209"/>
  <c r="D82" i="209"/>
  <c r="C82" i="209"/>
  <c r="F81" i="209"/>
  <c r="E81" i="209"/>
  <c r="D81" i="209"/>
  <c r="C81" i="209"/>
  <c r="F80" i="209"/>
  <c r="E80" i="209"/>
  <c r="D80" i="209"/>
  <c r="C80" i="209"/>
  <c r="F79" i="209"/>
  <c r="E79" i="209"/>
  <c r="D79" i="209"/>
  <c r="C79" i="209"/>
  <c r="F78" i="209"/>
  <c r="E78" i="209"/>
  <c r="D78" i="209"/>
  <c r="C78" i="209"/>
  <c r="F77" i="209"/>
  <c r="E77" i="209"/>
  <c r="D77" i="209"/>
  <c r="C77" i="209"/>
  <c r="F76" i="209"/>
  <c r="E76" i="209"/>
  <c r="D76" i="209"/>
  <c r="C76" i="209"/>
  <c r="F75" i="209"/>
  <c r="E75" i="209"/>
  <c r="D75" i="209"/>
  <c r="C75" i="209"/>
  <c r="F74" i="209"/>
  <c r="E74" i="209"/>
  <c r="D74" i="209"/>
  <c r="C74" i="209"/>
  <c r="F73" i="209"/>
  <c r="E73" i="209"/>
  <c r="D73" i="209"/>
  <c r="C73" i="209"/>
  <c r="F72" i="209"/>
  <c r="E72" i="209"/>
  <c r="D72" i="209"/>
  <c r="C72" i="209"/>
  <c r="F71" i="209"/>
  <c r="E71" i="209"/>
  <c r="D71" i="209"/>
  <c r="C71" i="209"/>
  <c r="F70" i="209"/>
  <c r="E70" i="209"/>
  <c r="D70" i="209"/>
  <c r="C70" i="209"/>
  <c r="F69" i="209"/>
  <c r="E69" i="209"/>
  <c r="D69" i="209"/>
  <c r="C69" i="209"/>
  <c r="F68" i="209"/>
  <c r="E68" i="209"/>
  <c r="D68" i="209"/>
  <c r="C68" i="209"/>
  <c r="F67" i="209"/>
  <c r="E67" i="209"/>
  <c r="D67" i="209"/>
  <c r="C67" i="209"/>
  <c r="F65" i="209"/>
  <c r="E65" i="209"/>
  <c r="D65" i="209"/>
  <c r="C65" i="209"/>
  <c r="F64" i="209"/>
  <c r="E64" i="209"/>
  <c r="D64" i="209"/>
  <c r="C64" i="209"/>
  <c r="F63" i="209"/>
  <c r="E63" i="209"/>
  <c r="D63" i="209"/>
  <c r="C63" i="209"/>
  <c r="F62" i="209"/>
  <c r="E62" i="209"/>
  <c r="D62" i="209"/>
  <c r="C62" i="209"/>
  <c r="F61" i="209"/>
  <c r="E61" i="209"/>
  <c r="D61" i="209"/>
  <c r="C61" i="209"/>
  <c r="F60" i="209"/>
  <c r="E60" i="209"/>
  <c r="D60" i="209"/>
  <c r="C60" i="209"/>
  <c r="F59" i="209"/>
  <c r="E59" i="209"/>
  <c r="D59" i="209"/>
  <c r="C59" i="209"/>
  <c r="F58" i="209"/>
  <c r="E58" i="209"/>
  <c r="D58" i="209"/>
  <c r="C58" i="209"/>
  <c r="F57" i="209"/>
  <c r="E57" i="209"/>
  <c r="D57" i="209"/>
  <c r="C57" i="209"/>
  <c r="F56" i="209"/>
  <c r="E56" i="209"/>
  <c r="D56" i="209"/>
  <c r="C56" i="209"/>
  <c r="F55" i="209"/>
  <c r="E55" i="209"/>
  <c r="D55" i="209"/>
  <c r="C55" i="209"/>
  <c r="F54" i="209"/>
  <c r="E54" i="209"/>
  <c r="D54" i="209"/>
  <c r="C54" i="209"/>
  <c r="F53" i="209"/>
  <c r="E53" i="209"/>
  <c r="D53" i="209"/>
  <c r="C53" i="209"/>
  <c r="F52" i="209"/>
  <c r="E52" i="209"/>
  <c r="D52" i="209"/>
  <c r="C52" i="209"/>
  <c r="F51" i="209"/>
  <c r="E51" i="209"/>
  <c r="D51" i="209"/>
  <c r="C51" i="209"/>
  <c r="F50" i="209"/>
  <c r="E50" i="209"/>
  <c r="D50" i="209"/>
  <c r="C50" i="209"/>
  <c r="F49" i="209"/>
  <c r="E49" i="209"/>
  <c r="D49" i="209"/>
  <c r="C49" i="209"/>
  <c r="F48" i="209"/>
  <c r="E48" i="209"/>
  <c r="D48" i="209"/>
  <c r="C48" i="209"/>
  <c r="F47" i="209"/>
  <c r="E47" i="209"/>
  <c r="D47" i="209"/>
  <c r="C47" i="209"/>
  <c r="F46" i="209"/>
  <c r="E46" i="209"/>
  <c r="D46" i="209"/>
  <c r="C46" i="209"/>
  <c r="F45" i="209"/>
  <c r="E45" i="209"/>
  <c r="D45" i="209"/>
  <c r="C45" i="209"/>
  <c r="F44" i="209"/>
  <c r="E44" i="209"/>
  <c r="D44" i="209"/>
  <c r="C44" i="209"/>
  <c r="F43" i="209"/>
  <c r="E43" i="209"/>
  <c r="D43" i="209"/>
  <c r="C43" i="209"/>
  <c r="F42" i="209"/>
  <c r="E42" i="209"/>
  <c r="D42" i="209"/>
  <c r="C42" i="209"/>
  <c r="F41" i="209"/>
  <c r="E41" i="209"/>
  <c r="D41" i="209"/>
  <c r="C41" i="209"/>
  <c r="F40" i="209"/>
  <c r="E40" i="209"/>
  <c r="D40" i="209"/>
  <c r="C40" i="209"/>
  <c r="F39" i="209"/>
  <c r="E39" i="209"/>
  <c r="D39" i="209"/>
  <c r="C39" i="209"/>
  <c r="F38" i="209"/>
  <c r="E38" i="209"/>
  <c r="D38" i="209"/>
  <c r="C38" i="209"/>
  <c r="F37" i="209"/>
  <c r="E37" i="209"/>
  <c r="D37" i="209"/>
  <c r="C37" i="209"/>
  <c r="F36" i="209"/>
  <c r="E36" i="209"/>
  <c r="D36" i="209"/>
  <c r="C36" i="209"/>
  <c r="F35" i="209"/>
  <c r="E35" i="209"/>
  <c r="D35" i="209"/>
  <c r="C35" i="209"/>
  <c r="F34" i="209"/>
  <c r="E34" i="209"/>
  <c r="D34" i="209"/>
  <c r="C34" i="209"/>
  <c r="F33" i="209"/>
  <c r="E33" i="209"/>
  <c r="D33" i="209"/>
  <c r="C33" i="209"/>
  <c r="F32" i="209"/>
  <c r="E32" i="209"/>
  <c r="E15" i="209" s="1"/>
  <c r="D32" i="209"/>
  <c r="C32" i="209"/>
  <c r="F31" i="209"/>
  <c r="E31" i="209"/>
  <c r="D31" i="209"/>
  <c r="C31" i="209"/>
  <c r="F30" i="209"/>
  <c r="E30" i="209"/>
  <c r="D30" i="209"/>
  <c r="C30" i="209"/>
  <c r="F29" i="209"/>
  <c r="E29" i="209"/>
  <c r="D29" i="209"/>
  <c r="C29" i="209"/>
  <c r="F28" i="209"/>
  <c r="E28" i="209"/>
  <c r="D28" i="209"/>
  <c r="C28" i="209"/>
  <c r="F27" i="209"/>
  <c r="E27" i="209"/>
  <c r="D27" i="209"/>
  <c r="C27" i="209"/>
  <c r="F26" i="209"/>
  <c r="E26" i="209"/>
  <c r="D26" i="209"/>
  <c r="C26" i="209"/>
  <c r="F25" i="209"/>
  <c r="E25" i="209"/>
  <c r="D25" i="209"/>
  <c r="C25" i="209"/>
  <c r="F24" i="209"/>
  <c r="E24" i="209"/>
  <c r="D24" i="209"/>
  <c r="C24" i="209"/>
  <c r="F23" i="209"/>
  <c r="E23" i="209"/>
  <c r="D23" i="209"/>
  <c r="C23" i="209"/>
  <c r="F22" i="209"/>
  <c r="E22" i="209"/>
  <c r="D22" i="209"/>
  <c r="C22" i="209"/>
  <c r="F21" i="209"/>
  <c r="E21" i="209"/>
  <c r="D21" i="209"/>
  <c r="C21" i="209"/>
  <c r="F20" i="209"/>
  <c r="E20" i="209"/>
  <c r="D20" i="209"/>
  <c r="C20" i="209"/>
  <c r="F19" i="209"/>
  <c r="E19" i="209"/>
  <c r="D19" i="209"/>
  <c r="C19" i="209"/>
  <c r="F18" i="209"/>
  <c r="E18" i="209"/>
  <c r="D18" i="209"/>
  <c r="C18" i="209"/>
  <c r="F17" i="209"/>
  <c r="E17" i="209"/>
  <c r="D17" i="209"/>
  <c r="C17" i="209"/>
  <c r="F16" i="209"/>
  <c r="E16" i="209"/>
  <c r="D16" i="209"/>
  <c r="C16" i="209"/>
  <c r="C149" i="209"/>
  <c r="F112" i="209"/>
  <c r="E112" i="209"/>
  <c r="C114" i="209"/>
  <c r="D113" i="209"/>
  <c r="C113" i="209" s="1"/>
  <c r="F109" i="209"/>
  <c r="E109" i="209"/>
  <c r="D109" i="209"/>
  <c r="C108" i="209"/>
  <c r="E99" i="209"/>
  <c r="F99" i="209"/>
  <c r="F66" i="209"/>
  <c r="F15" i="209"/>
  <c r="P422" i="208"/>
  <c r="O422" i="208"/>
  <c r="N422" i="208"/>
  <c r="M422" i="208"/>
  <c r="L422" i="208"/>
  <c r="K422" i="208"/>
  <c r="J422" i="208"/>
  <c r="I422" i="208"/>
  <c r="H422" i="208"/>
  <c r="G422" i="208"/>
  <c r="F422" i="208"/>
  <c r="E422" i="208"/>
  <c r="P421" i="208"/>
  <c r="O421" i="208"/>
  <c r="N421" i="208"/>
  <c r="M421" i="208"/>
  <c r="L421" i="208"/>
  <c r="K421" i="208"/>
  <c r="J421" i="208"/>
  <c r="I421" i="208"/>
  <c r="H421" i="208"/>
  <c r="G421" i="208"/>
  <c r="F421" i="208"/>
  <c r="E421" i="208"/>
  <c r="P420" i="208"/>
  <c r="O420" i="208"/>
  <c r="N420" i="208"/>
  <c r="M420" i="208"/>
  <c r="L420" i="208"/>
  <c r="K420" i="208"/>
  <c r="J420" i="208"/>
  <c r="I420" i="208"/>
  <c r="H420" i="208"/>
  <c r="G420" i="208"/>
  <c r="F420" i="208"/>
  <c r="E420" i="208"/>
  <c r="P419" i="208"/>
  <c r="O419" i="208"/>
  <c r="N419" i="208"/>
  <c r="M419" i="208"/>
  <c r="L419" i="208"/>
  <c r="K419" i="208"/>
  <c r="J419" i="208"/>
  <c r="I419" i="208"/>
  <c r="H419" i="208"/>
  <c r="G419" i="208"/>
  <c r="F419" i="208"/>
  <c r="E419" i="208"/>
  <c r="P418" i="208"/>
  <c r="O418" i="208"/>
  <c r="N418" i="208"/>
  <c r="M418" i="208"/>
  <c r="L418" i="208"/>
  <c r="K418" i="208"/>
  <c r="J418" i="208"/>
  <c r="I418" i="208"/>
  <c r="H418" i="208"/>
  <c r="G418" i="208"/>
  <c r="F418" i="208"/>
  <c r="E418" i="208"/>
  <c r="P417" i="208"/>
  <c r="O417" i="208"/>
  <c r="N417" i="208"/>
  <c r="M417" i="208"/>
  <c r="L417" i="208"/>
  <c r="K417" i="208"/>
  <c r="J417" i="208"/>
  <c r="I417" i="208"/>
  <c r="H417" i="208"/>
  <c r="G417" i="208"/>
  <c r="F417" i="208"/>
  <c r="E417" i="208"/>
  <c r="P416" i="208"/>
  <c r="O416" i="208"/>
  <c r="N416" i="208"/>
  <c r="M416" i="208"/>
  <c r="L416" i="208"/>
  <c r="K416" i="208"/>
  <c r="J416" i="208"/>
  <c r="I416" i="208"/>
  <c r="H416" i="208"/>
  <c r="G416" i="208"/>
  <c r="F416" i="208"/>
  <c r="E416" i="208"/>
  <c r="P415" i="208"/>
  <c r="O415" i="208"/>
  <c r="N415" i="208"/>
  <c r="M415" i="208"/>
  <c r="L415" i="208"/>
  <c r="K415" i="208"/>
  <c r="J415" i="208"/>
  <c r="I415" i="208"/>
  <c r="H415" i="208"/>
  <c r="G415" i="208"/>
  <c r="F415" i="208"/>
  <c r="E415" i="208"/>
  <c r="P414" i="208"/>
  <c r="O414" i="208"/>
  <c r="N414" i="208"/>
  <c r="M414" i="208"/>
  <c r="L414" i="208"/>
  <c r="K414" i="208"/>
  <c r="J414" i="208"/>
  <c r="I414" i="208"/>
  <c r="H414" i="208"/>
  <c r="G414" i="208"/>
  <c r="F414" i="208"/>
  <c r="E414" i="208"/>
  <c r="P413" i="208"/>
  <c r="O413" i="208"/>
  <c r="N413" i="208"/>
  <c r="M413" i="208"/>
  <c r="L413" i="208"/>
  <c r="K413" i="208"/>
  <c r="J413" i="208"/>
  <c r="I413" i="208"/>
  <c r="H413" i="208"/>
  <c r="G413" i="208"/>
  <c r="F413" i="208"/>
  <c r="E413" i="208"/>
  <c r="P410" i="208"/>
  <c r="O410" i="208"/>
  <c r="N410" i="208"/>
  <c r="M410" i="208"/>
  <c r="L410" i="208"/>
  <c r="K410" i="208"/>
  <c r="J410" i="208"/>
  <c r="I410" i="208"/>
  <c r="H410" i="208"/>
  <c r="G410" i="208"/>
  <c r="F410" i="208"/>
  <c r="E410" i="208"/>
  <c r="P409" i="208"/>
  <c r="O409" i="208"/>
  <c r="N409" i="208"/>
  <c r="M409" i="208"/>
  <c r="L409" i="208"/>
  <c r="K409" i="208"/>
  <c r="J409" i="208"/>
  <c r="I409" i="208"/>
  <c r="H409" i="208"/>
  <c r="G409" i="208"/>
  <c r="F409" i="208"/>
  <c r="E409" i="208"/>
  <c r="P408" i="208"/>
  <c r="O408" i="208"/>
  <c r="N408" i="208"/>
  <c r="M408" i="208"/>
  <c r="L408" i="208"/>
  <c r="K408" i="208"/>
  <c r="J408" i="208"/>
  <c r="I408" i="208"/>
  <c r="H408" i="208"/>
  <c r="G408" i="208"/>
  <c r="F408" i="208"/>
  <c r="E408" i="208"/>
  <c r="P407" i="208"/>
  <c r="O407" i="208"/>
  <c r="N407" i="208"/>
  <c r="M407" i="208"/>
  <c r="L407" i="208"/>
  <c r="K407" i="208"/>
  <c r="J407" i="208"/>
  <c r="I407" i="208"/>
  <c r="H407" i="208"/>
  <c r="G407" i="208"/>
  <c r="F407" i="208"/>
  <c r="E407" i="208"/>
  <c r="P406" i="208"/>
  <c r="O406" i="208"/>
  <c r="N406" i="208"/>
  <c r="M406" i="208"/>
  <c r="L406" i="208"/>
  <c r="K406" i="208"/>
  <c r="J406" i="208"/>
  <c r="I406" i="208"/>
  <c r="H406" i="208"/>
  <c r="G406" i="208"/>
  <c r="F406" i="208"/>
  <c r="E406" i="208"/>
  <c r="P405" i="208"/>
  <c r="O405" i="208"/>
  <c r="N405" i="208"/>
  <c r="M405" i="208"/>
  <c r="L405" i="208"/>
  <c r="K405" i="208"/>
  <c r="J405" i="208"/>
  <c r="I405" i="208"/>
  <c r="H405" i="208"/>
  <c r="G405" i="208"/>
  <c r="F405" i="208"/>
  <c r="E405" i="208"/>
  <c r="P404" i="208"/>
  <c r="O404" i="208"/>
  <c r="N404" i="208"/>
  <c r="M404" i="208"/>
  <c r="L404" i="208"/>
  <c r="L403" i="208" s="1"/>
  <c r="L402" i="208" s="1"/>
  <c r="K404" i="208"/>
  <c r="J404" i="208"/>
  <c r="I404" i="208"/>
  <c r="H404" i="208"/>
  <c r="G404" i="208"/>
  <c r="F404" i="208"/>
  <c r="E404" i="208"/>
  <c r="P399" i="208"/>
  <c r="O399" i="208"/>
  <c r="N399" i="208"/>
  <c r="M399" i="208"/>
  <c r="L399" i="208"/>
  <c r="K399" i="208"/>
  <c r="J399" i="208"/>
  <c r="I399" i="208"/>
  <c r="H399" i="208"/>
  <c r="G399" i="208"/>
  <c r="F399" i="208"/>
  <c r="E399" i="208"/>
  <c r="P398" i="208"/>
  <c r="O398" i="208"/>
  <c r="N398" i="208"/>
  <c r="M398" i="208"/>
  <c r="L398" i="208"/>
  <c r="K398" i="208"/>
  <c r="J398" i="208"/>
  <c r="I398" i="208"/>
  <c r="H398" i="208"/>
  <c r="G398" i="208"/>
  <c r="F398" i="208"/>
  <c r="E398" i="208"/>
  <c r="P397" i="208"/>
  <c r="O397" i="208"/>
  <c r="N397" i="208"/>
  <c r="M397" i="208"/>
  <c r="L397" i="208"/>
  <c r="K397" i="208"/>
  <c r="J397" i="208"/>
  <c r="I397" i="208"/>
  <c r="H397" i="208"/>
  <c r="G397" i="208"/>
  <c r="F397" i="208"/>
  <c r="E397" i="208"/>
  <c r="P396" i="208"/>
  <c r="O396" i="208"/>
  <c r="N396" i="208"/>
  <c r="M396" i="208"/>
  <c r="L396" i="208"/>
  <c r="K396" i="208"/>
  <c r="J396" i="208"/>
  <c r="I396" i="208"/>
  <c r="H396" i="208"/>
  <c r="G396" i="208"/>
  <c r="F396" i="208"/>
  <c r="E396" i="208"/>
  <c r="P395" i="208"/>
  <c r="O395" i="208"/>
  <c r="N395" i="208"/>
  <c r="M395" i="208"/>
  <c r="L395" i="208"/>
  <c r="K395" i="208"/>
  <c r="J395" i="208"/>
  <c r="I395" i="208"/>
  <c r="H395" i="208"/>
  <c r="G395" i="208"/>
  <c r="F395" i="208"/>
  <c r="E395" i="208"/>
  <c r="P394" i="208"/>
  <c r="O394" i="208"/>
  <c r="N394" i="208"/>
  <c r="M394" i="208"/>
  <c r="L394" i="208"/>
  <c r="L393" i="208" s="1"/>
  <c r="L392" i="208" s="1"/>
  <c r="K394" i="208"/>
  <c r="J394" i="208"/>
  <c r="I394" i="208"/>
  <c r="H394" i="208"/>
  <c r="G394" i="208"/>
  <c r="F394" i="208"/>
  <c r="E394" i="208"/>
  <c r="P388" i="208"/>
  <c r="O388" i="208"/>
  <c r="N388" i="208"/>
  <c r="M388" i="208"/>
  <c r="L388" i="208"/>
  <c r="K388" i="208"/>
  <c r="J388" i="208"/>
  <c r="I388" i="208"/>
  <c r="H388" i="208"/>
  <c r="G388" i="208"/>
  <c r="F388" i="208"/>
  <c r="E388" i="208"/>
  <c r="P387" i="208"/>
  <c r="O387" i="208"/>
  <c r="N387" i="208"/>
  <c r="M387" i="208"/>
  <c r="L387" i="208"/>
  <c r="K387" i="208"/>
  <c r="J387" i="208"/>
  <c r="I387" i="208"/>
  <c r="H387" i="208"/>
  <c r="G387" i="208"/>
  <c r="F387" i="208"/>
  <c r="E387" i="208"/>
  <c r="P386" i="208"/>
  <c r="O386" i="208"/>
  <c r="N386" i="208"/>
  <c r="M386" i="208"/>
  <c r="L386" i="208"/>
  <c r="K386" i="208"/>
  <c r="J386" i="208"/>
  <c r="I386" i="208"/>
  <c r="H386" i="208"/>
  <c r="G386" i="208"/>
  <c r="F386" i="208"/>
  <c r="E386" i="208"/>
  <c r="P385" i="208"/>
  <c r="O385" i="208"/>
  <c r="N385" i="208"/>
  <c r="M385" i="208"/>
  <c r="L385" i="208"/>
  <c r="K385" i="208"/>
  <c r="J385" i="208"/>
  <c r="I385" i="208"/>
  <c r="H385" i="208"/>
  <c r="G385" i="208"/>
  <c r="F385" i="208"/>
  <c r="E385" i="208"/>
  <c r="P384" i="208"/>
  <c r="O384" i="208"/>
  <c r="N384" i="208"/>
  <c r="M384" i="208"/>
  <c r="L384" i="208"/>
  <c r="K384" i="208"/>
  <c r="J384" i="208"/>
  <c r="I384" i="208"/>
  <c r="H384" i="208"/>
  <c r="G384" i="208"/>
  <c r="F384" i="208"/>
  <c r="E384" i="208"/>
  <c r="P383" i="208"/>
  <c r="O383" i="208"/>
  <c r="N383" i="208"/>
  <c r="M383" i="208"/>
  <c r="L383" i="208"/>
  <c r="K383" i="208"/>
  <c r="J383" i="208"/>
  <c r="I383" i="208"/>
  <c r="H383" i="208"/>
  <c r="G383" i="208"/>
  <c r="F383" i="208"/>
  <c r="E383" i="208"/>
  <c r="P382" i="208"/>
  <c r="O382" i="208"/>
  <c r="N382" i="208"/>
  <c r="M382" i="208"/>
  <c r="L382" i="208"/>
  <c r="K382" i="208"/>
  <c r="J382" i="208"/>
  <c r="I382" i="208"/>
  <c r="H382" i="208"/>
  <c r="G382" i="208"/>
  <c r="F382" i="208"/>
  <c r="E382" i="208"/>
  <c r="P381" i="208"/>
  <c r="O381" i="208"/>
  <c r="N381" i="208"/>
  <c r="M381" i="208"/>
  <c r="L381" i="208"/>
  <c r="K381" i="208"/>
  <c r="J381" i="208"/>
  <c r="I381" i="208"/>
  <c r="H381" i="208"/>
  <c r="G381" i="208"/>
  <c r="F381" i="208"/>
  <c r="E381" i="208"/>
  <c r="P380" i="208"/>
  <c r="O380" i="208"/>
  <c r="N380" i="208"/>
  <c r="M380" i="208"/>
  <c r="L380" i="208"/>
  <c r="K380" i="208"/>
  <c r="J380" i="208"/>
  <c r="I380" i="208"/>
  <c r="H380" i="208"/>
  <c r="G380" i="208"/>
  <c r="F380" i="208"/>
  <c r="E380" i="208"/>
  <c r="P379" i="208"/>
  <c r="O379" i="208"/>
  <c r="N379" i="208"/>
  <c r="M379" i="208"/>
  <c r="L379" i="208"/>
  <c r="K379" i="208"/>
  <c r="J379" i="208"/>
  <c r="I379" i="208"/>
  <c r="H379" i="208"/>
  <c r="G379" i="208"/>
  <c r="F379" i="208"/>
  <c r="E379" i="208"/>
  <c r="P378" i="208"/>
  <c r="O378" i="208"/>
  <c r="N378" i="208"/>
  <c r="M378" i="208"/>
  <c r="L378" i="208"/>
  <c r="K378" i="208"/>
  <c r="J378" i="208"/>
  <c r="I378" i="208"/>
  <c r="H378" i="208"/>
  <c r="G378" i="208"/>
  <c r="F378" i="208"/>
  <c r="E378" i="208"/>
  <c r="P377" i="208"/>
  <c r="O377" i="208"/>
  <c r="N377" i="208"/>
  <c r="M377" i="208"/>
  <c r="L377" i="208"/>
  <c r="L373" i="208" s="1"/>
  <c r="K377" i="208"/>
  <c r="J377" i="208"/>
  <c r="I377" i="208"/>
  <c r="H377" i="208"/>
  <c r="G377" i="208"/>
  <c r="F377" i="208"/>
  <c r="E377" i="208"/>
  <c r="P376" i="208"/>
  <c r="O376" i="208"/>
  <c r="N376" i="208"/>
  <c r="M376" i="208"/>
  <c r="L376" i="208"/>
  <c r="K376" i="208"/>
  <c r="J376" i="208"/>
  <c r="I376" i="208"/>
  <c r="H376" i="208"/>
  <c r="G376" i="208"/>
  <c r="F376" i="208"/>
  <c r="E376" i="208"/>
  <c r="P375" i="208"/>
  <c r="O375" i="208"/>
  <c r="N375" i="208"/>
  <c r="M375" i="208"/>
  <c r="L375" i="208"/>
  <c r="K375" i="208"/>
  <c r="J375" i="208"/>
  <c r="I375" i="208"/>
  <c r="H375" i="208"/>
  <c r="G375" i="208"/>
  <c r="F375" i="208"/>
  <c r="E375" i="208"/>
  <c r="P374" i="208"/>
  <c r="O374" i="208"/>
  <c r="N374" i="208"/>
  <c r="M374" i="208"/>
  <c r="L374" i="208"/>
  <c r="K374" i="208"/>
  <c r="J374" i="208"/>
  <c r="I374" i="208"/>
  <c r="H374" i="208"/>
  <c r="G374" i="208"/>
  <c r="F374" i="208"/>
  <c r="E374" i="208"/>
  <c r="P355" i="208"/>
  <c r="O355" i="208"/>
  <c r="N355" i="208"/>
  <c r="M355" i="208"/>
  <c r="L355" i="208"/>
  <c r="L354" i="208" s="1"/>
  <c r="L353" i="208" s="1"/>
  <c r="K355" i="208"/>
  <c r="J355" i="208"/>
  <c r="I355" i="208"/>
  <c r="H355" i="208"/>
  <c r="H354" i="208" s="1"/>
  <c r="H353" i="208" s="1"/>
  <c r="G355" i="208"/>
  <c r="F355" i="208"/>
  <c r="E355" i="208"/>
  <c r="P369" i="208"/>
  <c r="O369" i="208"/>
  <c r="N369" i="208"/>
  <c r="M369" i="208"/>
  <c r="L369" i="208"/>
  <c r="K369" i="208"/>
  <c r="J369" i="208"/>
  <c r="I369" i="208"/>
  <c r="H369" i="208"/>
  <c r="G369" i="208"/>
  <c r="F369" i="208"/>
  <c r="E369" i="208"/>
  <c r="P368" i="208"/>
  <c r="O368" i="208"/>
  <c r="N368" i="208"/>
  <c r="M368" i="208"/>
  <c r="L368" i="208"/>
  <c r="K368" i="208"/>
  <c r="J368" i="208"/>
  <c r="I368" i="208"/>
  <c r="H368" i="208"/>
  <c r="G368" i="208"/>
  <c r="F368" i="208"/>
  <c r="E368" i="208"/>
  <c r="P367" i="208"/>
  <c r="O367" i="208"/>
  <c r="N367" i="208"/>
  <c r="M367" i="208"/>
  <c r="L367" i="208"/>
  <c r="K367" i="208"/>
  <c r="J367" i="208"/>
  <c r="I367" i="208"/>
  <c r="H367" i="208"/>
  <c r="G367" i="208"/>
  <c r="F367" i="208"/>
  <c r="E367" i="208"/>
  <c r="P366" i="208"/>
  <c r="O366" i="208"/>
  <c r="N366" i="208"/>
  <c r="M366" i="208"/>
  <c r="L366" i="208"/>
  <c r="K366" i="208"/>
  <c r="J366" i="208"/>
  <c r="I366" i="208"/>
  <c r="H366" i="208"/>
  <c r="G366" i="208"/>
  <c r="F366" i="208"/>
  <c r="E366" i="208"/>
  <c r="P365" i="208"/>
  <c r="O365" i="208"/>
  <c r="N365" i="208"/>
  <c r="M365" i="208"/>
  <c r="L365" i="208"/>
  <c r="K365" i="208"/>
  <c r="J365" i="208"/>
  <c r="I365" i="208"/>
  <c r="H365" i="208"/>
  <c r="G365" i="208"/>
  <c r="F365" i="208"/>
  <c r="E365" i="208"/>
  <c r="P364" i="208"/>
  <c r="O364" i="208"/>
  <c r="N364" i="208"/>
  <c r="M364" i="208"/>
  <c r="L364" i="208"/>
  <c r="K364" i="208"/>
  <c r="J364" i="208"/>
  <c r="I364" i="208"/>
  <c r="H364" i="208"/>
  <c r="G364" i="208"/>
  <c r="F364" i="208"/>
  <c r="E364" i="208"/>
  <c r="P363" i="208"/>
  <c r="O363" i="208"/>
  <c r="N363" i="208"/>
  <c r="M363" i="208"/>
  <c r="L363" i="208"/>
  <c r="K363" i="208"/>
  <c r="J363" i="208"/>
  <c r="I363" i="208"/>
  <c r="H363" i="208"/>
  <c r="G363" i="208"/>
  <c r="F363" i="208"/>
  <c r="E363" i="208"/>
  <c r="P362" i="208"/>
  <c r="O362" i="208"/>
  <c r="N362" i="208"/>
  <c r="M362" i="208"/>
  <c r="L362" i="208"/>
  <c r="K362" i="208"/>
  <c r="J362" i="208"/>
  <c r="I362" i="208"/>
  <c r="H362" i="208"/>
  <c r="G362" i="208"/>
  <c r="F362" i="208"/>
  <c r="E362" i="208"/>
  <c r="P361" i="208"/>
  <c r="O361" i="208"/>
  <c r="N361" i="208"/>
  <c r="M361" i="208"/>
  <c r="L361" i="208"/>
  <c r="K361" i="208"/>
  <c r="J361" i="208"/>
  <c r="I361" i="208"/>
  <c r="H361" i="208"/>
  <c r="G361" i="208"/>
  <c r="F361" i="208"/>
  <c r="E361" i="208"/>
  <c r="P360" i="208"/>
  <c r="O360" i="208"/>
  <c r="N360" i="208"/>
  <c r="M360" i="208"/>
  <c r="L360" i="208"/>
  <c r="K360" i="208"/>
  <c r="J360" i="208"/>
  <c r="I360" i="208"/>
  <c r="H360" i="208"/>
  <c r="G360" i="208"/>
  <c r="F360" i="208"/>
  <c r="E360" i="208"/>
  <c r="P359" i="208"/>
  <c r="O359" i="208"/>
  <c r="N359" i="208"/>
  <c r="M359" i="208"/>
  <c r="L359" i="208"/>
  <c r="K359" i="208"/>
  <c r="J359" i="208"/>
  <c r="I359" i="208"/>
  <c r="H359" i="208"/>
  <c r="G359" i="208"/>
  <c r="F359" i="208"/>
  <c r="E359" i="208"/>
  <c r="P358" i="208"/>
  <c r="O358" i="208"/>
  <c r="N358" i="208"/>
  <c r="M358" i="208"/>
  <c r="L358" i="208"/>
  <c r="K358" i="208"/>
  <c r="J358" i="208"/>
  <c r="I358" i="208"/>
  <c r="H358" i="208"/>
  <c r="G358" i="208"/>
  <c r="F358" i="208"/>
  <c r="E358" i="208"/>
  <c r="P357" i="208"/>
  <c r="O357" i="208"/>
  <c r="N357" i="208"/>
  <c r="M357" i="208"/>
  <c r="L357" i="208"/>
  <c r="K357" i="208"/>
  <c r="J357" i="208"/>
  <c r="I357" i="208"/>
  <c r="H357" i="208"/>
  <c r="G357" i="208"/>
  <c r="F357" i="208"/>
  <c r="E357" i="208"/>
  <c r="P356" i="208"/>
  <c r="O356" i="208"/>
  <c r="N356" i="208"/>
  <c r="M356" i="208"/>
  <c r="L356" i="208"/>
  <c r="K356" i="208"/>
  <c r="J356" i="208"/>
  <c r="I356" i="208"/>
  <c r="H356" i="208"/>
  <c r="G356" i="208"/>
  <c r="F356" i="208"/>
  <c r="E356" i="208"/>
  <c r="P349" i="208"/>
  <c r="O349" i="208"/>
  <c r="N349" i="208"/>
  <c r="M349" i="208"/>
  <c r="L349" i="208"/>
  <c r="K349" i="208"/>
  <c r="J349" i="208"/>
  <c r="I349" i="208"/>
  <c r="H349" i="208"/>
  <c r="G349" i="208"/>
  <c r="F349" i="208"/>
  <c r="E349" i="208"/>
  <c r="P348" i="208"/>
  <c r="O348" i="208"/>
  <c r="N348" i="208"/>
  <c r="M348" i="208"/>
  <c r="L348" i="208"/>
  <c r="K348" i="208"/>
  <c r="J348" i="208"/>
  <c r="I348" i="208"/>
  <c r="H348" i="208"/>
  <c r="G348" i="208"/>
  <c r="F348" i="208"/>
  <c r="E348" i="208"/>
  <c r="P347" i="208"/>
  <c r="O347" i="208"/>
  <c r="N347" i="208"/>
  <c r="M347" i="208"/>
  <c r="L347" i="208"/>
  <c r="K347" i="208"/>
  <c r="J347" i="208"/>
  <c r="I347" i="208"/>
  <c r="H347" i="208"/>
  <c r="G347" i="208"/>
  <c r="F347" i="208"/>
  <c r="E347" i="208"/>
  <c r="P346" i="208"/>
  <c r="O346" i="208"/>
  <c r="N346" i="208"/>
  <c r="M346" i="208"/>
  <c r="L346" i="208"/>
  <c r="K346" i="208"/>
  <c r="J346" i="208"/>
  <c r="I346" i="208"/>
  <c r="H346" i="208"/>
  <c r="H345" i="208" s="1"/>
  <c r="H344" i="208" s="1"/>
  <c r="G346" i="208"/>
  <c r="F346" i="208"/>
  <c r="E346" i="208"/>
  <c r="P337" i="208"/>
  <c r="O337" i="208"/>
  <c r="N337" i="208"/>
  <c r="M337" i="208"/>
  <c r="L337" i="208"/>
  <c r="K337" i="208"/>
  <c r="J337" i="208"/>
  <c r="I337" i="208"/>
  <c r="H337" i="208"/>
  <c r="G337" i="208"/>
  <c r="F337" i="208"/>
  <c r="E337" i="208"/>
  <c r="P336" i="208"/>
  <c r="O336" i="208"/>
  <c r="N336" i="208"/>
  <c r="M336" i="208"/>
  <c r="L336" i="208"/>
  <c r="K336" i="208"/>
  <c r="J336" i="208"/>
  <c r="I336" i="208"/>
  <c r="H336" i="208"/>
  <c r="G336" i="208"/>
  <c r="F336" i="208"/>
  <c r="E336" i="208"/>
  <c r="P335" i="208"/>
  <c r="O335" i="208"/>
  <c r="N335" i="208"/>
  <c r="M335" i="208"/>
  <c r="L335" i="208"/>
  <c r="K335" i="208"/>
  <c r="J335" i="208"/>
  <c r="I335" i="208"/>
  <c r="H335" i="208"/>
  <c r="G335" i="208"/>
  <c r="F335" i="208"/>
  <c r="E335" i="208"/>
  <c r="P334" i="208"/>
  <c r="O334" i="208"/>
  <c r="N334" i="208"/>
  <c r="M334" i="208"/>
  <c r="L334" i="208"/>
  <c r="K334" i="208"/>
  <c r="J334" i="208"/>
  <c r="I334" i="208"/>
  <c r="H334" i="208"/>
  <c r="G334" i="208"/>
  <c r="F334" i="208"/>
  <c r="E334" i="208"/>
  <c r="P333" i="208"/>
  <c r="O333" i="208"/>
  <c r="N333" i="208"/>
  <c r="M333" i="208"/>
  <c r="L333" i="208"/>
  <c r="K333" i="208"/>
  <c r="J333" i="208"/>
  <c r="I333" i="208"/>
  <c r="H333" i="208"/>
  <c r="G333" i="208"/>
  <c r="F333" i="208"/>
  <c r="E333" i="208"/>
  <c r="P332" i="208"/>
  <c r="O332" i="208"/>
  <c r="N332" i="208"/>
  <c r="M332" i="208"/>
  <c r="L332" i="208"/>
  <c r="K332" i="208"/>
  <c r="J332" i="208"/>
  <c r="I332" i="208"/>
  <c r="H332" i="208"/>
  <c r="G332" i="208"/>
  <c r="F332" i="208"/>
  <c r="E332" i="208"/>
  <c r="P331" i="208"/>
  <c r="O331" i="208"/>
  <c r="N331" i="208"/>
  <c r="M331" i="208"/>
  <c r="L331" i="208"/>
  <c r="K331" i="208"/>
  <c r="J331" i="208"/>
  <c r="I331" i="208"/>
  <c r="H331" i="208"/>
  <c r="G331" i="208"/>
  <c r="F331" i="208"/>
  <c r="E331" i="208"/>
  <c r="P330" i="208"/>
  <c r="O330" i="208"/>
  <c r="N330" i="208"/>
  <c r="M330" i="208"/>
  <c r="L330" i="208"/>
  <c r="K330" i="208"/>
  <c r="J330" i="208"/>
  <c r="I330" i="208"/>
  <c r="H330" i="208"/>
  <c r="G330" i="208"/>
  <c r="F330" i="208"/>
  <c r="E330" i="208"/>
  <c r="P329" i="208"/>
  <c r="O329" i="208"/>
  <c r="N329" i="208"/>
  <c r="M329" i="208"/>
  <c r="L329" i="208"/>
  <c r="K329" i="208"/>
  <c r="J329" i="208"/>
  <c r="I329" i="208"/>
  <c r="H329" i="208"/>
  <c r="G329" i="208"/>
  <c r="F329" i="208"/>
  <c r="E329" i="208"/>
  <c r="P328" i="208"/>
  <c r="O328" i="208"/>
  <c r="N328" i="208"/>
  <c r="M328" i="208"/>
  <c r="L328" i="208"/>
  <c r="K328" i="208"/>
  <c r="J328" i="208"/>
  <c r="I328" i="208"/>
  <c r="H328" i="208"/>
  <c r="G328" i="208"/>
  <c r="F328" i="208"/>
  <c r="E328" i="208"/>
  <c r="P327" i="208"/>
  <c r="O327" i="208"/>
  <c r="N327" i="208"/>
  <c r="M327" i="208"/>
  <c r="L327" i="208"/>
  <c r="K327" i="208"/>
  <c r="J327" i="208"/>
  <c r="I327" i="208"/>
  <c r="H327" i="208"/>
  <c r="G327" i="208"/>
  <c r="F327" i="208"/>
  <c r="E327" i="208"/>
  <c r="P326" i="208"/>
  <c r="O326" i="208"/>
  <c r="N326" i="208"/>
  <c r="M326" i="208"/>
  <c r="L326" i="208"/>
  <c r="K326" i="208"/>
  <c r="J326" i="208"/>
  <c r="I326" i="208"/>
  <c r="H326" i="208"/>
  <c r="G326" i="208"/>
  <c r="F326" i="208"/>
  <c r="E326" i="208"/>
  <c r="P325" i="208"/>
  <c r="O325" i="208"/>
  <c r="N325" i="208"/>
  <c r="M325" i="208"/>
  <c r="L325" i="208"/>
  <c r="K325" i="208"/>
  <c r="J325" i="208"/>
  <c r="I325" i="208"/>
  <c r="H325" i="208"/>
  <c r="G325" i="208"/>
  <c r="F325" i="208"/>
  <c r="E325" i="208"/>
  <c r="P324" i="208"/>
  <c r="O324" i="208"/>
  <c r="N324" i="208"/>
  <c r="M324" i="208"/>
  <c r="L324" i="208"/>
  <c r="K324" i="208"/>
  <c r="J324" i="208"/>
  <c r="I324" i="208"/>
  <c r="H324" i="208"/>
  <c r="G324" i="208"/>
  <c r="F324" i="208"/>
  <c r="E324" i="208"/>
  <c r="P323" i="208"/>
  <c r="O323" i="208"/>
  <c r="N323" i="208"/>
  <c r="M323" i="208"/>
  <c r="L323" i="208"/>
  <c r="K323" i="208"/>
  <c r="J323" i="208"/>
  <c r="I323" i="208"/>
  <c r="H323" i="208"/>
  <c r="G323" i="208"/>
  <c r="F323" i="208"/>
  <c r="E323" i="208"/>
  <c r="P322" i="208"/>
  <c r="O322" i="208"/>
  <c r="N322" i="208"/>
  <c r="M322" i="208"/>
  <c r="L322" i="208"/>
  <c r="K322" i="208"/>
  <c r="J322" i="208"/>
  <c r="I322" i="208"/>
  <c r="H322" i="208"/>
  <c r="G322" i="208"/>
  <c r="F322" i="208"/>
  <c r="E322" i="208"/>
  <c r="P321" i="208"/>
  <c r="O321" i="208"/>
  <c r="N321" i="208"/>
  <c r="M321" i="208"/>
  <c r="M320" i="208" s="1"/>
  <c r="M319" i="208" s="1"/>
  <c r="L321" i="208"/>
  <c r="K321" i="208"/>
  <c r="J321" i="208"/>
  <c r="I321" i="208"/>
  <c r="I320" i="208" s="1"/>
  <c r="I319" i="208" s="1"/>
  <c r="H321" i="208"/>
  <c r="H320" i="208" s="1"/>
  <c r="H319" i="208" s="1"/>
  <c r="G321" i="208"/>
  <c r="F321" i="208"/>
  <c r="E321" i="208"/>
  <c r="E320" i="208" s="1"/>
  <c r="P314" i="208"/>
  <c r="O314" i="208"/>
  <c r="N314" i="208"/>
  <c r="M314" i="208"/>
  <c r="L314" i="208"/>
  <c r="K314" i="208"/>
  <c r="J314" i="208"/>
  <c r="I314" i="208"/>
  <c r="H314" i="208"/>
  <c r="G314" i="208"/>
  <c r="F314" i="208"/>
  <c r="E314" i="208"/>
  <c r="P313" i="208"/>
  <c r="O313" i="208"/>
  <c r="N313" i="208"/>
  <c r="M313" i="208"/>
  <c r="L313" i="208"/>
  <c r="K313" i="208"/>
  <c r="J313" i="208"/>
  <c r="I313" i="208"/>
  <c r="H313" i="208"/>
  <c r="G313" i="208"/>
  <c r="F313" i="208"/>
  <c r="E313" i="208"/>
  <c r="P312" i="208"/>
  <c r="O312" i="208"/>
  <c r="N312" i="208"/>
  <c r="M312" i="208"/>
  <c r="L312" i="208"/>
  <c r="K312" i="208"/>
  <c r="J312" i="208"/>
  <c r="I312" i="208"/>
  <c r="H312" i="208"/>
  <c r="G312" i="208"/>
  <c r="F312" i="208"/>
  <c r="E312" i="208"/>
  <c r="P311" i="208"/>
  <c r="O311" i="208"/>
  <c r="N311" i="208"/>
  <c r="M311" i="208"/>
  <c r="L311" i="208"/>
  <c r="K311" i="208"/>
  <c r="J311" i="208"/>
  <c r="I311" i="208"/>
  <c r="H311" i="208"/>
  <c r="G311" i="208"/>
  <c r="F311" i="208"/>
  <c r="E311" i="208"/>
  <c r="P310" i="208"/>
  <c r="O310" i="208"/>
  <c r="N310" i="208"/>
  <c r="M310" i="208"/>
  <c r="L310" i="208"/>
  <c r="K310" i="208"/>
  <c r="J310" i="208"/>
  <c r="I310" i="208"/>
  <c r="H310" i="208"/>
  <c r="G310" i="208"/>
  <c r="F310" i="208"/>
  <c r="E310" i="208"/>
  <c r="P309" i="208"/>
  <c r="O309" i="208"/>
  <c r="N309" i="208"/>
  <c r="M309" i="208"/>
  <c r="L309" i="208"/>
  <c r="K309" i="208"/>
  <c r="J309" i="208"/>
  <c r="I309" i="208"/>
  <c r="H309" i="208"/>
  <c r="G309" i="208"/>
  <c r="F309" i="208"/>
  <c r="E309" i="208"/>
  <c r="P308" i="208"/>
  <c r="O308" i="208"/>
  <c r="N308" i="208"/>
  <c r="M308" i="208"/>
  <c r="L308" i="208"/>
  <c r="K308" i="208"/>
  <c r="J308" i="208"/>
  <c r="I308" i="208"/>
  <c r="H308" i="208"/>
  <c r="G308" i="208"/>
  <c r="F308" i="208"/>
  <c r="E308" i="208"/>
  <c r="P307" i="208"/>
  <c r="O307" i="208"/>
  <c r="N307" i="208"/>
  <c r="M307" i="208"/>
  <c r="L307" i="208"/>
  <c r="K307" i="208"/>
  <c r="J307" i="208"/>
  <c r="I307" i="208"/>
  <c r="H307" i="208"/>
  <c r="G307" i="208"/>
  <c r="F307" i="208"/>
  <c r="E307" i="208"/>
  <c r="P306" i="208"/>
  <c r="O306" i="208"/>
  <c r="N306" i="208"/>
  <c r="M306" i="208"/>
  <c r="L306" i="208"/>
  <c r="K306" i="208"/>
  <c r="J306" i="208"/>
  <c r="I306" i="208"/>
  <c r="H306" i="208"/>
  <c r="G306" i="208"/>
  <c r="F306" i="208"/>
  <c r="E306" i="208"/>
  <c r="P305" i="208"/>
  <c r="O305" i="208"/>
  <c r="N305" i="208"/>
  <c r="M305" i="208"/>
  <c r="L305" i="208"/>
  <c r="K305" i="208"/>
  <c r="J305" i="208"/>
  <c r="I305" i="208"/>
  <c r="H305" i="208"/>
  <c r="G305" i="208"/>
  <c r="F305" i="208"/>
  <c r="E305" i="208"/>
  <c r="P304" i="208"/>
  <c r="O304" i="208"/>
  <c r="N304" i="208"/>
  <c r="M304" i="208"/>
  <c r="L304" i="208"/>
  <c r="K304" i="208"/>
  <c r="J304" i="208"/>
  <c r="I304" i="208"/>
  <c r="H304" i="208"/>
  <c r="G304" i="208"/>
  <c r="F304" i="208"/>
  <c r="E304" i="208"/>
  <c r="P303" i="208"/>
  <c r="O303" i="208"/>
  <c r="N303" i="208"/>
  <c r="M303" i="208"/>
  <c r="L303" i="208"/>
  <c r="K303" i="208"/>
  <c r="J303" i="208"/>
  <c r="I303" i="208"/>
  <c r="H303" i="208"/>
  <c r="G303" i="208"/>
  <c r="F303" i="208"/>
  <c r="E303" i="208"/>
  <c r="P302" i="208"/>
  <c r="O302" i="208"/>
  <c r="N302" i="208"/>
  <c r="M302" i="208"/>
  <c r="L302" i="208"/>
  <c r="K302" i="208"/>
  <c r="J302" i="208"/>
  <c r="I302" i="208"/>
  <c r="H302" i="208"/>
  <c r="G302" i="208"/>
  <c r="F302" i="208"/>
  <c r="E302" i="208"/>
  <c r="P301" i="208"/>
  <c r="O301" i="208"/>
  <c r="N301" i="208"/>
  <c r="M301" i="208"/>
  <c r="L301" i="208"/>
  <c r="K301" i="208"/>
  <c r="J301" i="208"/>
  <c r="I301" i="208"/>
  <c r="H301" i="208"/>
  <c r="G301" i="208"/>
  <c r="F301" i="208"/>
  <c r="E301" i="208"/>
  <c r="P300" i="208"/>
  <c r="O300" i="208"/>
  <c r="N300" i="208"/>
  <c r="M300" i="208"/>
  <c r="L300" i="208"/>
  <c r="K300" i="208"/>
  <c r="J300" i="208"/>
  <c r="I300" i="208"/>
  <c r="H300" i="208"/>
  <c r="G300" i="208"/>
  <c r="F300" i="208"/>
  <c r="E300" i="208"/>
  <c r="P299" i="208"/>
  <c r="O299" i="208"/>
  <c r="N299" i="208"/>
  <c r="M299" i="208"/>
  <c r="L299" i="208"/>
  <c r="K299" i="208"/>
  <c r="J299" i="208"/>
  <c r="I299" i="208"/>
  <c r="H299" i="208"/>
  <c r="G299" i="208"/>
  <c r="F299" i="208"/>
  <c r="E299" i="208"/>
  <c r="P298" i="208"/>
  <c r="O298" i="208"/>
  <c r="N298" i="208"/>
  <c r="M298" i="208"/>
  <c r="L298" i="208"/>
  <c r="K298" i="208"/>
  <c r="J298" i="208"/>
  <c r="I298" i="208"/>
  <c r="H298" i="208"/>
  <c r="G298" i="208"/>
  <c r="F298" i="208"/>
  <c r="E298" i="208"/>
  <c r="P297" i="208"/>
  <c r="O297" i="208"/>
  <c r="N297" i="208"/>
  <c r="M297" i="208"/>
  <c r="L297" i="208"/>
  <c r="K297" i="208"/>
  <c r="J297" i="208"/>
  <c r="I297" i="208"/>
  <c r="H297" i="208"/>
  <c r="G297" i="208"/>
  <c r="F297" i="208"/>
  <c r="E297" i="208"/>
  <c r="P296" i="208"/>
  <c r="O296" i="208"/>
  <c r="N296" i="208"/>
  <c r="M296" i="208"/>
  <c r="L296" i="208"/>
  <c r="K296" i="208"/>
  <c r="J296" i="208"/>
  <c r="I296" i="208"/>
  <c r="H296" i="208"/>
  <c r="G296" i="208"/>
  <c r="F296" i="208"/>
  <c r="E296" i="208"/>
  <c r="P295" i="208"/>
  <c r="O295" i="208"/>
  <c r="N295" i="208"/>
  <c r="M295" i="208"/>
  <c r="L295" i="208"/>
  <c r="K295" i="208"/>
  <c r="J295" i="208"/>
  <c r="I295" i="208"/>
  <c r="H295" i="208"/>
  <c r="G295" i="208"/>
  <c r="F295" i="208"/>
  <c r="E295" i="208"/>
  <c r="P294" i="208"/>
  <c r="O294" i="208"/>
  <c r="N294" i="208"/>
  <c r="M294" i="208"/>
  <c r="L294" i="208"/>
  <c r="K294" i="208"/>
  <c r="J294" i="208"/>
  <c r="I294" i="208"/>
  <c r="H294" i="208"/>
  <c r="G294" i="208"/>
  <c r="F294" i="208"/>
  <c r="E294" i="208"/>
  <c r="P293" i="208"/>
  <c r="O293" i="208"/>
  <c r="N293" i="208"/>
  <c r="M293" i="208"/>
  <c r="L293" i="208"/>
  <c r="K293" i="208"/>
  <c r="J293" i="208"/>
  <c r="I293" i="208"/>
  <c r="H293" i="208"/>
  <c r="G293" i="208"/>
  <c r="F293" i="208"/>
  <c r="E293" i="208"/>
  <c r="P292" i="208"/>
  <c r="O292" i="208"/>
  <c r="N292" i="208"/>
  <c r="M292" i="208"/>
  <c r="L292" i="208"/>
  <c r="K292" i="208"/>
  <c r="J292" i="208"/>
  <c r="I292" i="208"/>
  <c r="H292" i="208"/>
  <c r="G292" i="208"/>
  <c r="F292" i="208"/>
  <c r="E292" i="208"/>
  <c r="P291" i="208"/>
  <c r="O291" i="208"/>
  <c r="N291" i="208"/>
  <c r="M291" i="208"/>
  <c r="L291" i="208"/>
  <c r="K291" i="208"/>
  <c r="J291" i="208"/>
  <c r="I291" i="208"/>
  <c r="H291" i="208"/>
  <c r="G291" i="208"/>
  <c r="F291" i="208"/>
  <c r="E291" i="208"/>
  <c r="P290" i="208"/>
  <c r="O290" i="208"/>
  <c r="N290" i="208"/>
  <c r="M290" i="208"/>
  <c r="L290" i="208"/>
  <c r="K290" i="208"/>
  <c r="J290" i="208"/>
  <c r="I290" i="208"/>
  <c r="H290" i="208"/>
  <c r="G290" i="208"/>
  <c r="F290" i="208"/>
  <c r="E290" i="208"/>
  <c r="P289" i="208"/>
  <c r="O289" i="208"/>
  <c r="N289" i="208"/>
  <c r="M289" i="208"/>
  <c r="L289" i="208"/>
  <c r="K289" i="208"/>
  <c r="J289" i="208"/>
  <c r="I289" i="208"/>
  <c r="H289" i="208"/>
  <c r="G289" i="208"/>
  <c r="F289" i="208"/>
  <c r="E289" i="208"/>
  <c r="P288" i="208"/>
  <c r="O288" i="208"/>
  <c r="N288" i="208"/>
  <c r="M288" i="208"/>
  <c r="L288" i="208"/>
  <c r="K288" i="208"/>
  <c r="J288" i="208"/>
  <c r="I288" i="208"/>
  <c r="H288" i="208"/>
  <c r="G288" i="208"/>
  <c r="F288" i="208"/>
  <c r="E288" i="208"/>
  <c r="P287" i="208"/>
  <c r="O287" i="208"/>
  <c r="N287" i="208"/>
  <c r="M287" i="208"/>
  <c r="L287" i="208"/>
  <c r="K287" i="208"/>
  <c r="J287" i="208"/>
  <c r="I287" i="208"/>
  <c r="H287" i="208"/>
  <c r="G287" i="208"/>
  <c r="F287" i="208"/>
  <c r="E287" i="208"/>
  <c r="P286" i="208"/>
  <c r="O286" i="208"/>
  <c r="N286" i="208"/>
  <c r="M286" i="208"/>
  <c r="L286" i="208"/>
  <c r="K286" i="208"/>
  <c r="J286" i="208"/>
  <c r="I286" i="208"/>
  <c r="H286" i="208"/>
  <c r="H285" i="208" s="1"/>
  <c r="H284" i="208" s="1"/>
  <c r="G286" i="208"/>
  <c r="F286" i="208"/>
  <c r="E286" i="208"/>
  <c r="P281" i="208"/>
  <c r="O281" i="208"/>
  <c r="N281" i="208"/>
  <c r="M281" i="208"/>
  <c r="L281" i="208"/>
  <c r="K281" i="208"/>
  <c r="J281" i="208"/>
  <c r="I281" i="208"/>
  <c r="H281" i="208"/>
  <c r="G281" i="208"/>
  <c r="F281" i="208"/>
  <c r="E281" i="208"/>
  <c r="P280" i="208"/>
  <c r="O280" i="208"/>
  <c r="N280" i="208"/>
  <c r="M280" i="208"/>
  <c r="L280" i="208"/>
  <c r="K280" i="208"/>
  <c r="J280" i="208"/>
  <c r="I280" i="208"/>
  <c r="H280" i="208"/>
  <c r="G280" i="208"/>
  <c r="F280" i="208"/>
  <c r="E280" i="208"/>
  <c r="P279" i="208"/>
  <c r="O279" i="208"/>
  <c r="N279" i="208"/>
  <c r="M279" i="208"/>
  <c r="L279" i="208"/>
  <c r="K279" i="208"/>
  <c r="J279" i="208"/>
  <c r="I279" i="208"/>
  <c r="H279" i="208"/>
  <c r="G279" i="208"/>
  <c r="F279" i="208"/>
  <c r="E279" i="208"/>
  <c r="P278" i="208"/>
  <c r="O278" i="208"/>
  <c r="N278" i="208"/>
  <c r="M278" i="208"/>
  <c r="L278" i="208"/>
  <c r="K278" i="208"/>
  <c r="J278" i="208"/>
  <c r="I278" i="208"/>
  <c r="H278" i="208"/>
  <c r="G278" i="208"/>
  <c r="F278" i="208"/>
  <c r="E278" i="208"/>
  <c r="P277" i="208"/>
  <c r="O277" i="208"/>
  <c r="N277" i="208"/>
  <c r="M277" i="208"/>
  <c r="L277" i="208"/>
  <c r="K277" i="208"/>
  <c r="J277" i="208"/>
  <c r="I277" i="208"/>
  <c r="H277" i="208"/>
  <c r="G277" i="208"/>
  <c r="F277" i="208"/>
  <c r="E277" i="208"/>
  <c r="P276" i="208"/>
  <c r="O276" i="208"/>
  <c r="N276" i="208"/>
  <c r="M276" i="208"/>
  <c r="L276" i="208"/>
  <c r="K276" i="208"/>
  <c r="J276" i="208"/>
  <c r="I276" i="208"/>
  <c r="H276" i="208"/>
  <c r="G276" i="208"/>
  <c r="F276" i="208"/>
  <c r="E276" i="208"/>
  <c r="P275" i="208"/>
  <c r="O275" i="208"/>
  <c r="N275" i="208"/>
  <c r="M275" i="208"/>
  <c r="L275" i="208"/>
  <c r="K275" i="208"/>
  <c r="J275" i="208"/>
  <c r="I275" i="208"/>
  <c r="H275" i="208"/>
  <c r="G275" i="208"/>
  <c r="F275" i="208"/>
  <c r="E275" i="208"/>
  <c r="P274" i="208"/>
  <c r="O274" i="208"/>
  <c r="N274" i="208"/>
  <c r="M274" i="208"/>
  <c r="L274" i="208"/>
  <c r="K274" i="208"/>
  <c r="J274" i="208"/>
  <c r="I274" i="208"/>
  <c r="H274" i="208"/>
  <c r="G274" i="208"/>
  <c r="F274" i="208"/>
  <c r="E274" i="208"/>
  <c r="P273" i="208"/>
  <c r="O273" i="208"/>
  <c r="N273" i="208"/>
  <c r="M273" i="208"/>
  <c r="L273" i="208"/>
  <c r="K273" i="208"/>
  <c r="J273" i="208"/>
  <c r="I273" i="208"/>
  <c r="H273" i="208"/>
  <c r="G273" i="208"/>
  <c r="F273" i="208"/>
  <c r="E273" i="208"/>
  <c r="P272" i="208"/>
  <c r="O272" i="208"/>
  <c r="N272" i="208"/>
  <c r="M272" i="208"/>
  <c r="L272" i="208"/>
  <c r="K272" i="208"/>
  <c r="J272" i="208"/>
  <c r="I272" i="208"/>
  <c r="H272" i="208"/>
  <c r="G272" i="208"/>
  <c r="F272" i="208"/>
  <c r="E272" i="208"/>
  <c r="P271" i="208"/>
  <c r="O271" i="208"/>
  <c r="N271" i="208"/>
  <c r="M271" i="208"/>
  <c r="L271" i="208"/>
  <c r="K271" i="208"/>
  <c r="J271" i="208"/>
  <c r="I271" i="208"/>
  <c r="H271" i="208"/>
  <c r="G271" i="208"/>
  <c r="F271" i="208"/>
  <c r="E271" i="208"/>
  <c r="P270" i="208"/>
  <c r="O270" i="208"/>
  <c r="N270" i="208"/>
  <c r="M270" i="208"/>
  <c r="L270" i="208"/>
  <c r="K270" i="208"/>
  <c r="J270" i="208"/>
  <c r="I270" i="208"/>
  <c r="H270" i="208"/>
  <c r="G270" i="208"/>
  <c r="F270" i="208"/>
  <c r="E270" i="208"/>
  <c r="P269" i="208"/>
  <c r="O269" i="208"/>
  <c r="N269" i="208"/>
  <c r="M269" i="208"/>
  <c r="L269" i="208"/>
  <c r="K269" i="208"/>
  <c r="J269" i="208"/>
  <c r="I269" i="208"/>
  <c r="H269" i="208"/>
  <c r="G269" i="208"/>
  <c r="F269" i="208"/>
  <c r="E269" i="208"/>
  <c r="P268" i="208"/>
  <c r="O268" i="208"/>
  <c r="N268" i="208"/>
  <c r="M268" i="208"/>
  <c r="L268" i="208"/>
  <c r="K268" i="208"/>
  <c r="J268" i="208"/>
  <c r="I268" i="208"/>
  <c r="H268" i="208"/>
  <c r="G268" i="208"/>
  <c r="F268" i="208"/>
  <c r="E268" i="208"/>
  <c r="P267" i="208"/>
  <c r="O267" i="208"/>
  <c r="N267" i="208"/>
  <c r="M267" i="208"/>
  <c r="L267" i="208"/>
  <c r="K267" i="208"/>
  <c r="J267" i="208"/>
  <c r="I267" i="208"/>
  <c r="H267" i="208"/>
  <c r="G267" i="208"/>
  <c r="F267" i="208"/>
  <c r="E267" i="208"/>
  <c r="P266" i="208"/>
  <c r="O266" i="208"/>
  <c r="N266" i="208"/>
  <c r="M266" i="208"/>
  <c r="L266" i="208"/>
  <c r="K266" i="208"/>
  <c r="J266" i="208"/>
  <c r="I266" i="208"/>
  <c r="H266" i="208"/>
  <c r="G266" i="208"/>
  <c r="F266" i="208"/>
  <c r="E266" i="208"/>
  <c r="P265" i="208"/>
  <c r="O265" i="208"/>
  <c r="N265" i="208"/>
  <c r="M265" i="208"/>
  <c r="L265" i="208"/>
  <c r="K265" i="208"/>
  <c r="J265" i="208"/>
  <c r="I265" i="208"/>
  <c r="H265" i="208"/>
  <c r="G265" i="208"/>
  <c r="F265" i="208"/>
  <c r="E265" i="208"/>
  <c r="P264" i="208"/>
  <c r="O264" i="208"/>
  <c r="N264" i="208"/>
  <c r="M264" i="208"/>
  <c r="L264" i="208"/>
  <c r="K264" i="208"/>
  <c r="J264" i="208"/>
  <c r="I264" i="208"/>
  <c r="H264" i="208"/>
  <c r="G264" i="208"/>
  <c r="F264" i="208"/>
  <c r="E264" i="208"/>
  <c r="P263" i="208"/>
  <c r="O263" i="208"/>
  <c r="N263" i="208"/>
  <c r="M263" i="208"/>
  <c r="L263" i="208"/>
  <c r="K263" i="208"/>
  <c r="J263" i="208"/>
  <c r="I263" i="208"/>
  <c r="H263" i="208"/>
  <c r="G263" i="208"/>
  <c r="F263" i="208"/>
  <c r="E263" i="208"/>
  <c r="P262" i="208"/>
  <c r="O262" i="208"/>
  <c r="N262" i="208"/>
  <c r="M262" i="208"/>
  <c r="L262" i="208"/>
  <c r="K262" i="208"/>
  <c r="J262" i="208"/>
  <c r="I262" i="208"/>
  <c r="H262" i="208"/>
  <c r="G262" i="208"/>
  <c r="F262" i="208"/>
  <c r="E262" i="208"/>
  <c r="P261" i="208"/>
  <c r="O261" i="208"/>
  <c r="N261" i="208"/>
  <c r="M261" i="208"/>
  <c r="L261" i="208"/>
  <c r="K261" i="208"/>
  <c r="J261" i="208"/>
  <c r="I261" i="208"/>
  <c r="H261" i="208"/>
  <c r="G261" i="208"/>
  <c r="F261" i="208"/>
  <c r="E261" i="208"/>
  <c r="P260" i="208"/>
  <c r="O260" i="208"/>
  <c r="N260" i="208"/>
  <c r="M260" i="208"/>
  <c r="L260" i="208"/>
  <c r="K260" i="208"/>
  <c r="J260" i="208"/>
  <c r="I260" i="208"/>
  <c r="H260" i="208"/>
  <c r="G260" i="208"/>
  <c r="F260" i="208"/>
  <c r="E260" i="208"/>
  <c r="P259" i="208"/>
  <c r="O259" i="208"/>
  <c r="N259" i="208"/>
  <c r="M259" i="208"/>
  <c r="L259" i="208"/>
  <c r="K259" i="208"/>
  <c r="J259" i="208"/>
  <c r="I259" i="208"/>
  <c r="H259" i="208"/>
  <c r="G259" i="208"/>
  <c r="F259" i="208"/>
  <c r="E259" i="208"/>
  <c r="P258" i="208"/>
  <c r="O258" i="208"/>
  <c r="N258" i="208"/>
  <c r="M258" i="208"/>
  <c r="L258" i="208"/>
  <c r="L257" i="208" s="1"/>
  <c r="K258" i="208"/>
  <c r="J258" i="208"/>
  <c r="I258" i="208"/>
  <c r="H258" i="208"/>
  <c r="H257" i="208" s="1"/>
  <c r="H256" i="208" s="1"/>
  <c r="G258" i="208"/>
  <c r="F258" i="208"/>
  <c r="E258" i="208"/>
  <c r="P242" i="208"/>
  <c r="O242" i="208"/>
  <c r="N242" i="208"/>
  <c r="M242" i="208"/>
  <c r="L242" i="208"/>
  <c r="K242" i="208"/>
  <c r="J242" i="208"/>
  <c r="I242" i="208"/>
  <c r="H242" i="208"/>
  <c r="G242" i="208"/>
  <c r="F242" i="208"/>
  <c r="E242" i="208"/>
  <c r="P241" i="208"/>
  <c r="O241" i="208"/>
  <c r="N241" i="208"/>
  <c r="M241" i="208"/>
  <c r="L241" i="208"/>
  <c r="K241" i="208"/>
  <c r="J241" i="208"/>
  <c r="I241" i="208"/>
  <c r="H241" i="208"/>
  <c r="G241" i="208"/>
  <c r="F241" i="208"/>
  <c r="E241" i="208"/>
  <c r="P240" i="208"/>
  <c r="O240" i="208"/>
  <c r="N240" i="208"/>
  <c r="M240" i="208"/>
  <c r="L240" i="208"/>
  <c r="K240" i="208"/>
  <c r="J240" i="208"/>
  <c r="I240" i="208"/>
  <c r="H240" i="208"/>
  <c r="G240" i="208"/>
  <c r="F240" i="208"/>
  <c r="E240" i="208"/>
  <c r="P239" i="208"/>
  <c r="O239" i="208"/>
  <c r="N239" i="208"/>
  <c r="M239" i="208"/>
  <c r="L239" i="208"/>
  <c r="K239" i="208"/>
  <c r="J239" i="208"/>
  <c r="I239" i="208"/>
  <c r="H239" i="208"/>
  <c r="G239" i="208"/>
  <c r="F239" i="208"/>
  <c r="E239" i="208"/>
  <c r="P238" i="208"/>
  <c r="O238" i="208"/>
  <c r="N238" i="208"/>
  <c r="M238" i="208"/>
  <c r="L238" i="208"/>
  <c r="K238" i="208"/>
  <c r="J238" i="208"/>
  <c r="I238" i="208"/>
  <c r="H238" i="208"/>
  <c r="G238" i="208"/>
  <c r="F238" i="208"/>
  <c r="E238" i="208"/>
  <c r="P237" i="208"/>
  <c r="O237" i="208"/>
  <c r="N237" i="208"/>
  <c r="M237" i="208"/>
  <c r="L237" i="208"/>
  <c r="K237" i="208"/>
  <c r="J237" i="208"/>
  <c r="I237" i="208"/>
  <c r="H237" i="208"/>
  <c r="G237" i="208"/>
  <c r="F237" i="208"/>
  <c r="E237" i="208"/>
  <c r="P236" i="208"/>
  <c r="O236" i="208"/>
  <c r="N236" i="208"/>
  <c r="M236" i="208"/>
  <c r="L236" i="208"/>
  <c r="K236" i="208"/>
  <c r="J236" i="208"/>
  <c r="I236" i="208"/>
  <c r="H236" i="208"/>
  <c r="G236" i="208"/>
  <c r="F236" i="208"/>
  <c r="E236" i="208"/>
  <c r="P235" i="208"/>
  <c r="O235" i="208"/>
  <c r="N235" i="208"/>
  <c r="M235" i="208"/>
  <c r="L235" i="208"/>
  <c r="K235" i="208"/>
  <c r="J235" i="208"/>
  <c r="I235" i="208"/>
  <c r="H235" i="208"/>
  <c r="G235" i="208"/>
  <c r="F235" i="208"/>
  <c r="E235" i="208"/>
  <c r="P234" i="208"/>
  <c r="O234" i="208"/>
  <c r="N234" i="208"/>
  <c r="M234" i="208"/>
  <c r="L234" i="208"/>
  <c r="K234" i="208"/>
  <c r="J234" i="208"/>
  <c r="I234" i="208"/>
  <c r="H234" i="208"/>
  <c r="G234" i="208"/>
  <c r="F234" i="208"/>
  <c r="E234" i="208"/>
  <c r="P233" i="208"/>
  <c r="O233" i="208"/>
  <c r="N233" i="208"/>
  <c r="M233" i="208"/>
  <c r="L233" i="208"/>
  <c r="K233" i="208"/>
  <c r="J233" i="208"/>
  <c r="I233" i="208"/>
  <c r="H233" i="208"/>
  <c r="G233" i="208"/>
  <c r="F233" i="208"/>
  <c r="E233" i="208"/>
  <c r="P232" i="208"/>
  <c r="O232" i="208"/>
  <c r="N232" i="208"/>
  <c r="M232" i="208"/>
  <c r="L232" i="208"/>
  <c r="K232" i="208"/>
  <c r="J232" i="208"/>
  <c r="I232" i="208"/>
  <c r="H232" i="208"/>
  <c r="G232" i="208"/>
  <c r="F232" i="208"/>
  <c r="E232" i="208"/>
  <c r="P231" i="208"/>
  <c r="O231" i="208"/>
  <c r="N231" i="208"/>
  <c r="M231" i="208"/>
  <c r="L231" i="208"/>
  <c r="K231" i="208"/>
  <c r="J231" i="208"/>
  <c r="I231" i="208"/>
  <c r="H231" i="208"/>
  <c r="G231" i="208"/>
  <c r="F231" i="208"/>
  <c r="E231" i="208"/>
  <c r="P230" i="208"/>
  <c r="O230" i="208"/>
  <c r="N230" i="208"/>
  <c r="M230" i="208"/>
  <c r="L230" i="208"/>
  <c r="K230" i="208"/>
  <c r="J230" i="208"/>
  <c r="I230" i="208"/>
  <c r="H230" i="208"/>
  <c r="G230" i="208"/>
  <c r="F230" i="208"/>
  <c r="E230" i="208"/>
  <c r="P229" i="208"/>
  <c r="O229" i="208"/>
  <c r="N229" i="208"/>
  <c r="M229" i="208"/>
  <c r="L229" i="208"/>
  <c r="K229" i="208"/>
  <c r="J229" i="208"/>
  <c r="I229" i="208"/>
  <c r="H229" i="208"/>
  <c r="G229" i="208"/>
  <c r="F229" i="208"/>
  <c r="E229" i="208"/>
  <c r="P228" i="208"/>
  <c r="O228" i="208"/>
  <c r="N228" i="208"/>
  <c r="M228" i="208"/>
  <c r="L228" i="208"/>
  <c r="K228" i="208"/>
  <c r="J228" i="208"/>
  <c r="I228" i="208"/>
  <c r="H228" i="208"/>
  <c r="G228" i="208"/>
  <c r="F228" i="208"/>
  <c r="E228" i="208"/>
  <c r="P227" i="208"/>
  <c r="O227" i="208"/>
  <c r="N227" i="208"/>
  <c r="M227" i="208"/>
  <c r="L227" i="208"/>
  <c r="K227" i="208"/>
  <c r="J227" i="208"/>
  <c r="I227" i="208"/>
  <c r="H227" i="208"/>
  <c r="G227" i="208"/>
  <c r="F227" i="208"/>
  <c r="E227" i="208"/>
  <c r="P226" i="208"/>
  <c r="O226" i="208"/>
  <c r="N226" i="208"/>
  <c r="M226" i="208"/>
  <c r="L226" i="208"/>
  <c r="K226" i="208"/>
  <c r="J226" i="208"/>
  <c r="I226" i="208"/>
  <c r="H226" i="208"/>
  <c r="G226" i="208"/>
  <c r="F226" i="208"/>
  <c r="E226" i="208"/>
  <c r="P225" i="208"/>
  <c r="O225" i="208"/>
  <c r="N225" i="208"/>
  <c r="M225" i="208"/>
  <c r="L225" i="208"/>
  <c r="K225" i="208"/>
  <c r="J225" i="208"/>
  <c r="I225" i="208"/>
  <c r="H225" i="208"/>
  <c r="G225" i="208"/>
  <c r="F225" i="208"/>
  <c r="E225" i="208"/>
  <c r="P224" i="208"/>
  <c r="O224" i="208"/>
  <c r="N224" i="208"/>
  <c r="M224" i="208"/>
  <c r="L224" i="208"/>
  <c r="K224" i="208"/>
  <c r="J224" i="208"/>
  <c r="I224" i="208"/>
  <c r="H224" i="208"/>
  <c r="G224" i="208"/>
  <c r="F224" i="208"/>
  <c r="E224" i="208"/>
  <c r="P223" i="208"/>
  <c r="O223" i="208"/>
  <c r="N223" i="208"/>
  <c r="M223" i="208"/>
  <c r="L223" i="208"/>
  <c r="K223" i="208"/>
  <c r="J223" i="208"/>
  <c r="I223" i="208"/>
  <c r="H223" i="208"/>
  <c r="G223" i="208"/>
  <c r="F223" i="208"/>
  <c r="E223" i="208"/>
  <c r="P222" i="208"/>
  <c r="O222" i="208"/>
  <c r="N222" i="208"/>
  <c r="M222" i="208"/>
  <c r="L222" i="208"/>
  <c r="K222" i="208"/>
  <c r="J222" i="208"/>
  <c r="I222" i="208"/>
  <c r="H222" i="208"/>
  <c r="G222" i="208"/>
  <c r="F222" i="208"/>
  <c r="E222" i="208"/>
  <c r="P214" i="208"/>
  <c r="O214" i="208"/>
  <c r="N214" i="208"/>
  <c r="M214" i="208"/>
  <c r="L214" i="208"/>
  <c r="K214" i="208"/>
  <c r="J214" i="208"/>
  <c r="I214" i="208"/>
  <c r="H214" i="208"/>
  <c r="G214" i="208"/>
  <c r="F214" i="208"/>
  <c r="E214" i="208"/>
  <c r="P213" i="208"/>
  <c r="O213" i="208"/>
  <c r="N213" i="208"/>
  <c r="M213" i="208"/>
  <c r="L213" i="208"/>
  <c r="K213" i="208"/>
  <c r="J213" i="208"/>
  <c r="I213" i="208"/>
  <c r="H213" i="208"/>
  <c r="G213" i="208"/>
  <c r="F213" i="208"/>
  <c r="E213" i="208"/>
  <c r="P212" i="208"/>
  <c r="O212" i="208"/>
  <c r="N212" i="208"/>
  <c r="M212" i="208"/>
  <c r="L212" i="208"/>
  <c r="K212" i="208"/>
  <c r="J212" i="208"/>
  <c r="I212" i="208"/>
  <c r="H212" i="208"/>
  <c r="G212" i="208"/>
  <c r="F212" i="208"/>
  <c r="E212" i="208"/>
  <c r="P211" i="208"/>
  <c r="O211" i="208"/>
  <c r="N211" i="208"/>
  <c r="M211" i="208"/>
  <c r="L211" i="208"/>
  <c r="K211" i="208"/>
  <c r="J211" i="208"/>
  <c r="I211" i="208"/>
  <c r="H211" i="208"/>
  <c r="G211" i="208"/>
  <c r="F211" i="208"/>
  <c r="E211" i="208"/>
  <c r="P210" i="208"/>
  <c r="O210" i="208"/>
  <c r="N210" i="208"/>
  <c r="M210" i="208"/>
  <c r="L210" i="208"/>
  <c r="K210" i="208"/>
  <c r="J210" i="208"/>
  <c r="I210" i="208"/>
  <c r="H210" i="208"/>
  <c r="G210" i="208"/>
  <c r="F210" i="208"/>
  <c r="E210" i="208"/>
  <c r="P209" i="208"/>
  <c r="O209" i="208"/>
  <c r="N209" i="208"/>
  <c r="M209" i="208"/>
  <c r="L209" i="208"/>
  <c r="K209" i="208"/>
  <c r="J209" i="208"/>
  <c r="I209" i="208"/>
  <c r="H209" i="208"/>
  <c r="G209" i="208"/>
  <c r="F209" i="208"/>
  <c r="E209" i="208"/>
  <c r="P208" i="208"/>
  <c r="O208" i="208"/>
  <c r="N208" i="208"/>
  <c r="M208" i="208"/>
  <c r="L208" i="208"/>
  <c r="K208" i="208"/>
  <c r="J208" i="208"/>
  <c r="I208" i="208"/>
  <c r="H208" i="208"/>
  <c r="G208" i="208"/>
  <c r="F208" i="208"/>
  <c r="E208" i="208"/>
  <c r="P207" i="208"/>
  <c r="O207" i="208"/>
  <c r="N207" i="208"/>
  <c r="M207" i="208"/>
  <c r="L207" i="208"/>
  <c r="K207" i="208"/>
  <c r="J207" i="208"/>
  <c r="I207" i="208"/>
  <c r="H207" i="208"/>
  <c r="G207" i="208"/>
  <c r="F207" i="208"/>
  <c r="E207" i="208"/>
  <c r="P206" i="208"/>
  <c r="O206" i="208"/>
  <c r="N206" i="208"/>
  <c r="M206" i="208"/>
  <c r="L206" i="208"/>
  <c r="K206" i="208"/>
  <c r="J206" i="208"/>
  <c r="I206" i="208"/>
  <c r="H206" i="208"/>
  <c r="G206" i="208"/>
  <c r="F206" i="208"/>
  <c r="E206" i="208"/>
  <c r="P205" i="208"/>
  <c r="O205" i="208"/>
  <c r="N205" i="208"/>
  <c r="M205" i="208"/>
  <c r="L205" i="208"/>
  <c r="K205" i="208"/>
  <c r="J205" i="208"/>
  <c r="I205" i="208"/>
  <c r="H205" i="208"/>
  <c r="G205" i="208"/>
  <c r="F205" i="208"/>
  <c r="E205" i="208"/>
  <c r="P204" i="208"/>
  <c r="O204" i="208"/>
  <c r="N204" i="208"/>
  <c r="M204" i="208"/>
  <c r="L204" i="208"/>
  <c r="K204" i="208"/>
  <c r="J204" i="208"/>
  <c r="I204" i="208"/>
  <c r="H204" i="208"/>
  <c r="G204" i="208"/>
  <c r="F204" i="208"/>
  <c r="E204" i="208"/>
  <c r="P203" i="208"/>
  <c r="O203" i="208"/>
  <c r="N203" i="208"/>
  <c r="M203" i="208"/>
  <c r="L203" i="208"/>
  <c r="K203" i="208"/>
  <c r="J203" i="208"/>
  <c r="I203" i="208"/>
  <c r="H203" i="208"/>
  <c r="G203" i="208"/>
  <c r="F203" i="208"/>
  <c r="E203" i="208"/>
  <c r="P202" i="208"/>
  <c r="O202" i="208"/>
  <c r="N202" i="208"/>
  <c r="M202" i="208"/>
  <c r="L202" i="208"/>
  <c r="K202" i="208"/>
  <c r="J202" i="208"/>
  <c r="I202" i="208"/>
  <c r="H202" i="208"/>
  <c r="G202" i="208"/>
  <c r="F202" i="208"/>
  <c r="E202" i="208"/>
  <c r="P201" i="208"/>
  <c r="O201" i="208"/>
  <c r="N201" i="208"/>
  <c r="M201" i="208"/>
  <c r="L201" i="208"/>
  <c r="L200" i="208" s="1"/>
  <c r="K201" i="208"/>
  <c r="J201" i="208"/>
  <c r="I201" i="208"/>
  <c r="H201" i="208"/>
  <c r="G201" i="208"/>
  <c r="F201" i="208"/>
  <c r="E201" i="208"/>
  <c r="P195" i="208"/>
  <c r="O195" i="208"/>
  <c r="N195" i="208"/>
  <c r="M195" i="208"/>
  <c r="L195" i="208"/>
  <c r="K195" i="208"/>
  <c r="J195" i="208"/>
  <c r="I195" i="208"/>
  <c r="H195" i="208"/>
  <c r="G195" i="208"/>
  <c r="F195" i="208"/>
  <c r="E195" i="208"/>
  <c r="P194" i="208"/>
  <c r="O194" i="208"/>
  <c r="N194" i="208"/>
  <c r="M194" i="208"/>
  <c r="L194" i="208"/>
  <c r="K194" i="208"/>
  <c r="J194" i="208"/>
  <c r="I194" i="208"/>
  <c r="H194" i="208"/>
  <c r="G194" i="208"/>
  <c r="F194" i="208"/>
  <c r="E194" i="208"/>
  <c r="P193" i="208"/>
  <c r="O193" i="208"/>
  <c r="N193" i="208"/>
  <c r="M193" i="208"/>
  <c r="L193" i="208"/>
  <c r="K193" i="208"/>
  <c r="J193" i="208"/>
  <c r="I193" i="208"/>
  <c r="H193" i="208"/>
  <c r="G193" i="208"/>
  <c r="F193" i="208"/>
  <c r="E193" i="208"/>
  <c r="P192" i="208"/>
  <c r="O192" i="208"/>
  <c r="N192" i="208"/>
  <c r="M192" i="208"/>
  <c r="L192" i="208"/>
  <c r="K192" i="208"/>
  <c r="J192" i="208"/>
  <c r="I192" i="208"/>
  <c r="H192" i="208"/>
  <c r="G192" i="208"/>
  <c r="F192" i="208"/>
  <c r="E192" i="208"/>
  <c r="P191" i="208"/>
  <c r="O191" i="208"/>
  <c r="N191" i="208"/>
  <c r="M191" i="208"/>
  <c r="L191" i="208"/>
  <c r="K191" i="208"/>
  <c r="J191" i="208"/>
  <c r="I191" i="208"/>
  <c r="H191" i="208"/>
  <c r="G191" i="208"/>
  <c r="F191" i="208"/>
  <c r="E191" i="208"/>
  <c r="P190" i="208"/>
  <c r="O190" i="208"/>
  <c r="N190" i="208"/>
  <c r="M190" i="208"/>
  <c r="L190" i="208"/>
  <c r="K190" i="208"/>
  <c r="J190" i="208"/>
  <c r="I190" i="208"/>
  <c r="H190" i="208"/>
  <c r="G190" i="208"/>
  <c r="F190" i="208"/>
  <c r="E190" i="208"/>
  <c r="P188" i="208"/>
  <c r="O188" i="208"/>
  <c r="N188" i="208"/>
  <c r="M188" i="208"/>
  <c r="L188" i="208"/>
  <c r="K188" i="208"/>
  <c r="J188" i="208"/>
  <c r="I188" i="208"/>
  <c r="H188" i="208"/>
  <c r="G188" i="208"/>
  <c r="F188" i="208"/>
  <c r="E188" i="208"/>
  <c r="P187" i="208"/>
  <c r="O187" i="208"/>
  <c r="N187" i="208"/>
  <c r="M187" i="208"/>
  <c r="L187" i="208"/>
  <c r="K187" i="208"/>
  <c r="J187" i="208"/>
  <c r="I187" i="208"/>
  <c r="H187" i="208"/>
  <c r="G187" i="208"/>
  <c r="F187" i="208"/>
  <c r="E187" i="208"/>
  <c r="P186" i="208"/>
  <c r="O186" i="208"/>
  <c r="N186" i="208"/>
  <c r="M186" i="208"/>
  <c r="L186" i="208"/>
  <c r="K186" i="208"/>
  <c r="J186" i="208"/>
  <c r="I186" i="208"/>
  <c r="H186" i="208"/>
  <c r="G186" i="208"/>
  <c r="F186" i="208"/>
  <c r="E186" i="208"/>
  <c r="P185" i="208"/>
  <c r="O185" i="208"/>
  <c r="N185" i="208"/>
  <c r="M185" i="208"/>
  <c r="L185" i="208"/>
  <c r="K185" i="208"/>
  <c r="J185" i="208"/>
  <c r="I185" i="208"/>
  <c r="H185" i="208"/>
  <c r="G185" i="208"/>
  <c r="F185" i="208"/>
  <c r="E185" i="208"/>
  <c r="P184" i="208"/>
  <c r="O184" i="208"/>
  <c r="N184" i="208"/>
  <c r="M184" i="208"/>
  <c r="L184" i="208"/>
  <c r="K184" i="208"/>
  <c r="J184" i="208"/>
  <c r="I184" i="208"/>
  <c r="H184" i="208"/>
  <c r="G184" i="208"/>
  <c r="F184" i="208"/>
  <c r="E184" i="208"/>
  <c r="P183" i="208"/>
  <c r="O183" i="208"/>
  <c r="N183" i="208"/>
  <c r="M183" i="208"/>
  <c r="L183" i="208"/>
  <c r="K183" i="208"/>
  <c r="J183" i="208"/>
  <c r="I183" i="208"/>
  <c r="H183" i="208"/>
  <c r="G183" i="208"/>
  <c r="F183" i="208"/>
  <c r="E183" i="208"/>
  <c r="P182" i="208"/>
  <c r="O182" i="208"/>
  <c r="N182" i="208"/>
  <c r="M182" i="208"/>
  <c r="L182" i="208"/>
  <c r="K182" i="208"/>
  <c r="J182" i="208"/>
  <c r="I182" i="208"/>
  <c r="H182" i="208"/>
  <c r="G182" i="208"/>
  <c r="F182" i="208"/>
  <c r="E182" i="208"/>
  <c r="P181" i="208"/>
  <c r="O181" i="208"/>
  <c r="N181" i="208"/>
  <c r="M181" i="208"/>
  <c r="L181" i="208"/>
  <c r="K181" i="208"/>
  <c r="J181" i="208"/>
  <c r="I181" i="208"/>
  <c r="H181" i="208"/>
  <c r="G181" i="208"/>
  <c r="F181" i="208"/>
  <c r="E181" i="208"/>
  <c r="P180" i="208"/>
  <c r="O180" i="208"/>
  <c r="N180" i="208"/>
  <c r="M180" i="208"/>
  <c r="L180" i="208"/>
  <c r="K180" i="208"/>
  <c r="J180" i="208"/>
  <c r="I180" i="208"/>
  <c r="H180" i="208"/>
  <c r="G180" i="208"/>
  <c r="F180" i="208"/>
  <c r="E180" i="208"/>
  <c r="P179" i="208"/>
  <c r="O179" i="208"/>
  <c r="N179" i="208"/>
  <c r="M179" i="208"/>
  <c r="L179" i="208"/>
  <c r="K179" i="208"/>
  <c r="J179" i="208"/>
  <c r="I179" i="208"/>
  <c r="H179" i="208"/>
  <c r="G179" i="208"/>
  <c r="F179" i="208"/>
  <c r="E179" i="208"/>
  <c r="P178" i="208"/>
  <c r="O178" i="208"/>
  <c r="N178" i="208"/>
  <c r="M178" i="208"/>
  <c r="L178" i="208"/>
  <c r="K178" i="208"/>
  <c r="J178" i="208"/>
  <c r="I178" i="208"/>
  <c r="H178" i="208"/>
  <c r="G178" i="208"/>
  <c r="F178" i="208"/>
  <c r="E178" i="208"/>
  <c r="P177" i="208"/>
  <c r="O177" i="208"/>
  <c r="N177" i="208"/>
  <c r="M177" i="208"/>
  <c r="L177" i="208"/>
  <c r="K177" i="208"/>
  <c r="J177" i="208"/>
  <c r="I177" i="208"/>
  <c r="H177" i="208"/>
  <c r="G177" i="208"/>
  <c r="F177" i="208"/>
  <c r="E177" i="208"/>
  <c r="P176" i="208"/>
  <c r="O176" i="208"/>
  <c r="N176" i="208"/>
  <c r="M176" i="208"/>
  <c r="L176" i="208"/>
  <c r="K176" i="208"/>
  <c r="J176" i="208"/>
  <c r="I176" i="208"/>
  <c r="H176" i="208"/>
  <c r="G176" i="208"/>
  <c r="F176" i="208"/>
  <c r="E176" i="208"/>
  <c r="P175" i="208"/>
  <c r="O175" i="208"/>
  <c r="N175" i="208"/>
  <c r="M175" i="208"/>
  <c r="L175" i="208"/>
  <c r="K175" i="208"/>
  <c r="J175" i="208"/>
  <c r="I175" i="208"/>
  <c r="H175" i="208"/>
  <c r="G175" i="208"/>
  <c r="F175" i="208"/>
  <c r="E175" i="208"/>
  <c r="P174" i="208"/>
  <c r="O174" i="208"/>
  <c r="N174" i="208"/>
  <c r="M174" i="208"/>
  <c r="L174" i="208"/>
  <c r="K174" i="208"/>
  <c r="J174" i="208"/>
  <c r="I174" i="208"/>
  <c r="H174" i="208"/>
  <c r="G174" i="208"/>
  <c r="F174" i="208"/>
  <c r="E174" i="208"/>
  <c r="P173" i="208"/>
  <c r="O173" i="208"/>
  <c r="N173" i="208"/>
  <c r="M173" i="208"/>
  <c r="L173" i="208"/>
  <c r="K173" i="208"/>
  <c r="J173" i="208"/>
  <c r="I173" i="208"/>
  <c r="H173" i="208"/>
  <c r="G173" i="208"/>
  <c r="F173" i="208"/>
  <c r="E173" i="208"/>
  <c r="P172" i="208"/>
  <c r="O172" i="208"/>
  <c r="N172" i="208"/>
  <c r="M172" i="208"/>
  <c r="L172" i="208"/>
  <c r="K172" i="208"/>
  <c r="J172" i="208"/>
  <c r="I172" i="208"/>
  <c r="H172" i="208"/>
  <c r="G172" i="208"/>
  <c r="F172" i="208"/>
  <c r="E172" i="208"/>
  <c r="P171" i="208"/>
  <c r="O171" i="208"/>
  <c r="N171" i="208"/>
  <c r="M171" i="208"/>
  <c r="L171" i="208"/>
  <c r="K171" i="208"/>
  <c r="J171" i="208"/>
  <c r="I171" i="208"/>
  <c r="H171" i="208"/>
  <c r="G171" i="208"/>
  <c r="F171" i="208"/>
  <c r="E171" i="208"/>
  <c r="P170" i="208"/>
  <c r="O170" i="208"/>
  <c r="N170" i="208"/>
  <c r="M170" i="208"/>
  <c r="L170" i="208"/>
  <c r="K170" i="208"/>
  <c r="J170" i="208"/>
  <c r="I170" i="208"/>
  <c r="H170" i="208"/>
  <c r="G170" i="208"/>
  <c r="F170" i="208"/>
  <c r="E170" i="208"/>
  <c r="P169" i="208"/>
  <c r="O169" i="208"/>
  <c r="N169" i="208"/>
  <c r="M169" i="208"/>
  <c r="L169" i="208"/>
  <c r="K169" i="208"/>
  <c r="J169" i="208"/>
  <c r="I169" i="208"/>
  <c r="H169" i="208"/>
  <c r="G169" i="208"/>
  <c r="F169" i="208"/>
  <c r="E169" i="208"/>
  <c r="P168" i="208"/>
  <c r="O168" i="208"/>
  <c r="N168" i="208"/>
  <c r="M168" i="208"/>
  <c r="L168" i="208"/>
  <c r="K168" i="208"/>
  <c r="J168" i="208"/>
  <c r="I168" i="208"/>
  <c r="H168" i="208"/>
  <c r="G168" i="208"/>
  <c r="F168" i="208"/>
  <c r="E168" i="208"/>
  <c r="P167" i="208"/>
  <c r="O167" i="208"/>
  <c r="N167" i="208"/>
  <c r="M167" i="208"/>
  <c r="L167" i="208"/>
  <c r="K167" i="208"/>
  <c r="J167" i="208"/>
  <c r="I167" i="208"/>
  <c r="H167" i="208"/>
  <c r="G167" i="208"/>
  <c r="F167" i="208"/>
  <c r="E167" i="208"/>
  <c r="P166" i="208"/>
  <c r="O166" i="208"/>
  <c r="N166" i="208"/>
  <c r="M166" i="208"/>
  <c r="L166" i="208"/>
  <c r="K166" i="208"/>
  <c r="J166" i="208"/>
  <c r="I166" i="208"/>
  <c r="H166" i="208"/>
  <c r="G166" i="208"/>
  <c r="F166" i="208"/>
  <c r="E166" i="208"/>
  <c r="P165" i="208"/>
  <c r="O165" i="208"/>
  <c r="N165" i="208"/>
  <c r="M165" i="208"/>
  <c r="L165" i="208"/>
  <c r="K165" i="208"/>
  <c r="J165" i="208"/>
  <c r="I165" i="208"/>
  <c r="H165" i="208"/>
  <c r="G165" i="208"/>
  <c r="F165" i="208"/>
  <c r="E165" i="208"/>
  <c r="P164" i="208"/>
  <c r="O164" i="208"/>
  <c r="N164" i="208"/>
  <c r="M164" i="208"/>
  <c r="L164" i="208"/>
  <c r="K164" i="208"/>
  <c r="J164" i="208"/>
  <c r="I164" i="208"/>
  <c r="H164" i="208"/>
  <c r="G164" i="208"/>
  <c r="F164" i="208"/>
  <c r="E164" i="208"/>
  <c r="P163" i="208"/>
  <c r="O163" i="208"/>
  <c r="N163" i="208"/>
  <c r="M163" i="208"/>
  <c r="L163" i="208"/>
  <c r="K163" i="208"/>
  <c r="J163" i="208"/>
  <c r="I163" i="208"/>
  <c r="H163" i="208"/>
  <c r="G163" i="208"/>
  <c r="F163" i="208"/>
  <c r="E163" i="208"/>
  <c r="P162" i="208"/>
  <c r="O162" i="208"/>
  <c r="N162" i="208"/>
  <c r="M162" i="208"/>
  <c r="L162" i="208"/>
  <c r="K162" i="208"/>
  <c r="J162" i="208"/>
  <c r="I162" i="208"/>
  <c r="H162" i="208"/>
  <c r="G162" i="208"/>
  <c r="F162" i="208"/>
  <c r="E162" i="208"/>
  <c r="P161" i="208"/>
  <c r="O161" i="208"/>
  <c r="N161" i="208"/>
  <c r="M161" i="208"/>
  <c r="L161" i="208"/>
  <c r="K161" i="208"/>
  <c r="J161" i="208"/>
  <c r="I161" i="208"/>
  <c r="H161" i="208"/>
  <c r="G161" i="208"/>
  <c r="F161" i="208"/>
  <c r="E161" i="208"/>
  <c r="P160" i="208"/>
  <c r="O160" i="208"/>
  <c r="N160" i="208"/>
  <c r="M160" i="208"/>
  <c r="L160" i="208"/>
  <c r="K160" i="208"/>
  <c r="J160" i="208"/>
  <c r="I160" i="208"/>
  <c r="H160" i="208"/>
  <c r="G160" i="208"/>
  <c r="F160" i="208"/>
  <c r="E160" i="208"/>
  <c r="P159" i="208"/>
  <c r="O159" i="208"/>
  <c r="N159" i="208"/>
  <c r="M159" i="208"/>
  <c r="L159" i="208"/>
  <c r="K159" i="208"/>
  <c r="J159" i="208"/>
  <c r="I159" i="208"/>
  <c r="H159" i="208"/>
  <c r="G159" i="208"/>
  <c r="F159" i="208"/>
  <c r="E159" i="208"/>
  <c r="P158" i="208"/>
  <c r="O158" i="208"/>
  <c r="N158" i="208"/>
  <c r="M158" i="208"/>
  <c r="L158" i="208"/>
  <c r="K158" i="208"/>
  <c r="J158" i="208"/>
  <c r="I158" i="208"/>
  <c r="H158" i="208"/>
  <c r="G158" i="208"/>
  <c r="F158" i="208"/>
  <c r="E158" i="208"/>
  <c r="P157" i="208"/>
  <c r="O157" i="208"/>
  <c r="N157" i="208"/>
  <c r="M157" i="208"/>
  <c r="L157" i="208"/>
  <c r="K157" i="208"/>
  <c r="J157" i="208"/>
  <c r="I157" i="208"/>
  <c r="H157" i="208"/>
  <c r="G157" i="208"/>
  <c r="F157" i="208"/>
  <c r="E157" i="208"/>
  <c r="P156" i="208"/>
  <c r="O156" i="208"/>
  <c r="N156" i="208"/>
  <c r="M156" i="208"/>
  <c r="L156" i="208"/>
  <c r="K156" i="208"/>
  <c r="J156" i="208"/>
  <c r="I156" i="208"/>
  <c r="H156" i="208"/>
  <c r="G156" i="208"/>
  <c r="F156" i="208"/>
  <c r="E156" i="208"/>
  <c r="P155" i="208"/>
  <c r="O155" i="208"/>
  <c r="N155" i="208"/>
  <c r="M155" i="208"/>
  <c r="L155" i="208"/>
  <c r="K155" i="208"/>
  <c r="J155" i="208"/>
  <c r="I155" i="208"/>
  <c r="H155" i="208"/>
  <c r="G155" i="208"/>
  <c r="F155" i="208"/>
  <c r="E155" i="208"/>
  <c r="P154" i="208"/>
  <c r="O154" i="208"/>
  <c r="N154" i="208"/>
  <c r="M154" i="208"/>
  <c r="L154" i="208"/>
  <c r="K154" i="208"/>
  <c r="J154" i="208"/>
  <c r="I154" i="208"/>
  <c r="H154" i="208"/>
  <c r="G154" i="208"/>
  <c r="F154" i="208"/>
  <c r="E154" i="208"/>
  <c r="P153" i="208"/>
  <c r="O153" i="208"/>
  <c r="N153" i="208"/>
  <c r="M153" i="208"/>
  <c r="L153" i="208"/>
  <c r="K153" i="208"/>
  <c r="J153" i="208"/>
  <c r="I153" i="208"/>
  <c r="H153" i="208"/>
  <c r="G153" i="208"/>
  <c r="F153" i="208"/>
  <c r="E153" i="208"/>
  <c r="P152" i="208"/>
  <c r="O152" i="208"/>
  <c r="N152" i="208"/>
  <c r="M152" i="208"/>
  <c r="L152" i="208"/>
  <c r="K152" i="208"/>
  <c r="J152" i="208"/>
  <c r="I152" i="208"/>
  <c r="H152" i="208"/>
  <c r="G152" i="208"/>
  <c r="F152" i="208"/>
  <c r="E152" i="208"/>
  <c r="P151" i="208"/>
  <c r="O151" i="208"/>
  <c r="N151" i="208"/>
  <c r="M151" i="208"/>
  <c r="L151" i="208"/>
  <c r="K151" i="208"/>
  <c r="J151" i="208"/>
  <c r="I151" i="208"/>
  <c r="H151" i="208"/>
  <c r="G151" i="208"/>
  <c r="F151" i="208"/>
  <c r="E151" i="208"/>
  <c r="P150" i="208"/>
  <c r="O150" i="208"/>
  <c r="N150" i="208"/>
  <c r="M150" i="208"/>
  <c r="L150" i="208"/>
  <c r="K150" i="208"/>
  <c r="J150" i="208"/>
  <c r="I150" i="208"/>
  <c r="H150" i="208"/>
  <c r="G150" i="208"/>
  <c r="F150" i="208"/>
  <c r="E150" i="208"/>
  <c r="P149" i="208"/>
  <c r="O149" i="208"/>
  <c r="N149" i="208"/>
  <c r="M149" i="208"/>
  <c r="L149" i="208"/>
  <c r="K149" i="208"/>
  <c r="J149" i="208"/>
  <c r="I149" i="208"/>
  <c r="H149" i="208"/>
  <c r="G149" i="208"/>
  <c r="F149" i="208"/>
  <c r="E149" i="208"/>
  <c r="P148" i="208"/>
  <c r="O148" i="208"/>
  <c r="N148" i="208"/>
  <c r="M148" i="208"/>
  <c r="L148" i="208"/>
  <c r="K148" i="208"/>
  <c r="J148" i="208"/>
  <c r="I148" i="208"/>
  <c r="H148" i="208"/>
  <c r="G148" i="208"/>
  <c r="F148" i="208"/>
  <c r="E148" i="208"/>
  <c r="P147" i="208"/>
  <c r="O147" i="208"/>
  <c r="N147" i="208"/>
  <c r="M147" i="208"/>
  <c r="L147" i="208"/>
  <c r="K147" i="208"/>
  <c r="J147" i="208"/>
  <c r="I147" i="208"/>
  <c r="H147" i="208"/>
  <c r="G147" i="208"/>
  <c r="F147" i="208"/>
  <c r="E147" i="208"/>
  <c r="P146" i="208"/>
  <c r="O146" i="208"/>
  <c r="N146" i="208"/>
  <c r="M146" i="208"/>
  <c r="L146" i="208"/>
  <c r="K146" i="208"/>
  <c r="J146" i="208"/>
  <c r="I146" i="208"/>
  <c r="H146" i="208"/>
  <c r="G146" i="208"/>
  <c r="F146" i="208"/>
  <c r="E146" i="208"/>
  <c r="P145" i="208"/>
  <c r="O145" i="208"/>
  <c r="N145" i="208"/>
  <c r="M145" i="208"/>
  <c r="L145" i="208"/>
  <c r="K145" i="208"/>
  <c r="J145" i="208"/>
  <c r="I145" i="208"/>
  <c r="H145" i="208"/>
  <c r="G145" i="208"/>
  <c r="F145" i="208"/>
  <c r="E145" i="208"/>
  <c r="P144" i="208"/>
  <c r="O144" i="208"/>
  <c r="N144" i="208"/>
  <c r="M144" i="208"/>
  <c r="L144" i="208"/>
  <c r="K144" i="208"/>
  <c r="J144" i="208"/>
  <c r="I144" i="208"/>
  <c r="H144" i="208"/>
  <c r="G144" i="208"/>
  <c r="F144" i="208"/>
  <c r="E144" i="208"/>
  <c r="P143" i="208"/>
  <c r="O143" i="208"/>
  <c r="N143" i="208"/>
  <c r="M143" i="208"/>
  <c r="L143" i="208"/>
  <c r="K143" i="208"/>
  <c r="J143" i="208"/>
  <c r="I143" i="208"/>
  <c r="H143" i="208"/>
  <c r="G143" i="208"/>
  <c r="F143" i="208"/>
  <c r="E143" i="208"/>
  <c r="P142" i="208"/>
  <c r="O142" i="208"/>
  <c r="N142" i="208"/>
  <c r="M142" i="208"/>
  <c r="L142" i="208"/>
  <c r="K142" i="208"/>
  <c r="J142" i="208"/>
  <c r="I142" i="208"/>
  <c r="H142" i="208"/>
  <c r="G142" i="208"/>
  <c r="F142" i="208"/>
  <c r="E142" i="208"/>
  <c r="P141" i="208"/>
  <c r="O141" i="208"/>
  <c r="N141" i="208"/>
  <c r="M141" i="208"/>
  <c r="L141" i="208"/>
  <c r="L140" i="208" s="1"/>
  <c r="K141" i="208"/>
  <c r="J141" i="208"/>
  <c r="I141" i="208"/>
  <c r="H141" i="208"/>
  <c r="H140" i="208" s="1"/>
  <c r="H139" i="208" s="1"/>
  <c r="G141" i="208"/>
  <c r="F141" i="208"/>
  <c r="E141" i="208"/>
  <c r="E140" i="208" s="1"/>
  <c r="P136" i="208"/>
  <c r="O136" i="208"/>
  <c r="N136" i="208"/>
  <c r="M136" i="208"/>
  <c r="L136" i="208"/>
  <c r="K136" i="208"/>
  <c r="J136" i="208"/>
  <c r="I136" i="208"/>
  <c r="H136" i="208"/>
  <c r="G136" i="208"/>
  <c r="F136" i="208"/>
  <c r="E136" i="208"/>
  <c r="P135" i="208"/>
  <c r="O135" i="208"/>
  <c r="N135" i="208"/>
  <c r="M135" i="208"/>
  <c r="L135" i="208"/>
  <c r="K135" i="208"/>
  <c r="J135" i="208"/>
  <c r="I135" i="208"/>
  <c r="H135" i="208"/>
  <c r="G135" i="208"/>
  <c r="F135" i="208"/>
  <c r="E135" i="208"/>
  <c r="P134" i="208"/>
  <c r="O134" i="208"/>
  <c r="N134" i="208"/>
  <c r="M134" i="208"/>
  <c r="L134" i="208"/>
  <c r="K134" i="208"/>
  <c r="J134" i="208"/>
  <c r="I134" i="208"/>
  <c r="H134" i="208"/>
  <c r="G134" i="208"/>
  <c r="F134" i="208"/>
  <c r="E134" i="208"/>
  <c r="P133" i="208"/>
  <c r="O133" i="208"/>
  <c r="N133" i="208"/>
  <c r="M133" i="208"/>
  <c r="L133" i="208"/>
  <c r="K133" i="208"/>
  <c r="J133" i="208"/>
  <c r="I133" i="208"/>
  <c r="H133" i="208"/>
  <c r="G133" i="208"/>
  <c r="F133" i="208"/>
  <c r="E133" i="208"/>
  <c r="P132" i="208"/>
  <c r="O132" i="208"/>
  <c r="N132" i="208"/>
  <c r="M132" i="208"/>
  <c r="L132" i="208"/>
  <c r="K132" i="208"/>
  <c r="J132" i="208"/>
  <c r="I132" i="208"/>
  <c r="H132" i="208"/>
  <c r="G132" i="208"/>
  <c r="F132" i="208"/>
  <c r="E132" i="208"/>
  <c r="P131" i="208"/>
  <c r="O131" i="208"/>
  <c r="N131" i="208"/>
  <c r="M131" i="208"/>
  <c r="L131" i="208"/>
  <c r="K131" i="208"/>
  <c r="J131" i="208"/>
  <c r="I131" i="208"/>
  <c r="H131" i="208"/>
  <c r="G131" i="208"/>
  <c r="F131" i="208"/>
  <c r="E131" i="208"/>
  <c r="P130" i="208"/>
  <c r="O130" i="208"/>
  <c r="N130" i="208"/>
  <c r="M130" i="208"/>
  <c r="L130" i="208"/>
  <c r="K130" i="208"/>
  <c r="J130" i="208"/>
  <c r="I130" i="208"/>
  <c r="H130" i="208"/>
  <c r="G130" i="208"/>
  <c r="F130" i="208"/>
  <c r="E130" i="208"/>
  <c r="P129" i="208"/>
  <c r="O129" i="208"/>
  <c r="N129" i="208"/>
  <c r="M129" i="208"/>
  <c r="L129" i="208"/>
  <c r="K129" i="208"/>
  <c r="J129" i="208"/>
  <c r="I129" i="208"/>
  <c r="H129" i="208"/>
  <c r="G129" i="208"/>
  <c r="F129" i="208"/>
  <c r="E129" i="208"/>
  <c r="P128" i="208"/>
  <c r="O128" i="208"/>
  <c r="N128" i="208"/>
  <c r="M128" i="208"/>
  <c r="L128" i="208"/>
  <c r="K128" i="208"/>
  <c r="J128" i="208"/>
  <c r="I128" i="208"/>
  <c r="H128" i="208"/>
  <c r="G128" i="208"/>
  <c r="F128" i="208"/>
  <c r="E128" i="208"/>
  <c r="P127" i="208"/>
  <c r="O127" i="208"/>
  <c r="N127" i="208"/>
  <c r="M127" i="208"/>
  <c r="L127" i="208"/>
  <c r="K127" i="208"/>
  <c r="J127" i="208"/>
  <c r="I127" i="208"/>
  <c r="H127" i="208"/>
  <c r="G127" i="208"/>
  <c r="F127" i="208"/>
  <c r="E127" i="208"/>
  <c r="P126" i="208"/>
  <c r="O126" i="208"/>
  <c r="N126" i="208"/>
  <c r="M126" i="208"/>
  <c r="L126" i="208"/>
  <c r="K126" i="208"/>
  <c r="J126" i="208"/>
  <c r="I126" i="208"/>
  <c r="H126" i="208"/>
  <c r="G126" i="208"/>
  <c r="F126" i="208"/>
  <c r="E126" i="208"/>
  <c r="P125" i="208"/>
  <c r="O125" i="208"/>
  <c r="N125" i="208"/>
  <c r="M125" i="208"/>
  <c r="L125" i="208"/>
  <c r="K125" i="208"/>
  <c r="J125" i="208"/>
  <c r="I125" i="208"/>
  <c r="H125" i="208"/>
  <c r="G125" i="208"/>
  <c r="F125" i="208"/>
  <c r="E125" i="208"/>
  <c r="P124" i="208"/>
  <c r="O124" i="208"/>
  <c r="N124" i="208"/>
  <c r="M124" i="208"/>
  <c r="L124" i="208"/>
  <c r="K124" i="208"/>
  <c r="J124" i="208"/>
  <c r="I124" i="208"/>
  <c r="H124" i="208"/>
  <c r="G124" i="208"/>
  <c r="F124" i="208"/>
  <c r="E124" i="208"/>
  <c r="P123" i="208"/>
  <c r="O123" i="208"/>
  <c r="N123" i="208"/>
  <c r="M123" i="208"/>
  <c r="L123" i="208"/>
  <c r="K123" i="208"/>
  <c r="J123" i="208"/>
  <c r="I123" i="208"/>
  <c r="H123" i="208"/>
  <c r="G123" i="208"/>
  <c r="F123" i="208"/>
  <c r="E123" i="208"/>
  <c r="P122" i="208"/>
  <c r="O122" i="208"/>
  <c r="N122" i="208"/>
  <c r="M122" i="208"/>
  <c r="L122" i="208"/>
  <c r="K122" i="208"/>
  <c r="J122" i="208"/>
  <c r="I122" i="208"/>
  <c r="H122" i="208"/>
  <c r="G122" i="208"/>
  <c r="F122" i="208"/>
  <c r="E122" i="208"/>
  <c r="P121" i="208"/>
  <c r="O121" i="208"/>
  <c r="N121" i="208"/>
  <c r="M121" i="208"/>
  <c r="L121" i="208"/>
  <c r="K121" i="208"/>
  <c r="J121" i="208"/>
  <c r="I121" i="208"/>
  <c r="H121" i="208"/>
  <c r="G121" i="208"/>
  <c r="F121" i="208"/>
  <c r="E121" i="208"/>
  <c r="P120" i="208"/>
  <c r="O120" i="208"/>
  <c r="N120" i="208"/>
  <c r="M120" i="208"/>
  <c r="L120" i="208"/>
  <c r="K120" i="208"/>
  <c r="J120" i="208"/>
  <c r="I120" i="208"/>
  <c r="H120" i="208"/>
  <c r="G120" i="208"/>
  <c r="F120" i="208"/>
  <c r="E120" i="208"/>
  <c r="P119" i="208"/>
  <c r="O119" i="208"/>
  <c r="N119" i="208"/>
  <c r="M119" i="208"/>
  <c r="L119" i="208"/>
  <c r="K119" i="208"/>
  <c r="J119" i="208"/>
  <c r="I119" i="208"/>
  <c r="H119" i="208"/>
  <c r="G119" i="208"/>
  <c r="F119" i="208"/>
  <c r="E119" i="208"/>
  <c r="P118" i="208"/>
  <c r="O118" i="208"/>
  <c r="N118" i="208"/>
  <c r="M118" i="208"/>
  <c r="L118" i="208"/>
  <c r="K118" i="208"/>
  <c r="J118" i="208"/>
  <c r="I118" i="208"/>
  <c r="H118" i="208"/>
  <c r="G118" i="208"/>
  <c r="F118" i="208"/>
  <c r="E118" i="208"/>
  <c r="P117" i="208"/>
  <c r="O117" i="208"/>
  <c r="N117" i="208"/>
  <c r="M117" i="208"/>
  <c r="L117" i="208"/>
  <c r="K117" i="208"/>
  <c r="J117" i="208"/>
  <c r="I117" i="208"/>
  <c r="H117" i="208"/>
  <c r="G117" i="208"/>
  <c r="F117" i="208"/>
  <c r="E117" i="208"/>
  <c r="P116" i="208"/>
  <c r="O116" i="208"/>
  <c r="N116" i="208"/>
  <c r="M116" i="208"/>
  <c r="L116" i="208"/>
  <c r="K116" i="208"/>
  <c r="J116" i="208"/>
  <c r="I116" i="208"/>
  <c r="H116" i="208"/>
  <c r="G116" i="208"/>
  <c r="F116" i="208"/>
  <c r="E116" i="208"/>
  <c r="P115" i="208"/>
  <c r="O115" i="208"/>
  <c r="N115" i="208"/>
  <c r="M115" i="208"/>
  <c r="L115" i="208"/>
  <c r="K115" i="208"/>
  <c r="J115" i="208"/>
  <c r="I115" i="208"/>
  <c r="H115" i="208"/>
  <c r="G115" i="208"/>
  <c r="F115" i="208"/>
  <c r="E115" i="208"/>
  <c r="P114" i="208"/>
  <c r="O114" i="208"/>
  <c r="N114" i="208"/>
  <c r="M114" i="208"/>
  <c r="L114" i="208"/>
  <c r="K114" i="208"/>
  <c r="J114" i="208"/>
  <c r="I114" i="208"/>
  <c r="H114" i="208"/>
  <c r="G114" i="208"/>
  <c r="F114" i="208"/>
  <c r="E114" i="208"/>
  <c r="P113" i="208"/>
  <c r="O113" i="208"/>
  <c r="N113" i="208"/>
  <c r="M113" i="208"/>
  <c r="L113" i="208"/>
  <c r="K113" i="208"/>
  <c r="J113" i="208"/>
  <c r="I113" i="208"/>
  <c r="H113" i="208"/>
  <c r="G113" i="208"/>
  <c r="F113" i="208"/>
  <c r="E113" i="208"/>
  <c r="P112" i="208"/>
  <c r="O112" i="208"/>
  <c r="N112" i="208"/>
  <c r="M112" i="208"/>
  <c r="L112" i="208"/>
  <c r="K112" i="208"/>
  <c r="J112" i="208"/>
  <c r="I112" i="208"/>
  <c r="H112" i="208"/>
  <c r="G112" i="208"/>
  <c r="F112" i="208"/>
  <c r="E112" i="208"/>
  <c r="P111" i="208"/>
  <c r="O111" i="208"/>
  <c r="N111" i="208"/>
  <c r="M111" i="208"/>
  <c r="L111" i="208"/>
  <c r="K111" i="208"/>
  <c r="J111" i="208"/>
  <c r="I111" i="208"/>
  <c r="H111" i="208"/>
  <c r="G111" i="208"/>
  <c r="F111" i="208"/>
  <c r="E111" i="208"/>
  <c r="P110" i="208"/>
  <c r="O110" i="208"/>
  <c r="N110" i="208"/>
  <c r="M110" i="208"/>
  <c r="L110" i="208"/>
  <c r="K110" i="208"/>
  <c r="J110" i="208"/>
  <c r="I110" i="208"/>
  <c r="H110" i="208"/>
  <c r="G110" i="208"/>
  <c r="F110" i="208"/>
  <c r="E110" i="208"/>
  <c r="P109" i="208"/>
  <c r="P108" i="208" s="1"/>
  <c r="Q108" i="208" s="1"/>
  <c r="O109" i="208"/>
  <c r="N109" i="208"/>
  <c r="M109" i="208"/>
  <c r="M108" i="208" s="1"/>
  <c r="M107" i="208" s="1"/>
  <c r="L109" i="208"/>
  <c r="L108" i="208" s="1"/>
  <c r="L107" i="208" s="1"/>
  <c r="K109" i="208"/>
  <c r="J109" i="208"/>
  <c r="I109" i="208"/>
  <c r="I108" i="208" s="1"/>
  <c r="I107" i="208" s="1"/>
  <c r="H109" i="208"/>
  <c r="H108" i="208" s="1"/>
  <c r="H107" i="208" s="1"/>
  <c r="G109" i="208"/>
  <c r="F109" i="208"/>
  <c r="E109" i="208"/>
  <c r="E108" i="208" s="1"/>
  <c r="E107" i="208" s="1"/>
  <c r="P100" i="208"/>
  <c r="O100" i="208"/>
  <c r="N100" i="208"/>
  <c r="M100" i="208"/>
  <c r="L100" i="208"/>
  <c r="K100" i="208"/>
  <c r="J100" i="208"/>
  <c r="I100" i="208"/>
  <c r="H100" i="208"/>
  <c r="G100" i="208"/>
  <c r="F100" i="208"/>
  <c r="E100" i="208"/>
  <c r="P99" i="208"/>
  <c r="O99" i="208"/>
  <c r="N99" i="208"/>
  <c r="M99" i="208"/>
  <c r="L99" i="208"/>
  <c r="K99" i="208"/>
  <c r="J99" i="208"/>
  <c r="I99" i="208"/>
  <c r="H99" i="208"/>
  <c r="G99" i="208"/>
  <c r="F99" i="208"/>
  <c r="E99" i="208"/>
  <c r="P98" i="208"/>
  <c r="O98" i="208"/>
  <c r="N98" i="208"/>
  <c r="M98" i="208"/>
  <c r="L98" i="208"/>
  <c r="K98" i="208"/>
  <c r="J98" i="208"/>
  <c r="I98" i="208"/>
  <c r="H98" i="208"/>
  <c r="G98" i="208"/>
  <c r="F98" i="208"/>
  <c r="E98" i="208"/>
  <c r="P97" i="208"/>
  <c r="O97" i="208"/>
  <c r="N97" i="208"/>
  <c r="M97" i="208"/>
  <c r="L97" i="208"/>
  <c r="K97" i="208"/>
  <c r="J97" i="208"/>
  <c r="I97" i="208"/>
  <c r="H97" i="208"/>
  <c r="G97" i="208"/>
  <c r="F97" i="208"/>
  <c r="E97" i="208"/>
  <c r="P96" i="208"/>
  <c r="O96" i="208"/>
  <c r="N96" i="208"/>
  <c r="M96" i="208"/>
  <c r="L96" i="208"/>
  <c r="K96" i="208"/>
  <c r="J96" i="208"/>
  <c r="I96" i="208"/>
  <c r="H96" i="208"/>
  <c r="G96" i="208"/>
  <c r="F96" i="208"/>
  <c r="E96" i="208"/>
  <c r="P95" i="208"/>
  <c r="O95" i="208"/>
  <c r="N95" i="208"/>
  <c r="M95" i="208"/>
  <c r="L95" i="208"/>
  <c r="K95" i="208"/>
  <c r="J95" i="208"/>
  <c r="I95" i="208"/>
  <c r="H95" i="208"/>
  <c r="G95" i="208"/>
  <c r="F95" i="208"/>
  <c r="E95" i="208"/>
  <c r="P94" i="208"/>
  <c r="O94" i="208"/>
  <c r="N94" i="208"/>
  <c r="M94" i="208"/>
  <c r="L94" i="208"/>
  <c r="K94" i="208"/>
  <c r="J94" i="208"/>
  <c r="I94" i="208"/>
  <c r="H94" i="208"/>
  <c r="G94" i="208"/>
  <c r="F94" i="208"/>
  <c r="E94" i="208"/>
  <c r="P93" i="208"/>
  <c r="O93" i="208"/>
  <c r="N93" i="208"/>
  <c r="M93" i="208"/>
  <c r="L93" i="208"/>
  <c r="K93" i="208"/>
  <c r="J93" i="208"/>
  <c r="I93" i="208"/>
  <c r="H93" i="208"/>
  <c r="G93" i="208"/>
  <c r="F93" i="208"/>
  <c r="E93" i="208"/>
  <c r="P92" i="208"/>
  <c r="O92" i="208"/>
  <c r="N92" i="208"/>
  <c r="M92" i="208"/>
  <c r="L92" i="208"/>
  <c r="K92" i="208"/>
  <c r="J92" i="208"/>
  <c r="I92" i="208"/>
  <c r="H92" i="208"/>
  <c r="G92" i="208"/>
  <c r="F92" i="208"/>
  <c r="E92" i="208"/>
  <c r="P91" i="208"/>
  <c r="O91" i="208"/>
  <c r="N91" i="208"/>
  <c r="M91" i="208"/>
  <c r="L91" i="208"/>
  <c r="K91" i="208"/>
  <c r="J91" i="208"/>
  <c r="I91" i="208"/>
  <c r="H91" i="208"/>
  <c r="G91" i="208"/>
  <c r="F91" i="208"/>
  <c r="E91" i="208"/>
  <c r="P90" i="208"/>
  <c r="O90" i="208"/>
  <c r="N90" i="208"/>
  <c r="M90" i="208"/>
  <c r="L90" i="208"/>
  <c r="K90" i="208"/>
  <c r="J90" i="208"/>
  <c r="I90" i="208"/>
  <c r="H90" i="208"/>
  <c r="G90" i="208"/>
  <c r="F90" i="208"/>
  <c r="E90" i="208"/>
  <c r="P89" i="208"/>
  <c r="O89" i="208"/>
  <c r="N89" i="208"/>
  <c r="M89" i="208"/>
  <c r="L89" i="208"/>
  <c r="K89" i="208"/>
  <c r="J89" i="208"/>
  <c r="I89" i="208"/>
  <c r="H89" i="208"/>
  <c r="G89" i="208"/>
  <c r="F89" i="208"/>
  <c r="E89" i="208"/>
  <c r="P84" i="208"/>
  <c r="O84" i="208"/>
  <c r="N84" i="208"/>
  <c r="M84" i="208"/>
  <c r="L84" i="208"/>
  <c r="K84" i="208"/>
  <c r="J84" i="208"/>
  <c r="I84" i="208"/>
  <c r="H84" i="208"/>
  <c r="G84" i="208"/>
  <c r="F84" i="208"/>
  <c r="E84" i="208"/>
  <c r="P83" i="208"/>
  <c r="O83" i="208"/>
  <c r="N83" i="208"/>
  <c r="M83" i="208"/>
  <c r="L83" i="208"/>
  <c r="K83" i="208"/>
  <c r="J83" i="208"/>
  <c r="I83" i="208"/>
  <c r="H83" i="208"/>
  <c r="G83" i="208"/>
  <c r="F83" i="208"/>
  <c r="E83" i="208"/>
  <c r="P82" i="208"/>
  <c r="O82" i="208"/>
  <c r="N82" i="208"/>
  <c r="M82" i="208"/>
  <c r="L82" i="208"/>
  <c r="K82" i="208"/>
  <c r="J82" i="208"/>
  <c r="I82" i="208"/>
  <c r="H82" i="208"/>
  <c r="G82" i="208"/>
  <c r="F82" i="208"/>
  <c r="E82" i="208"/>
  <c r="P81" i="208"/>
  <c r="O81" i="208"/>
  <c r="N81" i="208"/>
  <c r="M81" i="208"/>
  <c r="L81" i="208"/>
  <c r="K81" i="208"/>
  <c r="J81" i="208"/>
  <c r="I81" i="208"/>
  <c r="H81" i="208"/>
  <c r="G81" i="208"/>
  <c r="F81" i="208"/>
  <c r="E81" i="208"/>
  <c r="P80" i="208"/>
  <c r="O80" i="208"/>
  <c r="N80" i="208"/>
  <c r="M80" i="208"/>
  <c r="L80" i="208"/>
  <c r="K80" i="208"/>
  <c r="J80" i="208"/>
  <c r="I80" i="208"/>
  <c r="H80" i="208"/>
  <c r="G80" i="208"/>
  <c r="F80" i="208"/>
  <c r="E80" i="208"/>
  <c r="P79" i="208"/>
  <c r="O79" i="208"/>
  <c r="N79" i="208"/>
  <c r="M79" i="208"/>
  <c r="L79" i="208"/>
  <c r="K79" i="208"/>
  <c r="J79" i="208"/>
  <c r="I79" i="208"/>
  <c r="H79" i="208"/>
  <c r="G79" i="208"/>
  <c r="F79" i="208"/>
  <c r="E79" i="208"/>
  <c r="P78" i="208"/>
  <c r="O78" i="208"/>
  <c r="N78" i="208"/>
  <c r="M78" i="208"/>
  <c r="L78" i="208"/>
  <c r="K78" i="208"/>
  <c r="J78" i="208"/>
  <c r="I78" i="208"/>
  <c r="H78" i="208"/>
  <c r="G78" i="208"/>
  <c r="F78" i="208"/>
  <c r="E78" i="208"/>
  <c r="P77" i="208"/>
  <c r="O77" i="208"/>
  <c r="N77" i="208"/>
  <c r="M77" i="208"/>
  <c r="L77" i="208"/>
  <c r="K77" i="208"/>
  <c r="J77" i="208"/>
  <c r="I77" i="208"/>
  <c r="H77" i="208"/>
  <c r="G77" i="208"/>
  <c r="F77" i="208"/>
  <c r="E77" i="208"/>
  <c r="P76" i="208"/>
  <c r="O76" i="208"/>
  <c r="N76" i="208"/>
  <c r="M76" i="208"/>
  <c r="L76" i="208"/>
  <c r="K76" i="208"/>
  <c r="J76" i="208"/>
  <c r="I76" i="208"/>
  <c r="H76" i="208"/>
  <c r="G76" i="208"/>
  <c r="F76" i="208"/>
  <c r="E76" i="208"/>
  <c r="P75" i="208"/>
  <c r="O75" i="208"/>
  <c r="N75" i="208"/>
  <c r="M75" i="208"/>
  <c r="L75" i="208"/>
  <c r="K75" i="208"/>
  <c r="J75" i="208"/>
  <c r="I75" i="208"/>
  <c r="H75" i="208"/>
  <c r="G75" i="208"/>
  <c r="F75" i="208"/>
  <c r="E75" i="208"/>
  <c r="P74" i="208"/>
  <c r="O74" i="208"/>
  <c r="N74" i="208"/>
  <c r="M74" i="208"/>
  <c r="L74" i="208"/>
  <c r="K74" i="208"/>
  <c r="J74" i="208"/>
  <c r="I74" i="208"/>
  <c r="H74" i="208"/>
  <c r="G74" i="208"/>
  <c r="F74" i="208"/>
  <c r="E74" i="208"/>
  <c r="P73" i="208"/>
  <c r="O73" i="208"/>
  <c r="N73" i="208"/>
  <c r="M73" i="208"/>
  <c r="L73" i="208"/>
  <c r="K73" i="208"/>
  <c r="J73" i="208"/>
  <c r="I73" i="208"/>
  <c r="H73" i="208"/>
  <c r="G73" i="208"/>
  <c r="F73" i="208"/>
  <c r="E73" i="208"/>
  <c r="P72" i="208"/>
  <c r="O72" i="208"/>
  <c r="N72" i="208"/>
  <c r="M72" i="208"/>
  <c r="L72" i="208"/>
  <c r="K72" i="208"/>
  <c r="J72" i="208"/>
  <c r="I72" i="208"/>
  <c r="H72" i="208"/>
  <c r="G72" i="208"/>
  <c r="F72" i="208"/>
  <c r="E72" i="208"/>
  <c r="P71" i="208"/>
  <c r="O71" i="208"/>
  <c r="N71" i="208"/>
  <c r="M71" i="208"/>
  <c r="L71" i="208"/>
  <c r="K71" i="208"/>
  <c r="J71" i="208"/>
  <c r="I71" i="208"/>
  <c r="H71" i="208"/>
  <c r="G71" i="208"/>
  <c r="F71" i="208"/>
  <c r="E71" i="208"/>
  <c r="P70" i="208"/>
  <c r="O70" i="208"/>
  <c r="N70" i="208"/>
  <c r="M70" i="208"/>
  <c r="L70" i="208"/>
  <c r="K70" i="208"/>
  <c r="J70" i="208"/>
  <c r="I70" i="208"/>
  <c r="H70" i="208"/>
  <c r="G70" i="208"/>
  <c r="F70" i="208"/>
  <c r="E70" i="208"/>
  <c r="P69" i="208"/>
  <c r="O69" i="208"/>
  <c r="N69" i="208"/>
  <c r="M69" i="208"/>
  <c r="L69" i="208"/>
  <c r="K69" i="208"/>
  <c r="J69" i="208"/>
  <c r="I69" i="208"/>
  <c r="H69" i="208"/>
  <c r="G69" i="208"/>
  <c r="F69" i="208"/>
  <c r="E69" i="208"/>
  <c r="P68" i="208"/>
  <c r="O68" i="208"/>
  <c r="N68" i="208"/>
  <c r="M68" i="208"/>
  <c r="L68" i="208"/>
  <c r="K68" i="208"/>
  <c r="J68" i="208"/>
  <c r="I68" i="208"/>
  <c r="H68" i="208"/>
  <c r="G68" i="208"/>
  <c r="F68" i="208"/>
  <c r="E68" i="208"/>
  <c r="P67" i="208"/>
  <c r="O67" i="208"/>
  <c r="N67" i="208"/>
  <c r="M67" i="208"/>
  <c r="L67" i="208"/>
  <c r="K67" i="208"/>
  <c r="J67" i="208"/>
  <c r="I67" i="208"/>
  <c r="H67" i="208"/>
  <c r="G67" i="208"/>
  <c r="F67" i="208"/>
  <c r="E67" i="208"/>
  <c r="P66" i="208"/>
  <c r="O66" i="208"/>
  <c r="N66" i="208"/>
  <c r="M66" i="208"/>
  <c r="L66" i="208"/>
  <c r="K66" i="208"/>
  <c r="J66" i="208"/>
  <c r="I66" i="208"/>
  <c r="H66" i="208"/>
  <c r="G66" i="208"/>
  <c r="F66" i="208"/>
  <c r="E66" i="208"/>
  <c r="P65" i="208"/>
  <c r="O65" i="208"/>
  <c r="N65" i="208"/>
  <c r="M65" i="208"/>
  <c r="L65" i="208"/>
  <c r="K65" i="208"/>
  <c r="J65" i="208"/>
  <c r="I65" i="208"/>
  <c r="H65" i="208"/>
  <c r="G65" i="208"/>
  <c r="F65" i="208"/>
  <c r="E65" i="208"/>
  <c r="P64" i="208"/>
  <c r="O64" i="208"/>
  <c r="N64" i="208"/>
  <c r="M64" i="208"/>
  <c r="L64" i="208"/>
  <c r="K64" i="208"/>
  <c r="J64" i="208"/>
  <c r="I64" i="208"/>
  <c r="H64" i="208"/>
  <c r="G64" i="208"/>
  <c r="F64" i="208"/>
  <c r="E64" i="208"/>
  <c r="P63" i="208"/>
  <c r="O63" i="208"/>
  <c r="N63" i="208"/>
  <c r="M63" i="208"/>
  <c r="L63" i="208"/>
  <c r="K63" i="208"/>
  <c r="J63" i="208"/>
  <c r="I63" i="208"/>
  <c r="H63" i="208"/>
  <c r="G63" i="208"/>
  <c r="F63" i="208"/>
  <c r="E63" i="208"/>
  <c r="P62" i="208"/>
  <c r="O62" i="208"/>
  <c r="N62" i="208"/>
  <c r="M62" i="208"/>
  <c r="L62" i="208"/>
  <c r="K62" i="208"/>
  <c r="J62" i="208"/>
  <c r="I62" i="208"/>
  <c r="H62" i="208"/>
  <c r="G62" i="208"/>
  <c r="F62" i="208"/>
  <c r="E62" i="208"/>
  <c r="P61" i="208"/>
  <c r="O61" i="208"/>
  <c r="N61" i="208"/>
  <c r="M61" i="208"/>
  <c r="L61" i="208"/>
  <c r="K61" i="208"/>
  <c r="J61" i="208"/>
  <c r="I61" i="208"/>
  <c r="H61" i="208"/>
  <c r="G61" i="208"/>
  <c r="F61" i="208"/>
  <c r="E61" i="208"/>
  <c r="P60" i="208"/>
  <c r="O60" i="208"/>
  <c r="N60" i="208"/>
  <c r="M60" i="208"/>
  <c r="L60" i="208"/>
  <c r="K60" i="208"/>
  <c r="J60" i="208"/>
  <c r="I60" i="208"/>
  <c r="H60" i="208"/>
  <c r="G60" i="208"/>
  <c r="F60" i="208"/>
  <c r="E60" i="208"/>
  <c r="P59" i="208"/>
  <c r="O59" i="208"/>
  <c r="N59" i="208"/>
  <c r="M59" i="208"/>
  <c r="L59" i="208"/>
  <c r="K59" i="208"/>
  <c r="J59" i="208"/>
  <c r="I59" i="208"/>
  <c r="H59" i="208"/>
  <c r="G59" i="208"/>
  <c r="F59" i="208"/>
  <c r="E59" i="208"/>
  <c r="P58" i="208"/>
  <c r="O58" i="208"/>
  <c r="N58" i="208"/>
  <c r="M58" i="208"/>
  <c r="L58" i="208"/>
  <c r="K58" i="208"/>
  <c r="J58" i="208"/>
  <c r="I58" i="208"/>
  <c r="H58" i="208"/>
  <c r="G58" i="208"/>
  <c r="F58" i="208"/>
  <c r="E58" i="208"/>
  <c r="P57" i="208"/>
  <c r="O57" i="208"/>
  <c r="N57" i="208"/>
  <c r="M57" i="208"/>
  <c r="L57" i="208"/>
  <c r="K57" i="208"/>
  <c r="J57" i="208"/>
  <c r="I57" i="208"/>
  <c r="H57" i="208"/>
  <c r="G57" i="208"/>
  <c r="F57" i="208"/>
  <c r="E57" i="208"/>
  <c r="P56" i="208"/>
  <c r="O56" i="208"/>
  <c r="N56" i="208"/>
  <c r="M56" i="208"/>
  <c r="L56" i="208"/>
  <c r="K56" i="208"/>
  <c r="J56" i="208"/>
  <c r="I56" i="208"/>
  <c r="H56" i="208"/>
  <c r="G56" i="208"/>
  <c r="F56" i="208"/>
  <c r="E56" i="208"/>
  <c r="P55" i="208"/>
  <c r="O55" i="208"/>
  <c r="N55" i="208"/>
  <c r="M55" i="208"/>
  <c r="L55" i="208"/>
  <c r="K55" i="208"/>
  <c r="J55" i="208"/>
  <c r="I55" i="208"/>
  <c r="H55" i="208"/>
  <c r="G55" i="208"/>
  <c r="F55" i="208"/>
  <c r="E55" i="208"/>
  <c r="P54" i="208"/>
  <c r="O54" i="208"/>
  <c r="N54" i="208"/>
  <c r="M54" i="208"/>
  <c r="L54" i="208"/>
  <c r="K54" i="208"/>
  <c r="J54" i="208"/>
  <c r="I54" i="208"/>
  <c r="H54" i="208"/>
  <c r="G54" i="208"/>
  <c r="F54" i="208"/>
  <c r="E54" i="208"/>
  <c r="P53" i="208"/>
  <c r="O53" i="208"/>
  <c r="N53" i="208"/>
  <c r="M53" i="208"/>
  <c r="L53" i="208"/>
  <c r="K53" i="208"/>
  <c r="J53" i="208"/>
  <c r="I53" i="208"/>
  <c r="H53" i="208"/>
  <c r="G53" i="208"/>
  <c r="F53" i="208"/>
  <c r="E53" i="208"/>
  <c r="P52" i="208"/>
  <c r="O52" i="208"/>
  <c r="N52" i="208"/>
  <c r="M52" i="208"/>
  <c r="L52" i="208"/>
  <c r="K52" i="208"/>
  <c r="J52" i="208"/>
  <c r="I52" i="208"/>
  <c r="H52" i="208"/>
  <c r="G52" i="208"/>
  <c r="F52" i="208"/>
  <c r="E52" i="208"/>
  <c r="P51" i="208"/>
  <c r="O51" i="208"/>
  <c r="N51" i="208"/>
  <c r="M51" i="208"/>
  <c r="L51" i="208"/>
  <c r="K51" i="208"/>
  <c r="J51" i="208"/>
  <c r="I51" i="208"/>
  <c r="H51" i="208"/>
  <c r="G51" i="208"/>
  <c r="F51" i="208"/>
  <c r="E51" i="208"/>
  <c r="P50" i="208"/>
  <c r="O50" i="208"/>
  <c r="N50" i="208"/>
  <c r="M50" i="208"/>
  <c r="L50" i="208"/>
  <c r="K50" i="208"/>
  <c r="J50" i="208"/>
  <c r="I50" i="208"/>
  <c r="H50" i="208"/>
  <c r="G50" i="208"/>
  <c r="F50" i="208"/>
  <c r="E50" i="208"/>
  <c r="P49" i="208"/>
  <c r="O49" i="208"/>
  <c r="N49" i="208"/>
  <c r="M49" i="208"/>
  <c r="L49" i="208"/>
  <c r="L48" i="208" s="1"/>
  <c r="L47" i="208" s="1"/>
  <c r="K49" i="208"/>
  <c r="J49" i="208"/>
  <c r="I49" i="208"/>
  <c r="H49" i="208"/>
  <c r="G49" i="208"/>
  <c r="F49" i="208"/>
  <c r="E49" i="208"/>
  <c r="P46" i="208"/>
  <c r="O46" i="208"/>
  <c r="N46" i="208"/>
  <c r="M46" i="208"/>
  <c r="L46" i="208"/>
  <c r="K46" i="208"/>
  <c r="J46" i="208"/>
  <c r="I46" i="208"/>
  <c r="H46" i="208"/>
  <c r="G46" i="208"/>
  <c r="F46" i="208"/>
  <c r="E46" i="208"/>
  <c r="P45" i="208"/>
  <c r="O45" i="208"/>
  <c r="N45" i="208"/>
  <c r="M45" i="208"/>
  <c r="L45" i="208"/>
  <c r="K45" i="208"/>
  <c r="J45" i="208"/>
  <c r="I45" i="208"/>
  <c r="H45" i="208"/>
  <c r="G45" i="208"/>
  <c r="F45" i="208"/>
  <c r="E45" i="208"/>
  <c r="P44" i="208"/>
  <c r="O44" i="208"/>
  <c r="N44" i="208"/>
  <c r="M44" i="208"/>
  <c r="L44" i="208"/>
  <c r="K44" i="208"/>
  <c r="J44" i="208"/>
  <c r="I44" i="208"/>
  <c r="H44" i="208"/>
  <c r="G44" i="208"/>
  <c r="F44" i="208"/>
  <c r="E44" i="208"/>
  <c r="P43" i="208"/>
  <c r="O43" i="208"/>
  <c r="N43" i="208"/>
  <c r="M43" i="208"/>
  <c r="L43" i="208"/>
  <c r="K43" i="208"/>
  <c r="J43" i="208"/>
  <c r="I43" i="208"/>
  <c r="H43" i="208"/>
  <c r="G43" i="208"/>
  <c r="F43" i="208"/>
  <c r="E43" i="208"/>
  <c r="P42" i="208"/>
  <c r="O42" i="208"/>
  <c r="N42" i="208"/>
  <c r="M42" i="208"/>
  <c r="L42" i="208"/>
  <c r="K42" i="208"/>
  <c r="J42" i="208"/>
  <c r="I42" i="208"/>
  <c r="H42" i="208"/>
  <c r="G42" i="208"/>
  <c r="F42" i="208"/>
  <c r="E42" i="208"/>
  <c r="P41" i="208"/>
  <c r="O41" i="208"/>
  <c r="N41" i="208"/>
  <c r="M41" i="208"/>
  <c r="L41" i="208"/>
  <c r="K41" i="208"/>
  <c r="J41" i="208"/>
  <c r="I41" i="208"/>
  <c r="H41" i="208"/>
  <c r="G41" i="208"/>
  <c r="F41" i="208"/>
  <c r="E41" i="208"/>
  <c r="P40" i="208"/>
  <c r="O40" i="208"/>
  <c r="N40" i="208"/>
  <c r="M40" i="208"/>
  <c r="L40" i="208"/>
  <c r="K40" i="208"/>
  <c r="J40" i="208"/>
  <c r="I40" i="208"/>
  <c r="H40" i="208"/>
  <c r="G40" i="208"/>
  <c r="F40" i="208"/>
  <c r="E40" i="208"/>
  <c r="P39" i="208"/>
  <c r="O39" i="208"/>
  <c r="N39" i="208"/>
  <c r="M39" i="208"/>
  <c r="L39" i="208"/>
  <c r="K39" i="208"/>
  <c r="J39" i="208"/>
  <c r="I39" i="208"/>
  <c r="H39" i="208"/>
  <c r="G39" i="208"/>
  <c r="F39" i="208"/>
  <c r="E39" i="208"/>
  <c r="P38" i="208"/>
  <c r="O38" i="208"/>
  <c r="N38" i="208"/>
  <c r="M38" i="208"/>
  <c r="L38" i="208"/>
  <c r="K38" i="208"/>
  <c r="J38" i="208"/>
  <c r="I38" i="208"/>
  <c r="H38" i="208"/>
  <c r="G38" i="208"/>
  <c r="F38" i="208"/>
  <c r="E38" i="208"/>
  <c r="P37" i="208"/>
  <c r="O37" i="208"/>
  <c r="N37" i="208"/>
  <c r="M37" i="208"/>
  <c r="L37" i="208"/>
  <c r="K37" i="208"/>
  <c r="J37" i="208"/>
  <c r="I37" i="208"/>
  <c r="H37" i="208"/>
  <c r="G37" i="208"/>
  <c r="F37" i="208"/>
  <c r="E37" i="208"/>
  <c r="P36" i="208"/>
  <c r="O36" i="208"/>
  <c r="N36" i="208"/>
  <c r="M36" i="208"/>
  <c r="L36" i="208"/>
  <c r="L16" i="208" s="1"/>
  <c r="L15" i="208" s="1"/>
  <c r="K36" i="208"/>
  <c r="J36" i="208"/>
  <c r="I36" i="208"/>
  <c r="H36" i="208"/>
  <c r="H16" i="208" s="1"/>
  <c r="G36" i="208"/>
  <c r="F36" i="208"/>
  <c r="E36" i="208"/>
  <c r="P35" i="208"/>
  <c r="O35" i="208"/>
  <c r="N35" i="208"/>
  <c r="M35" i="208"/>
  <c r="L35" i="208"/>
  <c r="K35" i="208"/>
  <c r="J35" i="208"/>
  <c r="I35" i="208"/>
  <c r="H35" i="208"/>
  <c r="G35" i="208"/>
  <c r="F35" i="208"/>
  <c r="E35" i="208"/>
  <c r="P34" i="208"/>
  <c r="O34" i="208"/>
  <c r="N34" i="208"/>
  <c r="M34" i="208"/>
  <c r="L34" i="208"/>
  <c r="K34" i="208"/>
  <c r="J34" i="208"/>
  <c r="I34" i="208"/>
  <c r="H34" i="208"/>
  <c r="G34" i="208"/>
  <c r="F34" i="208"/>
  <c r="P33" i="208"/>
  <c r="O33" i="208"/>
  <c r="N33" i="208"/>
  <c r="M33" i="208"/>
  <c r="L33" i="208"/>
  <c r="K33" i="208"/>
  <c r="J33" i="208"/>
  <c r="I33" i="208"/>
  <c r="H33" i="208"/>
  <c r="G33" i="208"/>
  <c r="F33" i="208"/>
  <c r="E33" i="208"/>
  <c r="P32" i="208"/>
  <c r="O32" i="208"/>
  <c r="N32" i="208"/>
  <c r="M32" i="208"/>
  <c r="L32" i="208"/>
  <c r="K32" i="208"/>
  <c r="J32" i="208"/>
  <c r="I32" i="208"/>
  <c r="H32" i="208"/>
  <c r="G32" i="208"/>
  <c r="F32" i="208"/>
  <c r="E32" i="208"/>
  <c r="P31" i="208"/>
  <c r="O31" i="208"/>
  <c r="N31" i="208"/>
  <c r="M31" i="208"/>
  <c r="L31" i="208"/>
  <c r="K31" i="208"/>
  <c r="J31" i="208"/>
  <c r="I31" i="208"/>
  <c r="H31" i="208"/>
  <c r="G31" i="208"/>
  <c r="F31" i="208"/>
  <c r="E31" i="208"/>
  <c r="P30" i="208"/>
  <c r="O30" i="208"/>
  <c r="N30" i="208"/>
  <c r="M30" i="208"/>
  <c r="L30" i="208"/>
  <c r="K30" i="208"/>
  <c r="J30" i="208"/>
  <c r="I30" i="208"/>
  <c r="H30" i="208"/>
  <c r="G30" i="208"/>
  <c r="F30" i="208"/>
  <c r="E30" i="208"/>
  <c r="P29" i="208"/>
  <c r="O29" i="208"/>
  <c r="N29" i="208"/>
  <c r="M29" i="208"/>
  <c r="L29" i="208"/>
  <c r="K29" i="208"/>
  <c r="J29" i="208"/>
  <c r="I29" i="208"/>
  <c r="H29" i="208"/>
  <c r="G29" i="208"/>
  <c r="F29" i="208"/>
  <c r="E29" i="208"/>
  <c r="P28" i="208"/>
  <c r="O28" i="208"/>
  <c r="N28" i="208"/>
  <c r="M28" i="208"/>
  <c r="L28" i="208"/>
  <c r="K28" i="208"/>
  <c r="J28" i="208"/>
  <c r="I28" i="208"/>
  <c r="H28" i="208"/>
  <c r="G28" i="208"/>
  <c r="F28" i="208"/>
  <c r="E28" i="208"/>
  <c r="P27" i="208"/>
  <c r="O27" i="208"/>
  <c r="N27" i="208"/>
  <c r="M27" i="208"/>
  <c r="L27" i="208"/>
  <c r="K27" i="208"/>
  <c r="J27" i="208"/>
  <c r="I27" i="208"/>
  <c r="H27" i="208"/>
  <c r="G27" i="208"/>
  <c r="F27" i="208"/>
  <c r="E27" i="208"/>
  <c r="P26" i="208"/>
  <c r="O26" i="208"/>
  <c r="N26" i="208"/>
  <c r="M26" i="208"/>
  <c r="L26" i="208"/>
  <c r="K26" i="208"/>
  <c r="J26" i="208"/>
  <c r="I26" i="208"/>
  <c r="H26" i="208"/>
  <c r="G26" i="208"/>
  <c r="F26" i="208"/>
  <c r="E26" i="208"/>
  <c r="P25" i="208"/>
  <c r="O25" i="208"/>
  <c r="N25" i="208"/>
  <c r="M25" i="208"/>
  <c r="L25" i="208"/>
  <c r="K25" i="208"/>
  <c r="J25" i="208"/>
  <c r="I25" i="208"/>
  <c r="H25" i="208"/>
  <c r="G25" i="208"/>
  <c r="F25" i="208"/>
  <c r="E25" i="208"/>
  <c r="P21" i="208"/>
  <c r="O21" i="208"/>
  <c r="N21" i="208"/>
  <c r="M21" i="208"/>
  <c r="L21" i="208"/>
  <c r="K21" i="208"/>
  <c r="J21" i="208"/>
  <c r="I21" i="208"/>
  <c r="H21" i="208"/>
  <c r="G21" i="208"/>
  <c r="F21" i="208"/>
  <c r="E21" i="208"/>
  <c r="P20" i="208"/>
  <c r="O20" i="208"/>
  <c r="N20" i="208"/>
  <c r="M20" i="208"/>
  <c r="L20" i="208"/>
  <c r="K20" i="208"/>
  <c r="J20" i="208"/>
  <c r="I20" i="208"/>
  <c r="H20" i="208"/>
  <c r="G20" i="208"/>
  <c r="F20" i="208"/>
  <c r="E20" i="208"/>
  <c r="P19" i="208"/>
  <c r="O19" i="208"/>
  <c r="N19" i="208"/>
  <c r="M19" i="208"/>
  <c r="L19" i="208"/>
  <c r="K19" i="208"/>
  <c r="J19" i="208"/>
  <c r="I19" i="208"/>
  <c r="H19" i="208"/>
  <c r="G19" i="208"/>
  <c r="F19" i="208"/>
  <c r="E19" i="208"/>
  <c r="P18" i="208"/>
  <c r="O18" i="208"/>
  <c r="N18" i="208"/>
  <c r="M18" i="208"/>
  <c r="L18" i="208"/>
  <c r="K18" i="208"/>
  <c r="J18" i="208"/>
  <c r="I18" i="208"/>
  <c r="H18" i="208"/>
  <c r="G18" i="208"/>
  <c r="F18" i="208"/>
  <c r="E18" i="208"/>
  <c r="P17" i="208"/>
  <c r="O17" i="208"/>
  <c r="O16" i="208" s="1"/>
  <c r="N17" i="208"/>
  <c r="N16" i="208" s="1"/>
  <c r="N15" i="208" s="1"/>
  <c r="M17" i="208"/>
  <c r="M16" i="208" s="1"/>
  <c r="M15" i="208" s="1"/>
  <c r="L17" i="208"/>
  <c r="K17" i="208"/>
  <c r="J17" i="208"/>
  <c r="I17" i="208"/>
  <c r="I16" i="208" s="1"/>
  <c r="H17" i="208"/>
  <c r="G17" i="208"/>
  <c r="G16" i="208" s="1"/>
  <c r="F17" i="208"/>
  <c r="E17" i="208"/>
  <c r="P431" i="208"/>
  <c r="O431" i="208"/>
  <c r="N431" i="208"/>
  <c r="M431" i="208"/>
  <c r="L431" i="208"/>
  <c r="K431" i="208"/>
  <c r="J431" i="208"/>
  <c r="H431" i="208"/>
  <c r="G431" i="208"/>
  <c r="F431" i="208"/>
  <c r="O428" i="208"/>
  <c r="J428" i="208" s="1"/>
  <c r="J427" i="208" s="1"/>
  <c r="J426" i="208" s="1"/>
  <c r="E428" i="208"/>
  <c r="O427" i="208"/>
  <c r="N427" i="208"/>
  <c r="N426" i="208" s="1"/>
  <c r="M427" i="208"/>
  <c r="M426" i="208" s="1"/>
  <c r="L427" i="208"/>
  <c r="L426" i="208" s="1"/>
  <c r="K427" i="208"/>
  <c r="K426" i="208" s="1"/>
  <c r="K412" i="208" s="1"/>
  <c r="K411" i="208" s="1"/>
  <c r="I427" i="208"/>
  <c r="I426" i="208" s="1"/>
  <c r="H427" i="208"/>
  <c r="H426" i="208" s="1"/>
  <c r="G427" i="208"/>
  <c r="F427" i="208"/>
  <c r="O426" i="208"/>
  <c r="O412" i="208" s="1"/>
  <c r="O411" i="208" s="1"/>
  <c r="G426" i="208"/>
  <c r="F426" i="208"/>
  <c r="F412" i="208" s="1"/>
  <c r="F411" i="208" s="1"/>
  <c r="O425" i="208"/>
  <c r="J425" i="208" s="1"/>
  <c r="F425" i="208"/>
  <c r="E425" i="208" s="1"/>
  <c r="E424" i="208" s="1"/>
  <c r="E423" i="208" s="1"/>
  <c r="O424" i="208"/>
  <c r="N424" i="208"/>
  <c r="N423" i="208" s="1"/>
  <c r="M424" i="208"/>
  <c r="M423" i="208" s="1"/>
  <c r="L424" i="208"/>
  <c r="K424" i="208"/>
  <c r="J424" i="208"/>
  <c r="J423" i="208" s="1"/>
  <c r="I424" i="208"/>
  <c r="I423" i="208" s="1"/>
  <c r="H424" i="208"/>
  <c r="G424" i="208"/>
  <c r="O423" i="208"/>
  <c r="L423" i="208"/>
  <c r="K423" i="208"/>
  <c r="H423" i="208"/>
  <c r="G423" i="208"/>
  <c r="G412" i="208"/>
  <c r="G411" i="208" s="1"/>
  <c r="N403" i="208"/>
  <c r="N402" i="208" s="1"/>
  <c r="F403" i="208"/>
  <c r="F402" i="208" s="1"/>
  <c r="O403" i="208"/>
  <c r="M403" i="208"/>
  <c r="K403" i="208"/>
  <c r="K402" i="208" s="1"/>
  <c r="I403" i="208"/>
  <c r="I402" i="208" s="1"/>
  <c r="H403" i="208"/>
  <c r="H402" i="208" s="1"/>
  <c r="G403" i="208"/>
  <c r="E403" i="208"/>
  <c r="E402" i="208" s="1"/>
  <c r="O402" i="208"/>
  <c r="M402" i="208"/>
  <c r="G402" i="208"/>
  <c r="O401" i="208"/>
  <c r="J401" i="208" s="1"/>
  <c r="J400" i="208" s="1"/>
  <c r="E401" i="208"/>
  <c r="E400" i="208" s="1"/>
  <c r="N400" i="208"/>
  <c r="M400" i="208"/>
  <c r="L400" i="208"/>
  <c r="K400" i="208"/>
  <c r="K393" i="208" s="1"/>
  <c r="K392" i="208" s="1"/>
  <c r="I400" i="208"/>
  <c r="H400" i="208"/>
  <c r="G400" i="208"/>
  <c r="G393" i="208" s="1"/>
  <c r="G392" i="208" s="1"/>
  <c r="F400" i="208"/>
  <c r="F393" i="208" s="1"/>
  <c r="F392" i="208" s="1"/>
  <c r="Q399" i="208"/>
  <c r="N393" i="208"/>
  <c r="N392" i="208" s="1"/>
  <c r="J393" i="208"/>
  <c r="J392" i="208" s="1"/>
  <c r="O391" i="208"/>
  <c r="J391" i="208" s="1"/>
  <c r="J390" i="208" s="1"/>
  <c r="J389" i="208" s="1"/>
  <c r="E391" i="208"/>
  <c r="N390" i="208"/>
  <c r="N389" i="208" s="1"/>
  <c r="N373" i="208" s="1"/>
  <c r="N372" i="208" s="1"/>
  <c r="M390" i="208"/>
  <c r="M389" i="208" s="1"/>
  <c r="L390" i="208"/>
  <c r="L389" i="208" s="1"/>
  <c r="K390" i="208"/>
  <c r="I390" i="208"/>
  <c r="I389" i="208" s="1"/>
  <c r="H390" i="208"/>
  <c r="G390" i="208"/>
  <c r="F390" i="208"/>
  <c r="F389" i="208" s="1"/>
  <c r="K389" i="208"/>
  <c r="K373" i="208" s="1"/>
  <c r="K372" i="208" s="1"/>
  <c r="H389" i="208"/>
  <c r="G389" i="208"/>
  <c r="G373" i="208" s="1"/>
  <c r="G372" i="208" s="1"/>
  <c r="H373" i="208"/>
  <c r="H372" i="208" s="1"/>
  <c r="O371" i="208"/>
  <c r="O370" i="208" s="1"/>
  <c r="O354" i="208" s="1"/>
  <c r="O353" i="208" s="1"/>
  <c r="E371" i="208"/>
  <c r="E370" i="208" s="1"/>
  <c r="N370" i="208"/>
  <c r="M370" i="208"/>
  <c r="L370" i="208"/>
  <c r="K370" i="208"/>
  <c r="K354" i="208" s="1"/>
  <c r="K353" i="208" s="1"/>
  <c r="I370" i="208"/>
  <c r="H370" i="208"/>
  <c r="G370" i="208"/>
  <c r="F370" i="208"/>
  <c r="N354" i="208"/>
  <c r="N353" i="208" s="1"/>
  <c r="F354" i="208"/>
  <c r="F353" i="208" s="1"/>
  <c r="G354" i="208"/>
  <c r="G353" i="208" s="1"/>
  <c r="O352" i="208"/>
  <c r="J352" i="208" s="1"/>
  <c r="J351" i="208" s="1"/>
  <c r="J350" i="208" s="1"/>
  <c r="E352" i="208"/>
  <c r="N351" i="208"/>
  <c r="N350" i="208" s="1"/>
  <c r="N345" i="208" s="1"/>
  <c r="N344" i="208" s="1"/>
  <c r="M351" i="208"/>
  <c r="L351" i="208"/>
  <c r="L350" i="208" s="1"/>
  <c r="L345" i="208" s="1"/>
  <c r="K351" i="208"/>
  <c r="K350" i="208" s="1"/>
  <c r="I351" i="208"/>
  <c r="I350" i="208" s="1"/>
  <c r="H351" i="208"/>
  <c r="G351" i="208"/>
  <c r="G350" i="208" s="1"/>
  <c r="F351" i="208"/>
  <c r="E351" i="208"/>
  <c r="M350" i="208"/>
  <c r="H350" i="208"/>
  <c r="F350" i="208"/>
  <c r="E350" i="208"/>
  <c r="F345" i="208"/>
  <c r="F344" i="208" s="1"/>
  <c r="O343" i="208"/>
  <c r="J343" i="208" s="1"/>
  <c r="E343" i="208"/>
  <c r="E340" i="208" s="1"/>
  <c r="E339" i="208" s="1"/>
  <c r="O341" i="208"/>
  <c r="J341" i="208"/>
  <c r="E341" i="208"/>
  <c r="O340" i="208"/>
  <c r="O339" i="208" s="1"/>
  <c r="N340" i="208"/>
  <c r="M340" i="208"/>
  <c r="L340" i="208"/>
  <c r="K340" i="208"/>
  <c r="K339" i="208" s="1"/>
  <c r="I340" i="208"/>
  <c r="I339" i="208" s="1"/>
  <c r="H340" i="208"/>
  <c r="G340" i="208"/>
  <c r="G339" i="208" s="1"/>
  <c r="F340" i="208"/>
  <c r="N339" i="208"/>
  <c r="M339" i="208"/>
  <c r="L339" i="208"/>
  <c r="H339" i="208"/>
  <c r="F339" i="208"/>
  <c r="O338" i="208"/>
  <c r="J338" i="208" s="1"/>
  <c r="E338" i="208"/>
  <c r="L320" i="208"/>
  <c r="L319" i="208" s="1"/>
  <c r="O320" i="208"/>
  <c r="O319" i="208" s="1"/>
  <c r="N320" i="208"/>
  <c r="N319" i="208" s="1"/>
  <c r="K320" i="208"/>
  <c r="K319" i="208" s="1"/>
  <c r="G320" i="208"/>
  <c r="G319" i="208" s="1"/>
  <c r="F320" i="208"/>
  <c r="F319" i="208" s="1"/>
  <c r="O318" i="208"/>
  <c r="J318" i="208" s="1"/>
  <c r="J317" i="208" s="1"/>
  <c r="J316" i="208" s="1"/>
  <c r="E318" i="208"/>
  <c r="N317" i="208"/>
  <c r="N316" i="208" s="1"/>
  <c r="N285" i="208" s="1"/>
  <c r="N284" i="208" s="1"/>
  <c r="M317" i="208"/>
  <c r="M316" i="208" s="1"/>
  <c r="L317" i="208"/>
  <c r="K317" i="208"/>
  <c r="I317" i="208"/>
  <c r="I316" i="208" s="1"/>
  <c r="H317" i="208"/>
  <c r="G317" i="208"/>
  <c r="G316" i="208" s="1"/>
  <c r="G285" i="208" s="1"/>
  <c r="G284" i="208" s="1"/>
  <c r="F317" i="208"/>
  <c r="F316" i="208" s="1"/>
  <c r="F285" i="208" s="1"/>
  <c r="F284" i="208" s="1"/>
  <c r="E317" i="208"/>
  <c r="E316" i="208" s="1"/>
  <c r="L316" i="208"/>
  <c r="K316" i="208"/>
  <c r="H316" i="208"/>
  <c r="O315" i="208"/>
  <c r="J315" i="208"/>
  <c r="H315" i="208"/>
  <c r="G315" i="208"/>
  <c r="F315" i="208"/>
  <c r="E315" i="208"/>
  <c r="P315" i="208" s="1"/>
  <c r="L285" i="208"/>
  <c r="L284" i="208" s="1"/>
  <c r="K285" i="208"/>
  <c r="K284" i="208" s="1"/>
  <c r="O283" i="208"/>
  <c r="O282" i="208" s="1"/>
  <c r="J283" i="208"/>
  <c r="J282" i="208" s="1"/>
  <c r="E283" i="208"/>
  <c r="P283" i="208" s="1"/>
  <c r="P282" i="208" s="1"/>
  <c r="N282" i="208"/>
  <c r="M282" i="208"/>
  <c r="L282" i="208"/>
  <c r="K282" i="208"/>
  <c r="I282" i="208"/>
  <c r="H282" i="208"/>
  <c r="G282" i="208"/>
  <c r="F282" i="208"/>
  <c r="M257" i="208"/>
  <c r="M256" i="208" s="1"/>
  <c r="O257" i="208"/>
  <c r="O256" i="208" s="1"/>
  <c r="N257" i="208"/>
  <c r="N256" i="208" s="1"/>
  <c r="K257" i="208"/>
  <c r="G257" i="208"/>
  <c r="G256" i="208" s="1"/>
  <c r="F257" i="208"/>
  <c r="K256" i="208"/>
  <c r="F256" i="208"/>
  <c r="O255" i="208"/>
  <c r="O254" i="208" s="1"/>
  <c r="O253" i="208" s="1"/>
  <c r="J255" i="208"/>
  <c r="E255" i="208"/>
  <c r="N254" i="208"/>
  <c r="N253" i="208" s="1"/>
  <c r="M254" i="208"/>
  <c r="L254" i="208"/>
  <c r="K254" i="208"/>
  <c r="K253" i="208" s="1"/>
  <c r="I254" i="208"/>
  <c r="H254" i="208"/>
  <c r="H253" i="208" s="1"/>
  <c r="G254" i="208"/>
  <c r="G253" i="208" s="1"/>
  <c r="F254" i="208"/>
  <c r="F253" i="208" s="1"/>
  <c r="E254" i="208"/>
  <c r="M253" i="208"/>
  <c r="L253" i="208"/>
  <c r="I253" i="208"/>
  <c r="E253" i="208"/>
  <c r="O252" i="208"/>
  <c r="E252" i="208"/>
  <c r="O251" i="208"/>
  <c r="J251" i="208"/>
  <c r="E251" i="208"/>
  <c r="E250" i="208" s="1"/>
  <c r="E246" i="208" s="1"/>
  <c r="N250" i="208"/>
  <c r="M250" i="208"/>
  <c r="L250" i="208"/>
  <c r="K250" i="208"/>
  <c r="I250" i="208"/>
  <c r="H250" i="208"/>
  <c r="G250" i="208"/>
  <c r="F250" i="208"/>
  <c r="K249" i="208"/>
  <c r="O249" i="208" s="1"/>
  <c r="E249" i="208"/>
  <c r="N248" i="208"/>
  <c r="M248" i="208"/>
  <c r="L248" i="208"/>
  <c r="L247" i="208" s="1"/>
  <c r="I248" i="208"/>
  <c r="I247" i="208" s="1"/>
  <c r="I246" i="208" s="1"/>
  <c r="H248" i="208"/>
  <c r="H247" i="208" s="1"/>
  <c r="H246" i="208" s="1"/>
  <c r="G248" i="208"/>
  <c r="G247" i="208" s="1"/>
  <c r="F248" i="208"/>
  <c r="E248" i="208"/>
  <c r="N247" i="208"/>
  <c r="N246" i="208" s="1"/>
  <c r="M247" i="208"/>
  <c r="F247" i="208"/>
  <c r="E247" i="208"/>
  <c r="M246" i="208"/>
  <c r="F246" i="208"/>
  <c r="O245" i="208"/>
  <c r="O244" i="208" s="1"/>
  <c r="O243" i="208" s="1"/>
  <c r="J245" i="208"/>
  <c r="E245" i="208"/>
  <c r="E244" i="208" s="1"/>
  <c r="E243" i="208" s="1"/>
  <c r="N244" i="208"/>
  <c r="N243" i="208" s="1"/>
  <c r="M244" i="208"/>
  <c r="L244" i="208"/>
  <c r="L243" i="208" s="1"/>
  <c r="K244" i="208"/>
  <c r="I244" i="208"/>
  <c r="H244" i="208"/>
  <c r="G244" i="208"/>
  <c r="G243" i="208" s="1"/>
  <c r="F244" i="208"/>
  <c r="F243" i="208" s="1"/>
  <c r="M243" i="208"/>
  <c r="K243" i="208"/>
  <c r="I243" i="208"/>
  <c r="H243" i="208"/>
  <c r="O219" i="208"/>
  <c r="J219" i="208" s="1"/>
  <c r="E219" i="208"/>
  <c r="N218" i="208"/>
  <c r="M218" i="208"/>
  <c r="M217" i="208" s="1"/>
  <c r="L218" i="208"/>
  <c r="K218" i="208"/>
  <c r="I218" i="208"/>
  <c r="H218" i="208"/>
  <c r="H217" i="208" s="1"/>
  <c r="H200" i="208" s="1"/>
  <c r="H199" i="208" s="1"/>
  <c r="G218" i="208"/>
  <c r="G217" i="208" s="1"/>
  <c r="G200" i="208" s="1"/>
  <c r="G199" i="208" s="1"/>
  <c r="F218" i="208"/>
  <c r="E218" i="208"/>
  <c r="N217" i="208"/>
  <c r="L217" i="208"/>
  <c r="K217" i="208"/>
  <c r="K200" i="208" s="1"/>
  <c r="K199" i="208" s="1"/>
  <c r="I217" i="208"/>
  <c r="I200" i="208" s="1"/>
  <c r="I199" i="208" s="1"/>
  <c r="F217" i="208"/>
  <c r="E217" i="208"/>
  <c r="O216" i="208"/>
  <c r="J216" i="208" s="1"/>
  <c r="K216" i="208"/>
  <c r="E216" i="208"/>
  <c r="O215" i="208"/>
  <c r="J215" i="208" s="1"/>
  <c r="P215" i="208" s="1"/>
  <c r="E215" i="208"/>
  <c r="O197" i="208"/>
  <c r="J197" i="208"/>
  <c r="J196" i="208" s="1"/>
  <c r="E197" i="208"/>
  <c r="P197" i="208" s="1"/>
  <c r="P196" i="208" s="1"/>
  <c r="O196" i="208"/>
  <c r="N196" i="208"/>
  <c r="M196" i="208"/>
  <c r="L196" i="208"/>
  <c r="K196" i="208"/>
  <c r="I196" i="208"/>
  <c r="H196" i="208"/>
  <c r="G196" i="208"/>
  <c r="F196" i="208"/>
  <c r="O140" i="208"/>
  <c r="O139" i="208" s="1"/>
  <c r="K140" i="208"/>
  <c r="K139" i="208" s="1"/>
  <c r="G140" i="208"/>
  <c r="G139" i="208" s="1"/>
  <c r="O138" i="208"/>
  <c r="J138" i="208"/>
  <c r="E138" i="208"/>
  <c r="O137" i="208"/>
  <c r="J137" i="208" s="1"/>
  <c r="P137" i="208" s="1"/>
  <c r="E137" i="208"/>
  <c r="N108" i="208"/>
  <c r="N107" i="208" s="1"/>
  <c r="O108" i="208"/>
  <c r="O107" i="208" s="1"/>
  <c r="K108" i="208"/>
  <c r="K107" i="208" s="1"/>
  <c r="G108" i="208"/>
  <c r="G107" i="208" s="1"/>
  <c r="O106" i="208"/>
  <c r="J106" i="208" s="1"/>
  <c r="E106" i="208"/>
  <c r="E105" i="208" s="1"/>
  <c r="E104" i="208" s="1"/>
  <c r="N105" i="208"/>
  <c r="M105" i="208"/>
  <c r="L105" i="208"/>
  <c r="L104" i="208" s="1"/>
  <c r="K105" i="208"/>
  <c r="K104" i="208" s="1"/>
  <c r="I105" i="208"/>
  <c r="H105" i="208"/>
  <c r="G105" i="208"/>
  <c r="F105" i="208"/>
  <c r="N104" i="208"/>
  <c r="N48" i="208" s="1"/>
  <c r="N47" i="208" s="1"/>
  <c r="M104" i="208"/>
  <c r="I104" i="208"/>
  <c r="H104" i="208"/>
  <c r="G104" i="208"/>
  <c r="F104" i="208"/>
  <c r="O103" i="208"/>
  <c r="J103" i="208" s="1"/>
  <c r="E103" i="208"/>
  <c r="E102" i="208" s="1"/>
  <c r="E101" i="208" s="1"/>
  <c r="N102" i="208"/>
  <c r="M102" i="208"/>
  <c r="L102" i="208"/>
  <c r="K102" i="208"/>
  <c r="K101" i="208" s="1"/>
  <c r="I102" i="208"/>
  <c r="H102" i="208"/>
  <c r="G102" i="208"/>
  <c r="G101" i="208" s="1"/>
  <c r="F102" i="208"/>
  <c r="N101" i="208"/>
  <c r="M101" i="208"/>
  <c r="L101" i="208"/>
  <c r="I101" i="208"/>
  <c r="H101" i="208"/>
  <c r="F101" i="208"/>
  <c r="F48" i="208" s="1"/>
  <c r="F47" i="208" s="1"/>
  <c r="H48" i="208"/>
  <c r="H47" i="208" s="1"/>
  <c r="K16" i="208"/>
  <c r="F16" i="208"/>
  <c r="F15" i="208" s="1"/>
  <c r="N422" i="207"/>
  <c r="M422" i="207"/>
  <c r="L422" i="207"/>
  <c r="K422" i="207"/>
  <c r="I422" i="207"/>
  <c r="H422" i="207"/>
  <c r="G422" i="207"/>
  <c r="F422" i="207"/>
  <c r="N420" i="207"/>
  <c r="M420" i="207"/>
  <c r="L420" i="207"/>
  <c r="K420" i="207"/>
  <c r="I420" i="207"/>
  <c r="H420" i="207"/>
  <c r="G420" i="207"/>
  <c r="F420" i="207"/>
  <c r="N418" i="207"/>
  <c r="M418" i="207"/>
  <c r="L418" i="207"/>
  <c r="K418" i="207"/>
  <c r="I418" i="207"/>
  <c r="H418" i="207"/>
  <c r="G418" i="207"/>
  <c r="F418" i="207"/>
  <c r="N415" i="207"/>
  <c r="M415" i="207"/>
  <c r="L415" i="207"/>
  <c r="K415" i="207"/>
  <c r="I415" i="207"/>
  <c r="H415" i="207"/>
  <c r="G415" i="207"/>
  <c r="F415" i="207"/>
  <c r="N414" i="207"/>
  <c r="M414" i="207"/>
  <c r="L414" i="207"/>
  <c r="K414" i="207"/>
  <c r="I414" i="207"/>
  <c r="H414" i="207"/>
  <c r="G414" i="207"/>
  <c r="F414" i="207"/>
  <c r="N410" i="207"/>
  <c r="M410" i="207"/>
  <c r="L410" i="207"/>
  <c r="I410" i="207"/>
  <c r="H410" i="207"/>
  <c r="G410" i="207"/>
  <c r="F410" i="207"/>
  <c r="N408" i="207"/>
  <c r="M408" i="207"/>
  <c r="L408" i="207"/>
  <c r="I408" i="207"/>
  <c r="H408" i="207"/>
  <c r="G408" i="207"/>
  <c r="N405" i="207"/>
  <c r="M405" i="207"/>
  <c r="L405" i="207"/>
  <c r="K405" i="207"/>
  <c r="I405" i="207"/>
  <c r="H405" i="207"/>
  <c r="G405" i="207"/>
  <c r="F405" i="207"/>
  <c r="N399" i="207"/>
  <c r="M399" i="207"/>
  <c r="K399" i="207"/>
  <c r="I399" i="207"/>
  <c r="H399" i="207"/>
  <c r="G399" i="207"/>
  <c r="F399" i="207"/>
  <c r="E399" i="207"/>
  <c r="N396" i="207"/>
  <c r="M396" i="207"/>
  <c r="L396" i="207"/>
  <c r="K396" i="207"/>
  <c r="I396" i="207"/>
  <c r="H396" i="207"/>
  <c r="G396" i="207"/>
  <c r="F396" i="207"/>
  <c r="N395" i="207"/>
  <c r="M395" i="207"/>
  <c r="L395" i="207"/>
  <c r="K395" i="207"/>
  <c r="I395" i="207"/>
  <c r="H395" i="207"/>
  <c r="G395" i="207"/>
  <c r="F395" i="207"/>
  <c r="N388" i="207"/>
  <c r="M388" i="207"/>
  <c r="L388" i="207"/>
  <c r="I388" i="207"/>
  <c r="H388" i="207"/>
  <c r="G388" i="207"/>
  <c r="N385" i="207"/>
  <c r="M385" i="207"/>
  <c r="L385" i="207"/>
  <c r="K385" i="207"/>
  <c r="I385" i="207"/>
  <c r="H385" i="207"/>
  <c r="G385" i="207"/>
  <c r="F385" i="207"/>
  <c r="N383" i="207"/>
  <c r="M383" i="207"/>
  <c r="L383" i="207"/>
  <c r="I383" i="207"/>
  <c r="H383" i="207"/>
  <c r="G383" i="207"/>
  <c r="N382" i="207"/>
  <c r="M382" i="207"/>
  <c r="L382" i="207"/>
  <c r="K382" i="207"/>
  <c r="I382" i="207"/>
  <c r="H382" i="207"/>
  <c r="G382" i="207"/>
  <c r="F382" i="207"/>
  <c r="N381" i="207"/>
  <c r="M381" i="207"/>
  <c r="L381" i="207"/>
  <c r="K381" i="207"/>
  <c r="I381" i="207"/>
  <c r="H381" i="207"/>
  <c r="G381" i="207"/>
  <c r="N379" i="207"/>
  <c r="M379" i="207"/>
  <c r="L379" i="207"/>
  <c r="K379" i="207"/>
  <c r="I379" i="207"/>
  <c r="H379" i="207"/>
  <c r="G379" i="207"/>
  <c r="N376" i="207"/>
  <c r="M376" i="207"/>
  <c r="L376" i="207"/>
  <c r="I376" i="207"/>
  <c r="H376" i="207"/>
  <c r="G376" i="207"/>
  <c r="N375" i="207"/>
  <c r="M375" i="207"/>
  <c r="L375" i="207"/>
  <c r="I375" i="207"/>
  <c r="H375" i="207"/>
  <c r="G375" i="207"/>
  <c r="N369" i="207"/>
  <c r="M369" i="207"/>
  <c r="L369" i="207"/>
  <c r="K369" i="207"/>
  <c r="I369" i="207"/>
  <c r="H369" i="207"/>
  <c r="G369" i="207"/>
  <c r="F369" i="207"/>
  <c r="N366" i="207"/>
  <c r="M366" i="207"/>
  <c r="L366" i="207"/>
  <c r="I366" i="207"/>
  <c r="H366" i="207"/>
  <c r="G366" i="207"/>
  <c r="F366" i="207"/>
  <c r="N363" i="207"/>
  <c r="M363" i="207"/>
  <c r="L363" i="207"/>
  <c r="K363" i="207"/>
  <c r="I363" i="207"/>
  <c r="H363" i="207"/>
  <c r="G363" i="207"/>
  <c r="F363" i="207"/>
  <c r="N361" i="207"/>
  <c r="M361" i="207"/>
  <c r="L361" i="207"/>
  <c r="K361" i="207"/>
  <c r="I361" i="207"/>
  <c r="H361" i="207"/>
  <c r="G361" i="207"/>
  <c r="F361" i="207"/>
  <c r="N357" i="207"/>
  <c r="M357" i="207"/>
  <c r="L357" i="207"/>
  <c r="K357" i="207"/>
  <c r="I357" i="207"/>
  <c r="H357" i="207"/>
  <c r="G357" i="207"/>
  <c r="F357" i="207"/>
  <c r="N356" i="207"/>
  <c r="M356" i="207"/>
  <c r="L356" i="207"/>
  <c r="K356" i="207"/>
  <c r="I356" i="207"/>
  <c r="H356" i="207"/>
  <c r="G356" i="207"/>
  <c r="F356" i="207"/>
  <c r="N349" i="207"/>
  <c r="M349" i="207"/>
  <c r="L349" i="207"/>
  <c r="K349" i="207"/>
  <c r="I349" i="207"/>
  <c r="H349" i="207"/>
  <c r="G349" i="207"/>
  <c r="N348" i="207"/>
  <c r="M348" i="207"/>
  <c r="L348" i="207"/>
  <c r="K348" i="207"/>
  <c r="I348" i="207"/>
  <c r="H348" i="207"/>
  <c r="G348" i="207"/>
  <c r="F348" i="207"/>
  <c r="N347" i="207"/>
  <c r="M347" i="207"/>
  <c r="L347" i="207"/>
  <c r="K347" i="207"/>
  <c r="I347" i="207"/>
  <c r="H347" i="207"/>
  <c r="G347" i="207"/>
  <c r="F347" i="207"/>
  <c r="N337" i="207"/>
  <c r="M337" i="207"/>
  <c r="L337" i="207"/>
  <c r="K337" i="207"/>
  <c r="I337" i="207"/>
  <c r="H337" i="207"/>
  <c r="G337" i="207"/>
  <c r="F337" i="207"/>
  <c r="N336" i="207"/>
  <c r="M336" i="207"/>
  <c r="L336" i="207"/>
  <c r="K336" i="207"/>
  <c r="I336" i="207"/>
  <c r="H336" i="207"/>
  <c r="G336" i="207"/>
  <c r="F336" i="207"/>
  <c r="N335" i="207"/>
  <c r="M335" i="207"/>
  <c r="L335" i="207"/>
  <c r="I335" i="207"/>
  <c r="H335" i="207"/>
  <c r="G335" i="207"/>
  <c r="F335" i="207"/>
  <c r="N334" i="207"/>
  <c r="M334" i="207"/>
  <c r="L334" i="207"/>
  <c r="I334" i="207"/>
  <c r="H334" i="207"/>
  <c r="G334" i="207"/>
  <c r="F334" i="207"/>
  <c r="N332" i="207"/>
  <c r="M332" i="207"/>
  <c r="L332" i="207"/>
  <c r="K332" i="207"/>
  <c r="I332" i="207"/>
  <c r="H332" i="207"/>
  <c r="G332" i="207"/>
  <c r="F332" i="207"/>
  <c r="N329" i="207"/>
  <c r="M329" i="207"/>
  <c r="L329" i="207"/>
  <c r="K329" i="207"/>
  <c r="I329" i="207"/>
  <c r="H329" i="207"/>
  <c r="G329" i="207"/>
  <c r="F329" i="207"/>
  <c r="N326" i="207"/>
  <c r="M326" i="207"/>
  <c r="L326" i="207"/>
  <c r="I326" i="207"/>
  <c r="H326" i="207"/>
  <c r="G326" i="207"/>
  <c r="F326" i="207"/>
  <c r="N324" i="207"/>
  <c r="M324" i="207"/>
  <c r="L324" i="207"/>
  <c r="K324" i="207"/>
  <c r="I324" i="207"/>
  <c r="H324" i="207"/>
  <c r="G324" i="207"/>
  <c r="F324" i="207"/>
  <c r="N323" i="207"/>
  <c r="M323" i="207"/>
  <c r="L323" i="207"/>
  <c r="K323" i="207"/>
  <c r="I323" i="207"/>
  <c r="H323" i="207"/>
  <c r="G323" i="207"/>
  <c r="F323" i="207"/>
  <c r="N322" i="207"/>
  <c r="M322" i="207"/>
  <c r="L322" i="207"/>
  <c r="K322" i="207"/>
  <c r="I322" i="207"/>
  <c r="H322" i="207"/>
  <c r="G322" i="207"/>
  <c r="F322" i="207"/>
  <c r="J257" i="208" l="1"/>
  <c r="J256" i="208" s="1"/>
  <c r="L256" i="208"/>
  <c r="J340" i="208"/>
  <c r="J339" i="208" s="1"/>
  <c r="E221" i="208"/>
  <c r="E220" i="208" s="1"/>
  <c r="P338" i="208"/>
  <c r="P341" i="208"/>
  <c r="J371" i="208"/>
  <c r="J370" i="208" s="1"/>
  <c r="O390" i="208"/>
  <c r="O389" i="208" s="1"/>
  <c r="O373" i="208" s="1"/>
  <c r="O372" i="208" s="1"/>
  <c r="J441" i="208"/>
  <c r="E16" i="208"/>
  <c r="E15" i="208" s="1"/>
  <c r="I48" i="208"/>
  <c r="I47" i="208" s="1"/>
  <c r="M48" i="208"/>
  <c r="M47" i="208" s="1"/>
  <c r="E48" i="208"/>
  <c r="E47" i="208" s="1"/>
  <c r="M140" i="208"/>
  <c r="I140" i="208"/>
  <c r="I139" i="208" s="1"/>
  <c r="E200" i="208"/>
  <c r="E199" i="208" s="1"/>
  <c r="M200" i="208"/>
  <c r="M199" i="208" s="1"/>
  <c r="I221" i="208"/>
  <c r="I220" i="208" s="1"/>
  <c r="M221" i="208"/>
  <c r="M220" i="208" s="1"/>
  <c r="E257" i="208"/>
  <c r="I257" i="208"/>
  <c r="I256" i="208" s="1"/>
  <c r="E345" i="208"/>
  <c r="E344" i="208" s="1"/>
  <c r="I345" i="208"/>
  <c r="I344" i="208" s="1"/>
  <c r="M345" i="208"/>
  <c r="M344" i="208" s="1"/>
  <c r="E354" i="208"/>
  <c r="E353" i="208" s="1"/>
  <c r="M354" i="208"/>
  <c r="M353" i="208" s="1"/>
  <c r="I354" i="208"/>
  <c r="I353" i="208" s="1"/>
  <c r="E393" i="208"/>
  <c r="E392" i="208" s="1"/>
  <c r="I393" i="208"/>
  <c r="I392" i="208" s="1"/>
  <c r="M393" i="208"/>
  <c r="M392" i="208" s="1"/>
  <c r="H221" i="208"/>
  <c r="H220" i="208" s="1"/>
  <c r="P138" i="208"/>
  <c r="P216" i="208"/>
  <c r="L246" i="208"/>
  <c r="L221" i="208" s="1"/>
  <c r="L220" i="208" s="1"/>
  <c r="P391" i="208"/>
  <c r="P390" i="208" s="1"/>
  <c r="P389" i="208" s="1"/>
  <c r="L412" i="208"/>
  <c r="L411" i="208" s="1"/>
  <c r="P428" i="208"/>
  <c r="P427" i="208" s="1"/>
  <c r="P426" i="208" s="1"/>
  <c r="P412" i="208" s="1"/>
  <c r="F108" i="208"/>
  <c r="F107" i="208" s="1"/>
  <c r="J108" i="208"/>
  <c r="J107" i="208" s="1"/>
  <c r="F140" i="208"/>
  <c r="F139" i="208" s="1"/>
  <c r="N140" i="208"/>
  <c r="N139" i="208" s="1"/>
  <c r="F200" i="208"/>
  <c r="F199" i="208" s="1"/>
  <c r="N200" i="208"/>
  <c r="N199" i="208" s="1"/>
  <c r="J412" i="208"/>
  <c r="J411" i="208" s="1"/>
  <c r="N412" i="208"/>
  <c r="N411" i="208" s="1"/>
  <c r="P343" i="208"/>
  <c r="P245" i="208"/>
  <c r="P244" i="208" s="1"/>
  <c r="P243" i="208" s="1"/>
  <c r="O317" i="208"/>
  <c r="O316" i="208" s="1"/>
  <c r="O285" i="208" s="1"/>
  <c r="J285" i="208" s="1"/>
  <c r="J284" i="208" s="1"/>
  <c r="O105" i="208"/>
  <c r="O104" i="208" s="1"/>
  <c r="G246" i="208"/>
  <c r="G221" i="208" s="1"/>
  <c r="G220" i="208" s="1"/>
  <c r="J24" i="165"/>
  <c r="J23" i="165" s="1"/>
  <c r="F99" i="210"/>
  <c r="F111" i="210" s="1"/>
  <c r="E66" i="210"/>
  <c r="E111" i="210" s="1"/>
  <c r="D99" i="210"/>
  <c r="C99" i="210" s="1"/>
  <c r="C109" i="209"/>
  <c r="F111" i="209"/>
  <c r="F150" i="209" s="1"/>
  <c r="J150" i="209" s="1"/>
  <c r="D66" i="209"/>
  <c r="D99" i="209"/>
  <c r="H412" i="208"/>
  <c r="H411" i="208" s="1"/>
  <c r="F373" i="208"/>
  <c r="F372" i="208" s="1"/>
  <c r="J373" i="208"/>
  <c r="J372" i="208" s="1"/>
  <c r="M285" i="208"/>
  <c r="M284" i="208" s="1"/>
  <c r="E285" i="208"/>
  <c r="E284" i="208" s="1"/>
  <c r="I285" i="208"/>
  <c r="I284" i="208" s="1"/>
  <c r="J140" i="208"/>
  <c r="J139" i="208" s="1"/>
  <c r="P107" i="208"/>
  <c r="L139" i="208"/>
  <c r="J403" i="208"/>
  <c r="J402" i="208" s="1"/>
  <c r="L372" i="208"/>
  <c r="J218" i="208"/>
  <c r="J217" i="208" s="1"/>
  <c r="P219" i="208"/>
  <c r="P218" i="208" s="1"/>
  <c r="P217" i="208" s="1"/>
  <c r="E319" i="208"/>
  <c r="L344" i="208"/>
  <c r="Q412" i="208"/>
  <c r="P411" i="208"/>
  <c r="G48" i="208"/>
  <c r="G47" i="208" s="1"/>
  <c r="K48" i="208"/>
  <c r="K47" i="208" s="1"/>
  <c r="J244" i="208"/>
  <c r="J243" i="208" s="1"/>
  <c r="J249" i="208"/>
  <c r="J248" i="208" s="1"/>
  <c r="J247" i="208" s="1"/>
  <c r="O248" i="208"/>
  <c r="O247" i="208" s="1"/>
  <c r="P425" i="208"/>
  <c r="P424" i="208" s="1"/>
  <c r="P423" i="208" s="1"/>
  <c r="L429" i="208"/>
  <c r="L440" i="208" s="1"/>
  <c r="J16" i="208"/>
  <c r="J102" i="208"/>
  <c r="J101" i="208" s="1"/>
  <c r="P103" i="208"/>
  <c r="P102" i="208" s="1"/>
  <c r="P101" i="208" s="1"/>
  <c r="K15" i="208"/>
  <c r="O15" i="208"/>
  <c r="O102" i="208"/>
  <c r="O101" i="208" s="1"/>
  <c r="O48" i="208" s="1"/>
  <c r="J105" i="208"/>
  <c r="J104" i="208" s="1"/>
  <c r="P106" i="208"/>
  <c r="P105" i="208" s="1"/>
  <c r="P104" i="208" s="1"/>
  <c r="O218" i="208"/>
  <c r="O217" i="208" s="1"/>
  <c r="O200" i="208" s="1"/>
  <c r="O199" i="208" s="1"/>
  <c r="F221" i="208"/>
  <c r="F220" i="208" s="1"/>
  <c r="N221" i="208"/>
  <c r="N220" i="208" s="1"/>
  <c r="P285" i="208"/>
  <c r="G15" i="208"/>
  <c r="H15" i="208"/>
  <c r="E139" i="208"/>
  <c r="M139" i="208"/>
  <c r="E196" i="208"/>
  <c r="L199" i="208"/>
  <c r="J252" i="208"/>
  <c r="O250" i="208"/>
  <c r="P255" i="208"/>
  <c r="P254" i="208" s="1"/>
  <c r="P253" i="208" s="1"/>
  <c r="J254" i="208"/>
  <c r="J253" i="208" s="1"/>
  <c r="P249" i="208"/>
  <c r="P248" i="208" s="1"/>
  <c r="P247" i="208" s="1"/>
  <c r="O351" i="208"/>
  <c r="O350" i="208" s="1"/>
  <c r="O345" i="208" s="1"/>
  <c r="O344" i="208" s="1"/>
  <c r="P352" i="208"/>
  <c r="P351" i="208" s="1"/>
  <c r="P350" i="208" s="1"/>
  <c r="J354" i="208"/>
  <c r="E390" i="208"/>
  <c r="E389" i="208" s="1"/>
  <c r="E373" i="208" s="1"/>
  <c r="I412" i="208"/>
  <c r="I411" i="208" s="1"/>
  <c r="M412" i="208"/>
  <c r="M411" i="208" s="1"/>
  <c r="F424" i="208"/>
  <c r="F423" i="208" s="1"/>
  <c r="I15" i="208"/>
  <c r="E256" i="208"/>
  <c r="P257" i="208"/>
  <c r="E282" i="208"/>
  <c r="I373" i="208"/>
  <c r="I372" i="208" s="1"/>
  <c r="M373" i="208"/>
  <c r="M372" i="208" s="1"/>
  <c r="O400" i="208"/>
  <c r="O393" i="208" s="1"/>
  <c r="O392" i="208" s="1"/>
  <c r="P401" i="208"/>
  <c r="P400" i="208" s="1"/>
  <c r="E427" i="208"/>
  <c r="E426" i="208" s="1"/>
  <c r="E412" i="208" s="1"/>
  <c r="K248" i="208"/>
  <c r="K247" i="208" s="1"/>
  <c r="K246" i="208" s="1"/>
  <c r="K221" i="208" s="1"/>
  <c r="K220" i="208" s="1"/>
  <c r="P251" i="208"/>
  <c r="P318" i="208"/>
  <c r="P317" i="208" s="1"/>
  <c r="P316" i="208" s="1"/>
  <c r="J320" i="208"/>
  <c r="J319" i="208" s="1"/>
  <c r="G345" i="208"/>
  <c r="G344" i="208" s="1"/>
  <c r="K345" i="208"/>
  <c r="K344" i="208" s="1"/>
  <c r="H393" i="208"/>
  <c r="H392" i="208" s="1"/>
  <c r="P393" i="208"/>
  <c r="E431" i="208"/>
  <c r="P371" i="208" l="1"/>
  <c r="P370" i="208" s="1"/>
  <c r="N429" i="208"/>
  <c r="N440" i="208" s="1"/>
  <c r="O284" i="208"/>
  <c r="P340" i="208"/>
  <c r="P339" i="208" s="1"/>
  <c r="P140" i="208"/>
  <c r="P24" i="165"/>
  <c r="P23" i="165" s="1"/>
  <c r="P22" i="165" s="1"/>
  <c r="D66" i="210"/>
  <c r="C66" i="210" s="1"/>
  <c r="C99" i="209"/>
  <c r="D15" i="209"/>
  <c r="C15" i="209" s="1"/>
  <c r="G429" i="208"/>
  <c r="G440" i="208" s="1"/>
  <c r="J200" i="208"/>
  <c r="J199" i="208" s="1"/>
  <c r="P403" i="208"/>
  <c r="O47" i="208"/>
  <c r="J48" i="208"/>
  <c r="E411" i="208"/>
  <c r="E429" i="208"/>
  <c r="E440" i="208" s="1"/>
  <c r="E372" i="208"/>
  <c r="P373" i="208"/>
  <c r="Q431" i="208"/>
  <c r="Q257" i="208"/>
  <c r="P256" i="208"/>
  <c r="J353" i="208"/>
  <c r="P354" i="208"/>
  <c r="Q140" i="208"/>
  <c r="P139" i="208"/>
  <c r="I429" i="208"/>
  <c r="I440" i="208" s="1"/>
  <c r="K429" i="208"/>
  <c r="J15" i="208"/>
  <c r="P16" i="208"/>
  <c r="J345" i="208"/>
  <c r="P392" i="208"/>
  <c r="Q393" i="208"/>
  <c r="O246" i="208"/>
  <c r="O221" i="208" s="1"/>
  <c r="P284" i="208"/>
  <c r="Q285" i="208"/>
  <c r="P200" i="208"/>
  <c r="H429" i="208"/>
  <c r="F429" i="208"/>
  <c r="F440" i="208" s="1"/>
  <c r="P252" i="208"/>
  <c r="P250" i="208" s="1"/>
  <c r="P246" i="208" s="1"/>
  <c r="J250" i="208"/>
  <c r="J246" i="208" s="1"/>
  <c r="M429" i="208"/>
  <c r="M440" i="208" s="1"/>
  <c r="P320" i="208"/>
  <c r="D15" i="210" l="1"/>
  <c r="C15" i="210" s="1"/>
  <c r="D112" i="209"/>
  <c r="C112" i="209" s="1"/>
  <c r="E66" i="209"/>
  <c r="D111" i="209"/>
  <c r="Q403" i="208"/>
  <c r="P402" i="208"/>
  <c r="H442" i="208"/>
  <c r="H440" i="208"/>
  <c r="O220" i="208"/>
  <c r="J221" i="208"/>
  <c r="Q16" i="208"/>
  <c r="P15" i="208"/>
  <c r="P199" i="208"/>
  <c r="Q200" i="208"/>
  <c r="Q373" i="208"/>
  <c r="P372" i="208"/>
  <c r="J47" i="208"/>
  <c r="P48" i="208"/>
  <c r="O429" i="208"/>
  <c r="P319" i="208"/>
  <c r="Q320" i="208"/>
  <c r="J344" i="208"/>
  <c r="P345" i="208"/>
  <c r="K443" i="208"/>
  <c r="K440" i="208"/>
  <c r="Q354" i="208"/>
  <c r="P353" i="208"/>
  <c r="E443" i="208"/>
  <c r="E441" i="208"/>
  <c r="F443" i="208"/>
  <c r="F441" i="208"/>
  <c r="D111" i="210" l="1"/>
  <c r="E111" i="209"/>
  <c r="E150" i="209" s="1"/>
  <c r="I150" i="209" s="1"/>
  <c r="C66" i="209"/>
  <c r="D150" i="209"/>
  <c r="J220" i="208"/>
  <c r="P221" i="208"/>
  <c r="J429" i="208"/>
  <c r="P344" i="208"/>
  <c r="Q345" i="208"/>
  <c r="O443" i="208"/>
  <c r="O440" i="208"/>
  <c r="Q48" i="208"/>
  <c r="P47" i="208"/>
  <c r="N314" i="207"/>
  <c r="M314" i="207"/>
  <c r="L314" i="207"/>
  <c r="K314" i="207"/>
  <c r="I314" i="207"/>
  <c r="G314" i="207"/>
  <c r="F314" i="207"/>
  <c r="N313" i="207"/>
  <c r="M313" i="207"/>
  <c r="L313" i="207"/>
  <c r="K313" i="207"/>
  <c r="I313" i="207"/>
  <c r="H313" i="207"/>
  <c r="G313" i="207"/>
  <c r="F313" i="207"/>
  <c r="N310" i="207"/>
  <c r="M310" i="207"/>
  <c r="L310" i="207"/>
  <c r="K310" i="207"/>
  <c r="I310" i="207"/>
  <c r="H310" i="207"/>
  <c r="G310" i="207"/>
  <c r="F310" i="207"/>
  <c r="P309" i="207"/>
  <c r="O309" i="207"/>
  <c r="N309" i="207"/>
  <c r="M309" i="207"/>
  <c r="L309" i="207"/>
  <c r="K309" i="207"/>
  <c r="J309" i="207"/>
  <c r="I309" i="207"/>
  <c r="H309" i="207"/>
  <c r="G309" i="207"/>
  <c r="F309" i="207"/>
  <c r="E309" i="207"/>
  <c r="O308" i="207"/>
  <c r="N308" i="207"/>
  <c r="M308" i="207"/>
  <c r="L308" i="207"/>
  <c r="K308" i="207"/>
  <c r="I308" i="207"/>
  <c r="H308" i="207"/>
  <c r="G308" i="207"/>
  <c r="F308" i="207"/>
  <c r="E308" i="207"/>
  <c r="N306" i="207"/>
  <c r="M306" i="207"/>
  <c r="L306" i="207"/>
  <c r="K306" i="207"/>
  <c r="I306" i="207"/>
  <c r="H306" i="207"/>
  <c r="G306" i="207"/>
  <c r="F306" i="207"/>
  <c r="N305" i="207"/>
  <c r="M305" i="207"/>
  <c r="L305" i="207"/>
  <c r="I305" i="207"/>
  <c r="H305" i="207"/>
  <c r="G305" i="207"/>
  <c r="F305" i="207"/>
  <c r="N303" i="207"/>
  <c r="M303" i="207"/>
  <c r="L303" i="207"/>
  <c r="I303" i="207"/>
  <c r="H303" i="207"/>
  <c r="G303" i="207"/>
  <c r="N300" i="207"/>
  <c r="M300" i="207"/>
  <c r="L300" i="207"/>
  <c r="I300" i="207"/>
  <c r="H300" i="207"/>
  <c r="G300" i="207"/>
  <c r="F300" i="207"/>
  <c r="N297" i="207"/>
  <c r="M297" i="207"/>
  <c r="L297" i="207"/>
  <c r="K297" i="207"/>
  <c r="I297" i="207"/>
  <c r="H297" i="207"/>
  <c r="G297" i="207"/>
  <c r="F297" i="207"/>
  <c r="N296" i="207"/>
  <c r="M296" i="207"/>
  <c r="L296" i="207"/>
  <c r="K296" i="207"/>
  <c r="I296" i="207"/>
  <c r="H296" i="207"/>
  <c r="G296" i="207"/>
  <c r="F296" i="207"/>
  <c r="N295" i="207"/>
  <c r="M295" i="207"/>
  <c r="L295" i="207"/>
  <c r="K295" i="207"/>
  <c r="I295" i="207"/>
  <c r="H295" i="207"/>
  <c r="G295" i="207"/>
  <c r="N294" i="207"/>
  <c r="M294" i="207"/>
  <c r="L294" i="207"/>
  <c r="K294" i="207"/>
  <c r="I294" i="207"/>
  <c r="H294" i="207"/>
  <c r="G294" i="207"/>
  <c r="F294" i="207"/>
  <c r="N293" i="207"/>
  <c r="M293" i="207"/>
  <c r="L293" i="207"/>
  <c r="I293" i="207"/>
  <c r="H293" i="207"/>
  <c r="G293" i="207"/>
  <c r="N292" i="207"/>
  <c r="M292" i="207"/>
  <c r="L292" i="207"/>
  <c r="K292" i="207"/>
  <c r="I292" i="207"/>
  <c r="H292" i="207"/>
  <c r="G292" i="207"/>
  <c r="F292" i="207"/>
  <c r="N289" i="207"/>
  <c r="M289" i="207"/>
  <c r="L289" i="207"/>
  <c r="K289" i="207"/>
  <c r="I289" i="207"/>
  <c r="H289" i="207"/>
  <c r="G289" i="207"/>
  <c r="F289" i="207"/>
  <c r="N288" i="207"/>
  <c r="M288" i="207"/>
  <c r="L288" i="207"/>
  <c r="K288" i="207"/>
  <c r="I288" i="207"/>
  <c r="H288" i="207"/>
  <c r="G288" i="207"/>
  <c r="F288" i="207"/>
  <c r="N287" i="207"/>
  <c r="M287" i="207"/>
  <c r="L287" i="207"/>
  <c r="K287" i="207"/>
  <c r="I287" i="207"/>
  <c r="H287" i="207"/>
  <c r="G287" i="207"/>
  <c r="F287" i="207"/>
  <c r="N281" i="207"/>
  <c r="M281" i="207"/>
  <c r="L281" i="207"/>
  <c r="K281" i="207"/>
  <c r="I281" i="207"/>
  <c r="H281" i="207"/>
  <c r="G281" i="207"/>
  <c r="P278" i="207"/>
  <c r="O278" i="207"/>
  <c r="N278" i="207"/>
  <c r="M278" i="207"/>
  <c r="L278" i="207"/>
  <c r="K278" i="207"/>
  <c r="J278" i="207"/>
  <c r="I278" i="207"/>
  <c r="H278" i="207"/>
  <c r="G278" i="207"/>
  <c r="F278" i="207"/>
  <c r="E278" i="207"/>
  <c r="N277" i="207"/>
  <c r="M277" i="207"/>
  <c r="L277" i="207"/>
  <c r="K277" i="207"/>
  <c r="I277" i="207"/>
  <c r="H277" i="207"/>
  <c r="G277" i="207"/>
  <c r="F277" i="207"/>
  <c r="N275" i="207"/>
  <c r="M275" i="207"/>
  <c r="L275" i="207"/>
  <c r="K275" i="207"/>
  <c r="I275" i="207"/>
  <c r="H275" i="207"/>
  <c r="G275" i="207"/>
  <c r="F275" i="207"/>
  <c r="N274" i="207"/>
  <c r="M274" i="207"/>
  <c r="L274" i="207"/>
  <c r="K274" i="207"/>
  <c r="I274" i="207"/>
  <c r="H274" i="207"/>
  <c r="G274" i="207"/>
  <c r="N272" i="207"/>
  <c r="M272" i="207"/>
  <c r="L272" i="207"/>
  <c r="I272" i="207"/>
  <c r="H272" i="207"/>
  <c r="G272" i="207"/>
  <c r="F272" i="207"/>
  <c r="N269" i="207"/>
  <c r="M269" i="207"/>
  <c r="L269" i="207"/>
  <c r="K269" i="207"/>
  <c r="I269" i="207"/>
  <c r="H269" i="207"/>
  <c r="G269" i="207"/>
  <c r="F269" i="207"/>
  <c r="N268" i="207"/>
  <c r="M268" i="207"/>
  <c r="L268" i="207"/>
  <c r="I268" i="207"/>
  <c r="H268" i="207"/>
  <c r="G268" i="207"/>
  <c r="N267" i="207"/>
  <c r="M267" i="207"/>
  <c r="L267" i="207"/>
  <c r="K267" i="207"/>
  <c r="I267" i="207"/>
  <c r="H267" i="207"/>
  <c r="G267" i="207"/>
  <c r="N266" i="207"/>
  <c r="M266" i="207"/>
  <c r="L266" i="207"/>
  <c r="K266" i="207"/>
  <c r="I266" i="207"/>
  <c r="H266" i="207"/>
  <c r="G266" i="207"/>
  <c r="N265" i="207"/>
  <c r="M265" i="207"/>
  <c r="L265" i="207"/>
  <c r="K265" i="207"/>
  <c r="I265" i="207"/>
  <c r="H265" i="207"/>
  <c r="G265" i="207"/>
  <c r="F265" i="207"/>
  <c r="N264" i="207"/>
  <c r="M264" i="207"/>
  <c r="L264" i="207"/>
  <c r="I264" i="207"/>
  <c r="H264" i="207"/>
  <c r="G264" i="207"/>
  <c r="O261" i="207"/>
  <c r="N261" i="207"/>
  <c r="M261" i="207"/>
  <c r="L261" i="207"/>
  <c r="K261" i="207"/>
  <c r="I261" i="207"/>
  <c r="H261" i="207"/>
  <c r="G261" i="207"/>
  <c r="F261" i="207"/>
  <c r="N260" i="207"/>
  <c r="M260" i="207"/>
  <c r="L260" i="207"/>
  <c r="K260" i="207"/>
  <c r="I260" i="207"/>
  <c r="H260" i="207"/>
  <c r="G260" i="207"/>
  <c r="F260" i="207"/>
  <c r="N259" i="207"/>
  <c r="M259" i="207"/>
  <c r="L259" i="207"/>
  <c r="K259" i="207"/>
  <c r="I259" i="207"/>
  <c r="H259" i="207"/>
  <c r="G259" i="207"/>
  <c r="F259" i="207"/>
  <c r="N242" i="207"/>
  <c r="M242" i="207"/>
  <c r="L242" i="207"/>
  <c r="K242" i="207"/>
  <c r="I242" i="207"/>
  <c r="H242" i="207"/>
  <c r="G242" i="207"/>
  <c r="F242" i="207"/>
  <c r="N241" i="207"/>
  <c r="M241" i="207"/>
  <c r="L241" i="207"/>
  <c r="K241" i="207"/>
  <c r="I241" i="207"/>
  <c r="H241" i="207"/>
  <c r="G241" i="207"/>
  <c r="N240" i="207"/>
  <c r="M240" i="207"/>
  <c r="L240" i="207"/>
  <c r="K240" i="207"/>
  <c r="I240" i="207"/>
  <c r="H240" i="207"/>
  <c r="G240" i="207"/>
  <c r="N238" i="207"/>
  <c r="M238" i="207"/>
  <c r="L238" i="207"/>
  <c r="K238" i="207"/>
  <c r="I238" i="207"/>
  <c r="H238" i="207"/>
  <c r="G238" i="207"/>
  <c r="F238" i="207"/>
  <c r="N236" i="207"/>
  <c r="M236" i="207"/>
  <c r="L236" i="207"/>
  <c r="K236" i="207"/>
  <c r="I236" i="207"/>
  <c r="H236" i="207"/>
  <c r="G236" i="207"/>
  <c r="F236" i="207"/>
  <c r="N235" i="207"/>
  <c r="M235" i="207"/>
  <c r="I235" i="207"/>
  <c r="N233" i="207"/>
  <c r="M233" i="207"/>
  <c r="L233" i="207"/>
  <c r="K233" i="207"/>
  <c r="I233" i="207"/>
  <c r="H233" i="207"/>
  <c r="G233" i="207"/>
  <c r="F233" i="207"/>
  <c r="N231" i="207"/>
  <c r="M231" i="207"/>
  <c r="L231" i="207"/>
  <c r="K231" i="207"/>
  <c r="I231" i="207"/>
  <c r="H231" i="207"/>
  <c r="G231" i="207"/>
  <c r="N230" i="207"/>
  <c r="M230" i="207"/>
  <c r="L230" i="207"/>
  <c r="K230" i="207"/>
  <c r="I230" i="207"/>
  <c r="H230" i="207"/>
  <c r="G230" i="207"/>
  <c r="N227" i="207"/>
  <c r="M227" i="207"/>
  <c r="L227" i="207"/>
  <c r="K227" i="207"/>
  <c r="I227" i="207"/>
  <c r="G227" i="207"/>
  <c r="N226" i="207"/>
  <c r="M226" i="207"/>
  <c r="L226" i="207"/>
  <c r="I226" i="207"/>
  <c r="G226" i="207"/>
  <c r="F226" i="207"/>
  <c r="N224" i="207"/>
  <c r="M224" i="207"/>
  <c r="L224" i="207"/>
  <c r="K224" i="207"/>
  <c r="I224" i="207"/>
  <c r="N214" i="207"/>
  <c r="M214" i="207"/>
  <c r="L214" i="207"/>
  <c r="K214" i="207"/>
  <c r="I214" i="207"/>
  <c r="H214" i="207"/>
  <c r="G214" i="207"/>
  <c r="F214" i="207"/>
  <c r="N210" i="207"/>
  <c r="M210" i="207"/>
  <c r="L210" i="207"/>
  <c r="K210" i="207"/>
  <c r="I210" i="207"/>
  <c r="H210" i="207"/>
  <c r="G210" i="207"/>
  <c r="F210" i="207"/>
  <c r="N209" i="207"/>
  <c r="M209" i="207"/>
  <c r="K209" i="207"/>
  <c r="I209" i="207"/>
  <c r="G209" i="207"/>
  <c r="F209" i="207"/>
  <c r="N207" i="207"/>
  <c r="M207" i="207"/>
  <c r="L207" i="207"/>
  <c r="K207" i="207"/>
  <c r="I207" i="207"/>
  <c r="H207" i="207"/>
  <c r="G207" i="207"/>
  <c r="F207" i="207"/>
  <c r="N206" i="207"/>
  <c r="M206" i="207"/>
  <c r="K206" i="207"/>
  <c r="I206" i="207"/>
  <c r="G206" i="207"/>
  <c r="F206" i="207"/>
  <c r="N205" i="207"/>
  <c r="M205" i="207"/>
  <c r="L205" i="207"/>
  <c r="K205" i="207"/>
  <c r="I205" i="207"/>
  <c r="G205" i="207"/>
  <c r="N204" i="207"/>
  <c r="M204" i="207"/>
  <c r="L204" i="207"/>
  <c r="K204" i="207"/>
  <c r="I204" i="207"/>
  <c r="G204" i="207"/>
  <c r="N202" i="207"/>
  <c r="M202" i="207"/>
  <c r="K202" i="207"/>
  <c r="I202" i="207"/>
  <c r="G202" i="207"/>
  <c r="N195" i="207"/>
  <c r="M195" i="207"/>
  <c r="L195" i="207"/>
  <c r="K195" i="207"/>
  <c r="I195" i="207"/>
  <c r="H195" i="207"/>
  <c r="G195" i="207"/>
  <c r="F195" i="207"/>
  <c r="N193" i="207"/>
  <c r="M193" i="207"/>
  <c r="L193" i="207"/>
  <c r="K193" i="207"/>
  <c r="I193" i="207"/>
  <c r="H193" i="207"/>
  <c r="G193" i="207"/>
  <c r="F193" i="207"/>
  <c r="N188" i="207"/>
  <c r="M188" i="207"/>
  <c r="L188" i="207"/>
  <c r="I188" i="207"/>
  <c r="H188" i="207"/>
  <c r="G188" i="207"/>
  <c r="F188" i="207"/>
  <c r="N185" i="207"/>
  <c r="M185" i="207"/>
  <c r="L185" i="207"/>
  <c r="I185" i="207"/>
  <c r="H185" i="207"/>
  <c r="G185" i="207"/>
  <c r="M184" i="207"/>
  <c r="I184" i="207"/>
  <c r="F184" i="207"/>
  <c r="N182" i="207"/>
  <c r="M182" i="207"/>
  <c r="L182" i="207"/>
  <c r="I182" i="207"/>
  <c r="H182" i="207"/>
  <c r="G182" i="207"/>
  <c r="P181" i="207"/>
  <c r="O181" i="207"/>
  <c r="N181" i="207"/>
  <c r="M181" i="207"/>
  <c r="L181" i="207"/>
  <c r="K181" i="207"/>
  <c r="J181" i="207"/>
  <c r="I181" i="207"/>
  <c r="H181" i="207"/>
  <c r="G181" i="207"/>
  <c r="F181" i="207"/>
  <c r="E181" i="207"/>
  <c r="P180" i="207"/>
  <c r="O180" i="207"/>
  <c r="N180" i="207"/>
  <c r="M180" i="207"/>
  <c r="L180" i="207"/>
  <c r="K180" i="207"/>
  <c r="J180" i="207"/>
  <c r="I180" i="207"/>
  <c r="H180" i="207"/>
  <c r="G180" i="207"/>
  <c r="F180" i="207"/>
  <c r="E180" i="207"/>
  <c r="N179" i="207"/>
  <c r="M179" i="207"/>
  <c r="L179" i="207"/>
  <c r="K179" i="207"/>
  <c r="I179" i="207"/>
  <c r="H179" i="207"/>
  <c r="G179" i="207"/>
  <c r="F179" i="207"/>
  <c r="P178" i="207"/>
  <c r="O178" i="207"/>
  <c r="N178" i="207"/>
  <c r="M178" i="207"/>
  <c r="L178" i="207"/>
  <c r="K178" i="207"/>
  <c r="J178" i="207"/>
  <c r="I178" i="207"/>
  <c r="H178" i="207"/>
  <c r="G178" i="207"/>
  <c r="F178" i="207"/>
  <c r="E178" i="207"/>
  <c r="P177" i="207"/>
  <c r="O177" i="207"/>
  <c r="N177" i="207"/>
  <c r="M177" i="207"/>
  <c r="L177" i="207"/>
  <c r="K177" i="207"/>
  <c r="J177" i="207"/>
  <c r="I177" i="207"/>
  <c r="H177" i="207"/>
  <c r="G177" i="207"/>
  <c r="F177" i="207"/>
  <c r="E177" i="207"/>
  <c r="N176" i="207"/>
  <c r="M176" i="207"/>
  <c r="L176" i="207"/>
  <c r="K176" i="207"/>
  <c r="I176" i="207"/>
  <c r="H176" i="207"/>
  <c r="G176" i="207"/>
  <c r="F176" i="207"/>
  <c r="P175" i="207"/>
  <c r="O175" i="207"/>
  <c r="N175" i="207"/>
  <c r="M175" i="207"/>
  <c r="L175" i="207"/>
  <c r="K175" i="207"/>
  <c r="J175" i="207"/>
  <c r="I175" i="207"/>
  <c r="H175" i="207"/>
  <c r="G175" i="207"/>
  <c r="F175" i="207"/>
  <c r="E175" i="207"/>
  <c r="P174" i="207"/>
  <c r="O174" i="207"/>
  <c r="N174" i="207"/>
  <c r="M174" i="207"/>
  <c r="L174" i="207"/>
  <c r="K174" i="207"/>
  <c r="J174" i="207"/>
  <c r="I174" i="207"/>
  <c r="H174" i="207"/>
  <c r="G174" i="207"/>
  <c r="F174" i="207"/>
  <c r="E174" i="207"/>
  <c r="P173" i="207"/>
  <c r="O173" i="207"/>
  <c r="N173" i="207"/>
  <c r="M173" i="207"/>
  <c r="L173" i="207"/>
  <c r="K173" i="207"/>
  <c r="J173" i="207"/>
  <c r="I173" i="207"/>
  <c r="H173" i="207"/>
  <c r="G173" i="207"/>
  <c r="F173" i="207"/>
  <c r="E173" i="207"/>
  <c r="N172" i="207"/>
  <c r="M172" i="207"/>
  <c r="L172" i="207"/>
  <c r="K172" i="207"/>
  <c r="I172" i="207"/>
  <c r="H172" i="207"/>
  <c r="G172" i="207"/>
  <c r="F172" i="207"/>
  <c r="P171" i="207"/>
  <c r="O171" i="207"/>
  <c r="N171" i="207"/>
  <c r="M171" i="207"/>
  <c r="L171" i="207"/>
  <c r="K171" i="207"/>
  <c r="J171" i="207"/>
  <c r="I171" i="207"/>
  <c r="H171" i="207"/>
  <c r="G171" i="207"/>
  <c r="F171" i="207"/>
  <c r="E171" i="207"/>
  <c r="P170" i="207"/>
  <c r="O170" i="207"/>
  <c r="N170" i="207"/>
  <c r="M170" i="207"/>
  <c r="L170" i="207"/>
  <c r="K170" i="207"/>
  <c r="J170" i="207"/>
  <c r="I170" i="207"/>
  <c r="H170" i="207"/>
  <c r="G170" i="207"/>
  <c r="F170" i="207"/>
  <c r="E170" i="207"/>
  <c r="P169" i="207"/>
  <c r="O169" i="207"/>
  <c r="N169" i="207"/>
  <c r="M169" i="207"/>
  <c r="L169" i="207"/>
  <c r="K169" i="207"/>
  <c r="J169" i="207"/>
  <c r="I169" i="207"/>
  <c r="H169" i="207"/>
  <c r="G169" i="207"/>
  <c r="F169" i="207"/>
  <c r="E169" i="207"/>
  <c r="N168" i="207"/>
  <c r="M168" i="207"/>
  <c r="L168" i="207"/>
  <c r="K168" i="207"/>
  <c r="I168" i="207"/>
  <c r="H168" i="207"/>
  <c r="G168" i="207"/>
  <c r="F168" i="207"/>
  <c r="N166" i="207"/>
  <c r="M166" i="207"/>
  <c r="L166" i="207"/>
  <c r="K166" i="207"/>
  <c r="I166" i="207"/>
  <c r="H166" i="207"/>
  <c r="G166" i="207"/>
  <c r="F166" i="207"/>
  <c r="N165" i="207"/>
  <c r="M165" i="207"/>
  <c r="L165" i="207"/>
  <c r="K165" i="207"/>
  <c r="I165" i="207"/>
  <c r="H165" i="207"/>
  <c r="G165" i="207"/>
  <c r="F165" i="207"/>
  <c r="N163" i="207"/>
  <c r="M163" i="207"/>
  <c r="L163" i="207"/>
  <c r="K163" i="207"/>
  <c r="I163" i="207"/>
  <c r="H163" i="207"/>
  <c r="G163" i="207"/>
  <c r="F163" i="207"/>
  <c r="N162" i="207"/>
  <c r="M162" i="207"/>
  <c r="L162" i="207"/>
  <c r="K162" i="207"/>
  <c r="I162" i="207"/>
  <c r="H162" i="207"/>
  <c r="G162" i="207"/>
  <c r="F162" i="207"/>
  <c r="N160" i="207"/>
  <c r="M160" i="207"/>
  <c r="L160" i="207"/>
  <c r="K160" i="207"/>
  <c r="I160" i="207"/>
  <c r="H160" i="207"/>
  <c r="G160" i="207"/>
  <c r="F160" i="207"/>
  <c r="N159" i="207"/>
  <c r="M159" i="207"/>
  <c r="L159" i="207"/>
  <c r="K159" i="207"/>
  <c r="I159" i="207"/>
  <c r="G159" i="207"/>
  <c r="F159" i="207"/>
  <c r="N157" i="207"/>
  <c r="M157" i="207"/>
  <c r="L157" i="207"/>
  <c r="K157" i="207"/>
  <c r="I157" i="207"/>
  <c r="F157" i="207"/>
  <c r="M156" i="207"/>
  <c r="L156" i="207"/>
  <c r="K156" i="207"/>
  <c r="I156" i="207"/>
  <c r="H156" i="207"/>
  <c r="G156" i="207"/>
  <c r="N154" i="207"/>
  <c r="M154" i="207"/>
  <c r="L154" i="207"/>
  <c r="K154" i="207"/>
  <c r="I154" i="207"/>
  <c r="H154" i="207"/>
  <c r="G154" i="207"/>
  <c r="F154" i="207"/>
  <c r="N153" i="207"/>
  <c r="M153" i="207"/>
  <c r="L153" i="207"/>
  <c r="K153" i="207"/>
  <c r="I153" i="207"/>
  <c r="H153" i="207"/>
  <c r="G153" i="207"/>
  <c r="N152" i="207"/>
  <c r="M152" i="207"/>
  <c r="L152" i="207"/>
  <c r="K152" i="207"/>
  <c r="I152" i="207"/>
  <c r="H152" i="207"/>
  <c r="G152" i="207"/>
  <c r="F152" i="207"/>
  <c r="N151" i="207"/>
  <c r="M151" i="207"/>
  <c r="L151" i="207"/>
  <c r="K151" i="207"/>
  <c r="I151" i="207"/>
  <c r="H151" i="207"/>
  <c r="G151" i="207"/>
  <c r="F151" i="207"/>
  <c r="N150" i="207"/>
  <c r="M150" i="207"/>
  <c r="L150" i="207"/>
  <c r="K150" i="207"/>
  <c r="I150" i="207"/>
  <c r="H150" i="207"/>
  <c r="G150" i="207"/>
  <c r="F150" i="207"/>
  <c r="N149" i="207"/>
  <c r="M149" i="207"/>
  <c r="L149" i="207"/>
  <c r="K149" i="207"/>
  <c r="I149" i="207"/>
  <c r="H149" i="207"/>
  <c r="G149" i="207"/>
  <c r="F149" i="207"/>
  <c r="N148" i="207"/>
  <c r="M148" i="207"/>
  <c r="L148" i="207"/>
  <c r="K148" i="207"/>
  <c r="I148" i="207"/>
  <c r="H148" i="207"/>
  <c r="G148" i="207"/>
  <c r="F148" i="207"/>
  <c r="N147" i="207"/>
  <c r="M147" i="207"/>
  <c r="L147" i="207"/>
  <c r="K147" i="207"/>
  <c r="I147" i="207"/>
  <c r="H147" i="207"/>
  <c r="G147" i="207"/>
  <c r="O144" i="207"/>
  <c r="N144" i="207"/>
  <c r="M144" i="207"/>
  <c r="L144" i="207"/>
  <c r="K144" i="207"/>
  <c r="I144" i="207"/>
  <c r="H144" i="207"/>
  <c r="G144" i="207"/>
  <c r="F144" i="207"/>
  <c r="N143" i="207"/>
  <c r="M143" i="207"/>
  <c r="L143" i="207"/>
  <c r="K143" i="207"/>
  <c r="I143" i="207"/>
  <c r="H143" i="207"/>
  <c r="G143" i="207"/>
  <c r="F143" i="207"/>
  <c r="N142" i="207"/>
  <c r="M142" i="207"/>
  <c r="L142" i="207"/>
  <c r="K142" i="207"/>
  <c r="I142" i="207"/>
  <c r="H142" i="207"/>
  <c r="G142" i="207"/>
  <c r="F142" i="207"/>
  <c r="N136" i="207"/>
  <c r="M136" i="207"/>
  <c r="L136" i="207"/>
  <c r="I136" i="207"/>
  <c r="H136" i="207"/>
  <c r="G136" i="207"/>
  <c r="F136" i="207"/>
  <c r="N134" i="207"/>
  <c r="M134" i="207"/>
  <c r="L134" i="207"/>
  <c r="K134" i="207"/>
  <c r="I134" i="207"/>
  <c r="H134" i="207"/>
  <c r="G134" i="207"/>
  <c r="F134" i="207"/>
  <c r="N132" i="207"/>
  <c r="M132" i="207"/>
  <c r="L132" i="207"/>
  <c r="I132" i="207"/>
  <c r="H132" i="207"/>
  <c r="G132" i="207"/>
  <c r="F132" i="207"/>
  <c r="N128" i="207"/>
  <c r="M128" i="207"/>
  <c r="L128" i="207"/>
  <c r="K128" i="207"/>
  <c r="I128" i="207"/>
  <c r="H128" i="207"/>
  <c r="G128" i="207"/>
  <c r="F128" i="207"/>
  <c r="N126" i="207"/>
  <c r="M126" i="207"/>
  <c r="L126" i="207"/>
  <c r="K126" i="207"/>
  <c r="I126" i="207"/>
  <c r="H126" i="207"/>
  <c r="G126" i="207"/>
  <c r="F126" i="207"/>
  <c r="N124" i="207"/>
  <c r="M124" i="207"/>
  <c r="L124" i="207"/>
  <c r="K124" i="207"/>
  <c r="I124" i="207"/>
  <c r="H124" i="207"/>
  <c r="G124" i="207"/>
  <c r="F124" i="207"/>
  <c r="N123" i="207"/>
  <c r="M123" i="207"/>
  <c r="L123" i="207"/>
  <c r="K123" i="207"/>
  <c r="I123" i="207"/>
  <c r="H123" i="207"/>
  <c r="G123" i="207"/>
  <c r="F123" i="207"/>
  <c r="N121" i="207"/>
  <c r="M121" i="207"/>
  <c r="L121" i="207"/>
  <c r="K121" i="207"/>
  <c r="I121" i="207"/>
  <c r="H121" i="207"/>
  <c r="G121" i="207"/>
  <c r="F121" i="207"/>
  <c r="N119" i="207"/>
  <c r="M119" i="207"/>
  <c r="L119" i="207"/>
  <c r="K119" i="207"/>
  <c r="I119" i="207"/>
  <c r="H119" i="207"/>
  <c r="G119" i="207"/>
  <c r="N117" i="207"/>
  <c r="M117" i="207"/>
  <c r="L117" i="207"/>
  <c r="I117" i="207"/>
  <c r="H117" i="207"/>
  <c r="G117" i="207"/>
  <c r="N116" i="207"/>
  <c r="M116" i="207"/>
  <c r="L116" i="207"/>
  <c r="K116" i="207"/>
  <c r="I116" i="207"/>
  <c r="H116" i="207"/>
  <c r="G116" i="207"/>
  <c r="N115" i="207"/>
  <c r="M115" i="207"/>
  <c r="L115" i="207"/>
  <c r="I115" i="207"/>
  <c r="H115" i="207"/>
  <c r="G115" i="207"/>
  <c r="N114" i="207"/>
  <c r="M114" i="207"/>
  <c r="L114" i="207"/>
  <c r="K114" i="207"/>
  <c r="I114" i="207"/>
  <c r="H114" i="207"/>
  <c r="G114" i="207"/>
  <c r="N113" i="207"/>
  <c r="M113" i="207"/>
  <c r="L113" i="207"/>
  <c r="I113" i="207"/>
  <c r="H113" i="207"/>
  <c r="G113" i="207"/>
  <c r="N111" i="207"/>
  <c r="M111" i="207"/>
  <c r="L111" i="207"/>
  <c r="K111" i="207"/>
  <c r="I111" i="207"/>
  <c r="H111" i="207"/>
  <c r="G111" i="207"/>
  <c r="F111" i="207"/>
  <c r="N110" i="207"/>
  <c r="M110" i="207"/>
  <c r="L110" i="207"/>
  <c r="K110" i="207"/>
  <c r="I110" i="207"/>
  <c r="H110" i="207"/>
  <c r="G110" i="207"/>
  <c r="F110" i="207"/>
  <c r="N100" i="207"/>
  <c r="M100" i="207"/>
  <c r="L100" i="207"/>
  <c r="I100" i="207"/>
  <c r="H100" i="207"/>
  <c r="G100" i="207"/>
  <c r="F100" i="207"/>
  <c r="N98" i="207"/>
  <c r="M98" i="207"/>
  <c r="L98" i="207"/>
  <c r="K98" i="207"/>
  <c r="I98" i="207"/>
  <c r="H98" i="207"/>
  <c r="G98" i="207"/>
  <c r="F98" i="207"/>
  <c r="N94" i="207"/>
  <c r="M94" i="207"/>
  <c r="L94" i="207"/>
  <c r="K94" i="207"/>
  <c r="I94" i="207"/>
  <c r="H94" i="207"/>
  <c r="G94" i="207"/>
  <c r="F94" i="207"/>
  <c r="N93" i="207"/>
  <c r="M93" i="207"/>
  <c r="L93" i="207"/>
  <c r="K93" i="207"/>
  <c r="I93" i="207"/>
  <c r="H93" i="207"/>
  <c r="G93" i="207"/>
  <c r="F93" i="207"/>
  <c r="N91" i="207"/>
  <c r="M91" i="207"/>
  <c r="L91" i="207"/>
  <c r="K91" i="207"/>
  <c r="I91" i="207"/>
  <c r="H91" i="207"/>
  <c r="G91" i="207"/>
  <c r="F91" i="207"/>
  <c r="N90" i="207"/>
  <c r="M90" i="207"/>
  <c r="L90" i="207"/>
  <c r="I90" i="207"/>
  <c r="H90" i="207"/>
  <c r="G90" i="207"/>
  <c r="F90" i="207"/>
  <c r="N88" i="207"/>
  <c r="M88" i="207"/>
  <c r="L88" i="207"/>
  <c r="K88" i="207"/>
  <c r="I88" i="207"/>
  <c r="H88" i="207"/>
  <c r="G88" i="207"/>
  <c r="F88" i="207"/>
  <c r="N87" i="207"/>
  <c r="M87" i="207"/>
  <c r="L87" i="207"/>
  <c r="K87" i="207"/>
  <c r="I87" i="207"/>
  <c r="H87" i="207"/>
  <c r="G87" i="207"/>
  <c r="F87" i="207"/>
  <c r="N85" i="207"/>
  <c r="M85" i="207"/>
  <c r="L85" i="207"/>
  <c r="K85" i="207"/>
  <c r="I85" i="207"/>
  <c r="H85" i="207"/>
  <c r="G85" i="207"/>
  <c r="F85" i="207"/>
  <c r="N84" i="207"/>
  <c r="M84" i="207"/>
  <c r="L84" i="207"/>
  <c r="I84" i="207"/>
  <c r="H84" i="207"/>
  <c r="G84" i="207"/>
  <c r="F84" i="207"/>
  <c r="N82" i="207"/>
  <c r="M82" i="207"/>
  <c r="L82" i="207"/>
  <c r="K82" i="207"/>
  <c r="I82" i="207"/>
  <c r="H82" i="207"/>
  <c r="G82" i="207"/>
  <c r="N81" i="207"/>
  <c r="M81" i="207"/>
  <c r="L81" i="207"/>
  <c r="K81" i="207"/>
  <c r="I81" i="207"/>
  <c r="H81" i="207"/>
  <c r="G81" i="207"/>
  <c r="F81" i="207"/>
  <c r="N79" i="207"/>
  <c r="M79" i="207"/>
  <c r="L79" i="207"/>
  <c r="K79" i="207"/>
  <c r="I79" i="207"/>
  <c r="H79" i="207"/>
  <c r="G79" i="207"/>
  <c r="F79" i="207"/>
  <c r="N78" i="207"/>
  <c r="M78" i="207"/>
  <c r="L78" i="207"/>
  <c r="K78" i="207"/>
  <c r="I78" i="207"/>
  <c r="H78" i="207"/>
  <c r="G78" i="207"/>
  <c r="F78" i="207"/>
  <c r="P77" i="207"/>
  <c r="O77" i="207"/>
  <c r="N77" i="207"/>
  <c r="M77" i="207"/>
  <c r="L77" i="207"/>
  <c r="K77" i="207"/>
  <c r="J77" i="207"/>
  <c r="I77" i="207"/>
  <c r="H77" i="207"/>
  <c r="G77" i="207"/>
  <c r="F77" i="207"/>
  <c r="E77" i="207"/>
  <c r="N76" i="207"/>
  <c r="M76" i="207"/>
  <c r="L76" i="207"/>
  <c r="I76" i="207"/>
  <c r="H76" i="207"/>
  <c r="G76" i="207"/>
  <c r="F76" i="207"/>
  <c r="N75" i="207"/>
  <c r="M75" i="207"/>
  <c r="L75" i="207"/>
  <c r="I75" i="207"/>
  <c r="H75" i="207"/>
  <c r="G75" i="207"/>
  <c r="F75" i="207"/>
  <c r="N73" i="207"/>
  <c r="M73" i="207"/>
  <c r="L73" i="207"/>
  <c r="K73" i="207"/>
  <c r="I73" i="207"/>
  <c r="H73" i="207"/>
  <c r="G73" i="207"/>
  <c r="F73" i="207"/>
  <c r="N72" i="207"/>
  <c r="M72" i="207"/>
  <c r="L72" i="207"/>
  <c r="K72" i="207"/>
  <c r="I72" i="207"/>
  <c r="H72" i="207"/>
  <c r="G72" i="207"/>
  <c r="F72" i="207"/>
  <c r="N70" i="207"/>
  <c r="M70" i="207"/>
  <c r="L70" i="207"/>
  <c r="K70" i="207"/>
  <c r="I70" i="207"/>
  <c r="G70" i="207"/>
  <c r="N69" i="207"/>
  <c r="M69" i="207"/>
  <c r="L69" i="207"/>
  <c r="K69" i="207"/>
  <c r="I69" i="207"/>
  <c r="H69" i="207"/>
  <c r="G69" i="207"/>
  <c r="N68" i="207"/>
  <c r="M68" i="207"/>
  <c r="L68" i="207"/>
  <c r="K68" i="207"/>
  <c r="I68" i="207"/>
  <c r="G68" i="207"/>
  <c r="N66" i="207"/>
  <c r="M66" i="207"/>
  <c r="L66" i="207"/>
  <c r="K66" i="207"/>
  <c r="I66" i="207"/>
  <c r="H66" i="207"/>
  <c r="G66" i="207"/>
  <c r="F66" i="207"/>
  <c r="N65" i="207"/>
  <c r="M65" i="207"/>
  <c r="L65" i="207"/>
  <c r="K65" i="207"/>
  <c r="I65" i="207"/>
  <c r="O63" i="207"/>
  <c r="N63" i="207"/>
  <c r="M63" i="207"/>
  <c r="L63" i="207"/>
  <c r="K63" i="207"/>
  <c r="I63" i="207"/>
  <c r="H63" i="207"/>
  <c r="G63" i="207"/>
  <c r="N62" i="207"/>
  <c r="I62" i="207"/>
  <c r="H62" i="207"/>
  <c r="G62" i="207"/>
  <c r="F62" i="207"/>
  <c r="N60" i="207"/>
  <c r="M60" i="207"/>
  <c r="L60" i="207"/>
  <c r="K60" i="207"/>
  <c r="I60" i="207"/>
  <c r="G60" i="207"/>
  <c r="N59" i="207"/>
  <c r="M59" i="207"/>
  <c r="L59" i="207"/>
  <c r="K59" i="207"/>
  <c r="I59" i="207"/>
  <c r="H59" i="207"/>
  <c r="G59" i="207"/>
  <c r="F59" i="207"/>
  <c r="O57" i="207"/>
  <c r="N57" i="207"/>
  <c r="M57" i="207"/>
  <c r="L57" i="207"/>
  <c r="K57" i="207"/>
  <c r="I57" i="207"/>
  <c r="H57" i="207"/>
  <c r="G57" i="207"/>
  <c r="N56" i="207"/>
  <c r="M56" i="207"/>
  <c r="L56" i="207"/>
  <c r="K56" i="207"/>
  <c r="I56" i="207"/>
  <c r="H56" i="207"/>
  <c r="G56" i="207"/>
  <c r="F56" i="207"/>
  <c r="N54" i="207"/>
  <c r="M54" i="207"/>
  <c r="L54" i="207"/>
  <c r="I54" i="207"/>
  <c r="G54" i="207"/>
  <c r="N53" i="207"/>
  <c r="M53" i="207"/>
  <c r="L53" i="207"/>
  <c r="I53" i="207"/>
  <c r="G53" i="207"/>
  <c r="N52" i="207"/>
  <c r="K52" i="207"/>
  <c r="I52" i="207"/>
  <c r="F52" i="207"/>
  <c r="N50" i="207"/>
  <c r="I50" i="207"/>
  <c r="F50" i="207"/>
  <c r="N46" i="207"/>
  <c r="M46" i="207"/>
  <c r="L46" i="207"/>
  <c r="I46" i="207"/>
  <c r="H46" i="207"/>
  <c r="G46" i="207"/>
  <c r="N45" i="207"/>
  <c r="M45" i="207"/>
  <c r="L45" i="207"/>
  <c r="I45" i="207"/>
  <c r="H45" i="207"/>
  <c r="G45" i="207"/>
  <c r="F45" i="207"/>
  <c r="N44" i="207"/>
  <c r="M44" i="207"/>
  <c r="L44" i="207"/>
  <c r="K44" i="207"/>
  <c r="I44" i="207"/>
  <c r="H44" i="207"/>
  <c r="G44" i="207"/>
  <c r="F44" i="207"/>
  <c r="N41" i="207"/>
  <c r="M41" i="207"/>
  <c r="L41" i="207"/>
  <c r="K41" i="207"/>
  <c r="I41" i="207"/>
  <c r="H41" i="207"/>
  <c r="G41" i="207"/>
  <c r="F41" i="207"/>
  <c r="N39" i="207"/>
  <c r="M39" i="207"/>
  <c r="L39" i="207"/>
  <c r="I39" i="207"/>
  <c r="H39" i="207"/>
  <c r="G39" i="207"/>
  <c r="F39" i="207"/>
  <c r="N38" i="207"/>
  <c r="M38" i="207"/>
  <c r="L38" i="207"/>
  <c r="I38" i="207"/>
  <c r="H38" i="207"/>
  <c r="G38" i="207"/>
  <c r="F38" i="207"/>
  <c r="O35" i="207"/>
  <c r="N35" i="207"/>
  <c r="M35" i="207"/>
  <c r="L35" i="207"/>
  <c r="K35" i="207"/>
  <c r="I35" i="207"/>
  <c r="H35" i="207"/>
  <c r="G35" i="207"/>
  <c r="F35" i="207"/>
  <c r="P34" i="207"/>
  <c r="O34" i="207"/>
  <c r="N34" i="207"/>
  <c r="M34" i="207"/>
  <c r="L34" i="207"/>
  <c r="K34" i="207"/>
  <c r="J34" i="207"/>
  <c r="I34" i="207"/>
  <c r="H34" i="207"/>
  <c r="G34" i="207"/>
  <c r="F34" i="207"/>
  <c r="O33" i="207"/>
  <c r="N33" i="207"/>
  <c r="M33" i="207"/>
  <c r="K33" i="207"/>
  <c r="I33" i="207"/>
  <c r="H33" i="207"/>
  <c r="G33" i="207"/>
  <c r="F33" i="207"/>
  <c r="N31" i="207"/>
  <c r="M31" i="207"/>
  <c r="L31" i="207"/>
  <c r="K31" i="207"/>
  <c r="I31" i="207"/>
  <c r="H31" i="207"/>
  <c r="G31" i="207"/>
  <c r="F31" i="207"/>
  <c r="N30" i="207"/>
  <c r="M30" i="207"/>
  <c r="L30" i="207"/>
  <c r="K30" i="207"/>
  <c r="I30" i="207"/>
  <c r="H30" i="207"/>
  <c r="G30" i="207"/>
  <c r="F30" i="207"/>
  <c r="O28" i="207"/>
  <c r="N28" i="207"/>
  <c r="M28" i="207"/>
  <c r="L28" i="207"/>
  <c r="K28" i="207"/>
  <c r="I28" i="207"/>
  <c r="H28" i="207"/>
  <c r="G28" i="207"/>
  <c r="F28" i="207"/>
  <c r="N27" i="207"/>
  <c r="M27" i="207"/>
  <c r="L27" i="207"/>
  <c r="K27" i="207"/>
  <c r="I27" i="207"/>
  <c r="H27" i="207"/>
  <c r="G27" i="207"/>
  <c r="F27" i="207"/>
  <c r="N21" i="207"/>
  <c r="M21" i="207"/>
  <c r="L21" i="207"/>
  <c r="K21" i="207"/>
  <c r="I21" i="207"/>
  <c r="H21" i="207"/>
  <c r="G21" i="207"/>
  <c r="N20" i="207"/>
  <c r="M20" i="207"/>
  <c r="L20" i="207"/>
  <c r="K20" i="207"/>
  <c r="I20" i="207"/>
  <c r="H20" i="207"/>
  <c r="G20" i="207"/>
  <c r="F20" i="207"/>
  <c r="N19" i="207"/>
  <c r="M19" i="207"/>
  <c r="L19" i="207"/>
  <c r="K19" i="207"/>
  <c r="I19" i="207"/>
  <c r="H19" i="207"/>
  <c r="G19" i="207"/>
  <c r="F19" i="207"/>
  <c r="N18" i="207"/>
  <c r="M18" i="207"/>
  <c r="L18" i="207"/>
  <c r="I18" i="207"/>
  <c r="G18" i="207"/>
  <c r="F18" i="207"/>
  <c r="P431" i="207"/>
  <c r="O431" i="207"/>
  <c r="N431" i="207"/>
  <c r="M431" i="207"/>
  <c r="L431" i="207"/>
  <c r="J441" i="207" s="1"/>
  <c r="K431" i="207"/>
  <c r="J431" i="207"/>
  <c r="H431" i="207"/>
  <c r="G431" i="207"/>
  <c r="F431" i="207"/>
  <c r="E431" i="207" s="1"/>
  <c r="O428" i="207"/>
  <c r="J428" i="207" s="1"/>
  <c r="E428" i="207"/>
  <c r="O427" i="207"/>
  <c r="N427" i="207"/>
  <c r="M427" i="207"/>
  <c r="L427" i="207"/>
  <c r="K427" i="207"/>
  <c r="I427" i="207"/>
  <c r="H427" i="207"/>
  <c r="G427" i="207"/>
  <c r="F427" i="207"/>
  <c r="E427" i="207"/>
  <c r="O426" i="207"/>
  <c r="N426" i="207"/>
  <c r="M426" i="207"/>
  <c r="L426" i="207"/>
  <c r="K426" i="207"/>
  <c r="I426" i="207"/>
  <c r="H426" i="207"/>
  <c r="G426" i="207"/>
  <c r="F426" i="207"/>
  <c r="E426" i="207"/>
  <c r="O425" i="207"/>
  <c r="J425" i="207" s="1"/>
  <c r="J424" i="207" s="1"/>
  <c r="J423" i="207" s="1"/>
  <c r="F425" i="207"/>
  <c r="F424" i="207" s="1"/>
  <c r="F423" i="207" s="1"/>
  <c r="N424" i="207"/>
  <c r="N423" i="207" s="1"/>
  <c r="M424" i="207"/>
  <c r="M423" i="207" s="1"/>
  <c r="L424" i="207"/>
  <c r="K424" i="207"/>
  <c r="I424" i="207"/>
  <c r="I423" i="207" s="1"/>
  <c r="H424" i="207"/>
  <c r="G424" i="207"/>
  <c r="G423" i="207" s="1"/>
  <c r="L423" i="207"/>
  <c r="K423" i="207"/>
  <c r="H423" i="207"/>
  <c r="O401" i="207"/>
  <c r="J401" i="207" s="1"/>
  <c r="J400" i="207" s="1"/>
  <c r="E401" i="207"/>
  <c r="P401" i="207" s="1"/>
  <c r="P400" i="207" s="1"/>
  <c r="N400" i="207"/>
  <c r="M400" i="207"/>
  <c r="L400" i="207"/>
  <c r="K400" i="207"/>
  <c r="I400" i="207"/>
  <c r="H400" i="207"/>
  <c r="G400" i="207"/>
  <c r="F400" i="207"/>
  <c r="O391" i="207"/>
  <c r="O390" i="207" s="1"/>
  <c r="E391" i="207"/>
  <c r="E390" i="207" s="1"/>
  <c r="E389" i="207" s="1"/>
  <c r="N390" i="207"/>
  <c r="M390" i="207"/>
  <c r="M389" i="207" s="1"/>
  <c r="L390" i="207"/>
  <c r="L389" i="207" s="1"/>
  <c r="K390" i="207"/>
  <c r="K389" i="207" s="1"/>
  <c r="I390" i="207"/>
  <c r="I389" i="207" s="1"/>
  <c r="H390" i="207"/>
  <c r="G390" i="207"/>
  <c r="F390" i="207"/>
  <c r="O389" i="207"/>
  <c r="N389" i="207"/>
  <c r="H389" i="207"/>
  <c r="G389" i="207"/>
  <c r="F389" i="207"/>
  <c r="O371" i="207"/>
  <c r="O370" i="207" s="1"/>
  <c r="E371" i="207"/>
  <c r="E370" i="207" s="1"/>
  <c r="N370" i="207"/>
  <c r="M370" i="207"/>
  <c r="L370" i="207"/>
  <c r="K370" i="207"/>
  <c r="I370" i="207"/>
  <c r="H370" i="207"/>
  <c r="G370" i="207"/>
  <c r="F370" i="207"/>
  <c r="O352" i="207"/>
  <c r="E352" i="207"/>
  <c r="N351" i="207"/>
  <c r="N350" i="207" s="1"/>
  <c r="M351" i="207"/>
  <c r="M350" i="207" s="1"/>
  <c r="L351" i="207"/>
  <c r="L350" i="207" s="1"/>
  <c r="K351" i="207"/>
  <c r="I351" i="207"/>
  <c r="I350" i="207" s="1"/>
  <c r="H351" i="207"/>
  <c r="H350" i="207" s="1"/>
  <c r="G351" i="207"/>
  <c r="G350" i="207" s="1"/>
  <c r="F351" i="207"/>
  <c r="E351" i="207"/>
  <c r="E350" i="207" s="1"/>
  <c r="K350" i="207"/>
  <c r="F350" i="207"/>
  <c r="O343" i="207"/>
  <c r="J343" i="207" s="1"/>
  <c r="E343" i="207"/>
  <c r="O341" i="207"/>
  <c r="J341" i="207" s="1"/>
  <c r="E341" i="207"/>
  <c r="N340" i="207"/>
  <c r="M340" i="207"/>
  <c r="M339" i="207" s="1"/>
  <c r="L340" i="207"/>
  <c r="K340" i="207"/>
  <c r="I340" i="207"/>
  <c r="H340" i="207"/>
  <c r="H339" i="207" s="1"/>
  <c r="G340" i="207"/>
  <c r="F340" i="207"/>
  <c r="N339" i="207"/>
  <c r="L339" i="207"/>
  <c r="K339" i="207"/>
  <c r="I339" i="207"/>
  <c r="G339" i="207"/>
  <c r="F339" i="207"/>
  <c r="O338" i="207"/>
  <c r="J338" i="207" s="1"/>
  <c r="E338" i="207"/>
  <c r="O318" i="207"/>
  <c r="J318" i="207" s="1"/>
  <c r="J317" i="207" s="1"/>
  <c r="J316" i="207" s="1"/>
  <c r="E318" i="207"/>
  <c r="N317" i="207"/>
  <c r="N316" i="207" s="1"/>
  <c r="M317" i="207"/>
  <c r="M316" i="207" s="1"/>
  <c r="L317" i="207"/>
  <c r="K317" i="207"/>
  <c r="I317" i="207"/>
  <c r="I316" i="207" s="1"/>
  <c r="H317" i="207"/>
  <c r="G317" i="207"/>
  <c r="F317" i="207"/>
  <c r="L316" i="207"/>
  <c r="K316" i="207"/>
  <c r="H316" i="207"/>
  <c r="G316" i="207"/>
  <c r="F316" i="207"/>
  <c r="O315" i="207"/>
  <c r="J315" i="207"/>
  <c r="H315" i="207"/>
  <c r="G315" i="207"/>
  <c r="F315" i="207"/>
  <c r="E315" i="207"/>
  <c r="P315" i="207" s="1"/>
  <c r="O283" i="207"/>
  <c r="J283" i="207" s="1"/>
  <c r="P283" i="207" s="1"/>
  <c r="P282" i="207" s="1"/>
  <c r="E283" i="207"/>
  <c r="E282" i="207" s="1"/>
  <c r="N282" i="207"/>
  <c r="M282" i="207"/>
  <c r="L282" i="207"/>
  <c r="K282" i="207"/>
  <c r="I282" i="207"/>
  <c r="H282" i="207"/>
  <c r="G282" i="207"/>
  <c r="F282" i="207"/>
  <c r="O255" i="207"/>
  <c r="J255" i="207" s="1"/>
  <c r="J254" i="207" s="1"/>
  <c r="J253" i="207" s="1"/>
  <c r="E255" i="207"/>
  <c r="N254" i="207"/>
  <c r="N253" i="207" s="1"/>
  <c r="M254" i="207"/>
  <c r="M253" i="207" s="1"/>
  <c r="L254" i="207"/>
  <c r="K254" i="207"/>
  <c r="I254" i="207"/>
  <c r="I253" i="207" s="1"/>
  <c r="H254" i="207"/>
  <c r="G254" i="207"/>
  <c r="F254" i="207"/>
  <c r="F253" i="207" s="1"/>
  <c r="L253" i="207"/>
  <c r="K253" i="207"/>
  <c r="H253" i="207"/>
  <c r="G253" i="207"/>
  <c r="O252" i="207"/>
  <c r="J252" i="207"/>
  <c r="E252" i="207"/>
  <c r="O251" i="207"/>
  <c r="J251" i="207" s="1"/>
  <c r="E251" i="207"/>
  <c r="O250" i="207"/>
  <c r="N250" i="207"/>
  <c r="M250" i="207"/>
  <c r="L250" i="207"/>
  <c r="L246" i="207" s="1"/>
  <c r="K250" i="207"/>
  <c r="I250" i="207"/>
  <c r="H250" i="207"/>
  <c r="G250" i="207"/>
  <c r="F250" i="207"/>
  <c r="F246" i="207" s="1"/>
  <c r="K249" i="207"/>
  <c r="E249" i="207"/>
  <c r="N248" i="207"/>
  <c r="N247" i="207" s="1"/>
  <c r="N246" i="207" s="1"/>
  <c r="M248" i="207"/>
  <c r="L248" i="207"/>
  <c r="I248" i="207"/>
  <c r="H248" i="207"/>
  <c r="H247" i="207" s="1"/>
  <c r="H246" i="207" s="1"/>
  <c r="G248" i="207"/>
  <c r="G247" i="207" s="1"/>
  <c r="F248" i="207"/>
  <c r="F247" i="207" s="1"/>
  <c r="E248" i="207"/>
  <c r="M247" i="207"/>
  <c r="L247" i="207"/>
  <c r="I247" i="207"/>
  <c r="E247" i="207"/>
  <c r="O245" i="207"/>
  <c r="J245" i="207" s="1"/>
  <c r="J244" i="207" s="1"/>
  <c r="J243" i="207" s="1"/>
  <c r="E245" i="207"/>
  <c r="E244" i="207" s="1"/>
  <c r="E243" i="207" s="1"/>
  <c r="N244" i="207"/>
  <c r="M244" i="207"/>
  <c r="M243" i="207" s="1"/>
  <c r="L244" i="207"/>
  <c r="L243" i="207" s="1"/>
  <c r="K244" i="207"/>
  <c r="K243" i="207" s="1"/>
  <c r="I244" i="207"/>
  <c r="H244" i="207"/>
  <c r="G244" i="207"/>
  <c r="G243" i="207" s="1"/>
  <c r="F244" i="207"/>
  <c r="N243" i="207"/>
  <c r="I243" i="207"/>
  <c r="H243" i="207"/>
  <c r="F243" i="207"/>
  <c r="O219" i="207"/>
  <c r="J219" i="207"/>
  <c r="J218" i="207" s="1"/>
  <c r="J217" i="207" s="1"/>
  <c r="E219" i="207"/>
  <c r="E218" i="207" s="1"/>
  <c r="E217" i="207" s="1"/>
  <c r="O218" i="207"/>
  <c r="N218" i="207"/>
  <c r="N217" i="207" s="1"/>
  <c r="M218" i="207"/>
  <c r="M217" i="207" s="1"/>
  <c r="L218" i="207"/>
  <c r="K218" i="207"/>
  <c r="I218" i="207"/>
  <c r="I217" i="207" s="1"/>
  <c r="H218" i="207"/>
  <c r="H217" i="207" s="1"/>
  <c r="G218" i="207"/>
  <c r="F218" i="207"/>
  <c r="F217" i="207" s="1"/>
  <c r="O217" i="207"/>
  <c r="L217" i="207"/>
  <c r="K217" i="207"/>
  <c r="G217" i="207"/>
  <c r="K216" i="207"/>
  <c r="O216" i="207" s="1"/>
  <c r="J216" i="207" s="1"/>
  <c r="E216" i="207"/>
  <c r="O215" i="207"/>
  <c r="J215" i="207"/>
  <c r="E215" i="207"/>
  <c r="O197" i="207"/>
  <c r="J197" i="207" s="1"/>
  <c r="J196" i="207" s="1"/>
  <c r="E197" i="207"/>
  <c r="E196" i="207" s="1"/>
  <c r="O196" i="207"/>
  <c r="N196" i="207"/>
  <c r="M196" i="207"/>
  <c r="L196" i="207"/>
  <c r="K196" i="207"/>
  <c r="I196" i="207"/>
  <c r="H196" i="207"/>
  <c r="G196" i="207"/>
  <c r="F196" i="207"/>
  <c r="O138" i="207"/>
  <c r="J138" i="207" s="1"/>
  <c r="E138" i="207"/>
  <c r="O137" i="207"/>
  <c r="J137" i="207" s="1"/>
  <c r="E137" i="207"/>
  <c r="O106" i="207"/>
  <c r="J106" i="207" s="1"/>
  <c r="E106" i="207"/>
  <c r="E105" i="207" s="1"/>
  <c r="E104" i="207" s="1"/>
  <c r="O105" i="207"/>
  <c r="O104" i="207" s="1"/>
  <c r="N105" i="207"/>
  <c r="M105" i="207"/>
  <c r="L105" i="207"/>
  <c r="L104" i="207" s="1"/>
  <c r="K105" i="207"/>
  <c r="K104" i="207" s="1"/>
  <c r="I105" i="207"/>
  <c r="H105" i="207"/>
  <c r="G105" i="207"/>
  <c r="G104" i="207" s="1"/>
  <c r="F105" i="207"/>
  <c r="F104" i="207" s="1"/>
  <c r="N104" i="207"/>
  <c r="M104" i="207"/>
  <c r="I104" i="207"/>
  <c r="H104" i="207"/>
  <c r="O103" i="207"/>
  <c r="J103" i="207" s="1"/>
  <c r="E103" i="207"/>
  <c r="N102" i="207"/>
  <c r="M102" i="207"/>
  <c r="M101" i="207" s="1"/>
  <c r="L102" i="207"/>
  <c r="L101" i="207" s="1"/>
  <c r="K102" i="207"/>
  <c r="I102" i="207"/>
  <c r="H102" i="207"/>
  <c r="H101" i="207" s="1"/>
  <c r="G102" i="207"/>
  <c r="G101" i="207" s="1"/>
  <c r="F102" i="207"/>
  <c r="E102" i="207"/>
  <c r="N101" i="207"/>
  <c r="K101" i="207"/>
  <c r="I101" i="207"/>
  <c r="F101" i="207"/>
  <c r="E101" i="207"/>
  <c r="N422" i="206"/>
  <c r="M422" i="206"/>
  <c r="L422" i="206"/>
  <c r="K422" i="206"/>
  <c r="I422" i="206"/>
  <c r="H422" i="206"/>
  <c r="G422" i="206"/>
  <c r="F422" i="206"/>
  <c r="N420" i="206"/>
  <c r="M420" i="206"/>
  <c r="L420" i="206"/>
  <c r="K420" i="206"/>
  <c r="I420" i="206"/>
  <c r="H420" i="206"/>
  <c r="G420" i="206"/>
  <c r="F420" i="206"/>
  <c r="N418" i="206"/>
  <c r="M418" i="206"/>
  <c r="L418" i="206"/>
  <c r="K418" i="206"/>
  <c r="I418" i="206"/>
  <c r="H418" i="206"/>
  <c r="G418" i="206"/>
  <c r="F418" i="206"/>
  <c r="N415" i="206"/>
  <c r="M415" i="206"/>
  <c r="L415" i="206"/>
  <c r="K415" i="206"/>
  <c r="I415" i="206"/>
  <c r="H415" i="206"/>
  <c r="G415" i="206"/>
  <c r="F415" i="206"/>
  <c r="N414" i="206"/>
  <c r="M414" i="206"/>
  <c r="L414" i="206"/>
  <c r="K414" i="206"/>
  <c r="I414" i="206"/>
  <c r="H414" i="206"/>
  <c r="G414" i="206"/>
  <c r="F414" i="206"/>
  <c r="N410" i="206"/>
  <c r="M410" i="206"/>
  <c r="L410" i="206"/>
  <c r="I410" i="206"/>
  <c r="H410" i="206"/>
  <c r="G410" i="206"/>
  <c r="F410" i="206"/>
  <c r="N408" i="206"/>
  <c r="M408" i="206"/>
  <c r="L408" i="206"/>
  <c r="I408" i="206"/>
  <c r="H408" i="206"/>
  <c r="G408" i="206"/>
  <c r="N405" i="206"/>
  <c r="M405" i="206"/>
  <c r="L405" i="206"/>
  <c r="K405" i="206"/>
  <c r="I405" i="206"/>
  <c r="H405" i="206"/>
  <c r="G405" i="206"/>
  <c r="F405" i="206"/>
  <c r="N399" i="206"/>
  <c r="M399" i="206"/>
  <c r="K399" i="206"/>
  <c r="I399" i="206"/>
  <c r="H399" i="206"/>
  <c r="G399" i="206"/>
  <c r="F399" i="206"/>
  <c r="E399" i="206"/>
  <c r="N396" i="206"/>
  <c r="M396" i="206"/>
  <c r="L396" i="206"/>
  <c r="K396" i="206"/>
  <c r="I396" i="206"/>
  <c r="H396" i="206"/>
  <c r="G396" i="206"/>
  <c r="F396" i="206"/>
  <c r="N395" i="206"/>
  <c r="M395" i="206"/>
  <c r="L395" i="206"/>
  <c r="K395" i="206"/>
  <c r="I395" i="206"/>
  <c r="H395" i="206"/>
  <c r="G395" i="206"/>
  <c r="F395" i="206"/>
  <c r="N388" i="206"/>
  <c r="M388" i="206"/>
  <c r="L388" i="206"/>
  <c r="I388" i="206"/>
  <c r="H388" i="206"/>
  <c r="G388" i="206"/>
  <c r="N385" i="206"/>
  <c r="M385" i="206"/>
  <c r="L385" i="206"/>
  <c r="K385" i="206"/>
  <c r="I385" i="206"/>
  <c r="H385" i="206"/>
  <c r="G385" i="206"/>
  <c r="F385" i="206"/>
  <c r="N383" i="206"/>
  <c r="M383" i="206"/>
  <c r="L383" i="206"/>
  <c r="I383" i="206"/>
  <c r="H383" i="206"/>
  <c r="G383" i="206"/>
  <c r="N382" i="206"/>
  <c r="M382" i="206"/>
  <c r="L382" i="206"/>
  <c r="K382" i="206"/>
  <c r="I382" i="206"/>
  <c r="H382" i="206"/>
  <c r="G382" i="206"/>
  <c r="F382" i="206"/>
  <c r="N381" i="206"/>
  <c r="M381" i="206"/>
  <c r="L381" i="206"/>
  <c r="K381" i="206"/>
  <c r="I381" i="206"/>
  <c r="H381" i="206"/>
  <c r="G381" i="206"/>
  <c r="N379" i="206"/>
  <c r="M379" i="206"/>
  <c r="L379" i="206"/>
  <c r="K379" i="206"/>
  <c r="I379" i="206"/>
  <c r="H379" i="206"/>
  <c r="G379" i="206"/>
  <c r="N376" i="206"/>
  <c r="M376" i="206"/>
  <c r="L376" i="206"/>
  <c r="I376" i="206"/>
  <c r="H376" i="206"/>
  <c r="G376" i="206"/>
  <c r="N375" i="206"/>
  <c r="M375" i="206"/>
  <c r="L375" i="206"/>
  <c r="I375" i="206"/>
  <c r="H375" i="206"/>
  <c r="G375" i="206"/>
  <c r="N369" i="206"/>
  <c r="M369" i="206"/>
  <c r="L369" i="206"/>
  <c r="K369" i="206"/>
  <c r="I369" i="206"/>
  <c r="H369" i="206"/>
  <c r="G369" i="206"/>
  <c r="F369" i="206"/>
  <c r="N366" i="206"/>
  <c r="M366" i="206"/>
  <c r="L366" i="206"/>
  <c r="I366" i="206"/>
  <c r="H366" i="206"/>
  <c r="G366" i="206"/>
  <c r="F366" i="206"/>
  <c r="N364" i="206"/>
  <c r="M364" i="206"/>
  <c r="L364" i="206"/>
  <c r="K364" i="206"/>
  <c r="I364" i="206"/>
  <c r="H364" i="206"/>
  <c r="G364" i="206"/>
  <c r="F364" i="206"/>
  <c r="N363" i="206"/>
  <c r="M363" i="206"/>
  <c r="L363" i="206"/>
  <c r="K363" i="206"/>
  <c r="I363" i="206"/>
  <c r="H363" i="206"/>
  <c r="G363" i="206"/>
  <c r="F363" i="206"/>
  <c r="N361" i="206"/>
  <c r="M361" i="206"/>
  <c r="L361" i="206"/>
  <c r="K361" i="206"/>
  <c r="I361" i="206"/>
  <c r="H361" i="206"/>
  <c r="G361" i="206"/>
  <c r="F361" i="206"/>
  <c r="N357" i="206"/>
  <c r="M357" i="206"/>
  <c r="L357" i="206"/>
  <c r="K357" i="206"/>
  <c r="I357" i="206"/>
  <c r="H357" i="206"/>
  <c r="G357" i="206"/>
  <c r="F357" i="206"/>
  <c r="N356" i="206"/>
  <c r="M356" i="206"/>
  <c r="L356" i="206"/>
  <c r="K356" i="206"/>
  <c r="I356" i="206"/>
  <c r="H356" i="206"/>
  <c r="G356" i="206"/>
  <c r="F356" i="206"/>
  <c r="N349" i="206"/>
  <c r="M349" i="206"/>
  <c r="L349" i="206"/>
  <c r="K349" i="206"/>
  <c r="I349" i="206"/>
  <c r="H349" i="206"/>
  <c r="G349" i="206"/>
  <c r="N348" i="206"/>
  <c r="M348" i="206"/>
  <c r="L348" i="206"/>
  <c r="K348" i="206"/>
  <c r="I348" i="206"/>
  <c r="H348" i="206"/>
  <c r="G348" i="206"/>
  <c r="F348" i="206"/>
  <c r="N347" i="206"/>
  <c r="M347" i="206"/>
  <c r="L347" i="206"/>
  <c r="K347" i="206"/>
  <c r="I347" i="206"/>
  <c r="H347" i="206"/>
  <c r="G347" i="206"/>
  <c r="F347" i="206"/>
  <c r="N337" i="206"/>
  <c r="M337" i="206"/>
  <c r="L337" i="206"/>
  <c r="K337" i="206"/>
  <c r="I337" i="206"/>
  <c r="H337" i="206"/>
  <c r="G337" i="206"/>
  <c r="F337" i="206"/>
  <c r="N336" i="206"/>
  <c r="M336" i="206"/>
  <c r="L336" i="206"/>
  <c r="K336" i="206"/>
  <c r="I336" i="206"/>
  <c r="H336" i="206"/>
  <c r="G336" i="206"/>
  <c r="F336" i="206"/>
  <c r="N335" i="206"/>
  <c r="M335" i="206"/>
  <c r="L335" i="206"/>
  <c r="I335" i="206"/>
  <c r="H335" i="206"/>
  <c r="G335" i="206"/>
  <c r="F335" i="206"/>
  <c r="N334" i="206"/>
  <c r="M334" i="206"/>
  <c r="L334" i="206"/>
  <c r="I334" i="206"/>
  <c r="H334" i="206"/>
  <c r="G334" i="206"/>
  <c r="F334" i="206"/>
  <c r="N332" i="206"/>
  <c r="M332" i="206"/>
  <c r="L332" i="206"/>
  <c r="K332" i="206"/>
  <c r="I332" i="206"/>
  <c r="H332" i="206"/>
  <c r="G332" i="206"/>
  <c r="F332" i="206"/>
  <c r="N329" i="206"/>
  <c r="M329" i="206"/>
  <c r="L329" i="206"/>
  <c r="K329" i="206"/>
  <c r="I329" i="206"/>
  <c r="H329" i="206"/>
  <c r="G329" i="206"/>
  <c r="F329" i="206"/>
  <c r="N326" i="206"/>
  <c r="M326" i="206"/>
  <c r="L326" i="206"/>
  <c r="I326" i="206"/>
  <c r="H326" i="206"/>
  <c r="G326" i="206"/>
  <c r="F326" i="206"/>
  <c r="N324" i="206"/>
  <c r="M324" i="206"/>
  <c r="L324" i="206"/>
  <c r="K324" i="206"/>
  <c r="I324" i="206"/>
  <c r="H324" i="206"/>
  <c r="G324" i="206"/>
  <c r="F324" i="206"/>
  <c r="N323" i="206"/>
  <c r="M323" i="206"/>
  <c r="L323" i="206"/>
  <c r="K323" i="206"/>
  <c r="I323" i="206"/>
  <c r="H323" i="206"/>
  <c r="G323" i="206"/>
  <c r="F323" i="206"/>
  <c r="N322" i="206"/>
  <c r="M322" i="206"/>
  <c r="L322" i="206"/>
  <c r="K322" i="206"/>
  <c r="I322" i="206"/>
  <c r="H322" i="206"/>
  <c r="G322" i="206"/>
  <c r="F322" i="206"/>
  <c r="N314" i="206"/>
  <c r="M314" i="206"/>
  <c r="L314" i="206"/>
  <c r="K314" i="206"/>
  <c r="I314" i="206"/>
  <c r="G314" i="206"/>
  <c r="F314" i="206"/>
  <c r="N313" i="206"/>
  <c r="M313" i="206"/>
  <c r="L313" i="206"/>
  <c r="K313" i="206"/>
  <c r="I313" i="206"/>
  <c r="H313" i="206"/>
  <c r="G313" i="206"/>
  <c r="F313" i="206"/>
  <c r="N310" i="206"/>
  <c r="M310" i="206"/>
  <c r="L310" i="206"/>
  <c r="K310" i="206"/>
  <c r="I310" i="206"/>
  <c r="H310" i="206"/>
  <c r="G310" i="206"/>
  <c r="F310" i="206"/>
  <c r="P309" i="206"/>
  <c r="O309" i="206"/>
  <c r="N309" i="206"/>
  <c r="M309" i="206"/>
  <c r="L309" i="206"/>
  <c r="K309" i="206"/>
  <c r="J309" i="206"/>
  <c r="I309" i="206"/>
  <c r="H309" i="206"/>
  <c r="G309" i="206"/>
  <c r="F309" i="206"/>
  <c r="E309" i="206"/>
  <c r="O308" i="206"/>
  <c r="N308" i="206"/>
  <c r="M308" i="206"/>
  <c r="L308" i="206"/>
  <c r="K308" i="206"/>
  <c r="I308" i="206"/>
  <c r="H308" i="206"/>
  <c r="G308" i="206"/>
  <c r="F308" i="206"/>
  <c r="E308" i="206"/>
  <c r="N306" i="206"/>
  <c r="M306" i="206"/>
  <c r="L306" i="206"/>
  <c r="K306" i="206"/>
  <c r="I306" i="206"/>
  <c r="H306" i="206"/>
  <c r="G306" i="206"/>
  <c r="F306" i="206"/>
  <c r="N305" i="206"/>
  <c r="M305" i="206"/>
  <c r="L305" i="206"/>
  <c r="I305" i="206"/>
  <c r="H305" i="206"/>
  <c r="G305" i="206"/>
  <c r="F305" i="206"/>
  <c r="N303" i="206"/>
  <c r="M303" i="206"/>
  <c r="L303" i="206"/>
  <c r="I303" i="206"/>
  <c r="H303" i="206"/>
  <c r="G303" i="206"/>
  <c r="N300" i="206"/>
  <c r="M300" i="206"/>
  <c r="L300" i="206"/>
  <c r="I300" i="206"/>
  <c r="H300" i="206"/>
  <c r="G300" i="206"/>
  <c r="F300" i="206"/>
  <c r="N297" i="206"/>
  <c r="M297" i="206"/>
  <c r="L297" i="206"/>
  <c r="K297" i="206"/>
  <c r="I297" i="206"/>
  <c r="H297" i="206"/>
  <c r="G297" i="206"/>
  <c r="F297" i="206"/>
  <c r="N296" i="206"/>
  <c r="M296" i="206"/>
  <c r="L296" i="206"/>
  <c r="K296" i="206"/>
  <c r="I296" i="206"/>
  <c r="H296" i="206"/>
  <c r="G296" i="206"/>
  <c r="F296" i="206"/>
  <c r="N295" i="206"/>
  <c r="M295" i="206"/>
  <c r="L295" i="206"/>
  <c r="K295" i="206"/>
  <c r="I295" i="206"/>
  <c r="H295" i="206"/>
  <c r="G295" i="206"/>
  <c r="N294" i="206"/>
  <c r="M294" i="206"/>
  <c r="L294" i="206"/>
  <c r="K294" i="206"/>
  <c r="I294" i="206"/>
  <c r="H294" i="206"/>
  <c r="G294" i="206"/>
  <c r="F294" i="206"/>
  <c r="N293" i="206"/>
  <c r="M293" i="206"/>
  <c r="L293" i="206"/>
  <c r="I293" i="206"/>
  <c r="H293" i="206"/>
  <c r="G293" i="206"/>
  <c r="N292" i="206"/>
  <c r="M292" i="206"/>
  <c r="L292" i="206"/>
  <c r="K292" i="206"/>
  <c r="I292" i="206"/>
  <c r="H292" i="206"/>
  <c r="G292" i="206"/>
  <c r="F292" i="206"/>
  <c r="N289" i="206"/>
  <c r="M289" i="206"/>
  <c r="L289" i="206"/>
  <c r="K289" i="206"/>
  <c r="I289" i="206"/>
  <c r="H289" i="206"/>
  <c r="G289" i="206"/>
  <c r="F289" i="206"/>
  <c r="N288" i="206"/>
  <c r="M288" i="206"/>
  <c r="L288" i="206"/>
  <c r="K288" i="206"/>
  <c r="I288" i="206"/>
  <c r="H288" i="206"/>
  <c r="G288" i="206"/>
  <c r="F288" i="206"/>
  <c r="N287" i="206"/>
  <c r="M287" i="206"/>
  <c r="L287" i="206"/>
  <c r="K287" i="206"/>
  <c r="I287" i="206"/>
  <c r="H287" i="206"/>
  <c r="G287" i="206"/>
  <c r="F287" i="206"/>
  <c r="N281" i="206"/>
  <c r="M281" i="206"/>
  <c r="L281" i="206"/>
  <c r="K281" i="206"/>
  <c r="I281" i="206"/>
  <c r="H281" i="206"/>
  <c r="G281" i="206"/>
  <c r="P278" i="206"/>
  <c r="O278" i="206"/>
  <c r="N278" i="206"/>
  <c r="M278" i="206"/>
  <c r="L278" i="206"/>
  <c r="K278" i="206"/>
  <c r="J278" i="206"/>
  <c r="I278" i="206"/>
  <c r="H278" i="206"/>
  <c r="G278" i="206"/>
  <c r="F278" i="206"/>
  <c r="E278" i="206"/>
  <c r="N277" i="206"/>
  <c r="M277" i="206"/>
  <c r="L277" i="206"/>
  <c r="K277" i="206"/>
  <c r="I277" i="206"/>
  <c r="H277" i="206"/>
  <c r="G277" i="206"/>
  <c r="F277" i="206"/>
  <c r="N275" i="206"/>
  <c r="M275" i="206"/>
  <c r="L275" i="206"/>
  <c r="K275" i="206"/>
  <c r="I275" i="206"/>
  <c r="H275" i="206"/>
  <c r="G275" i="206"/>
  <c r="F275" i="206"/>
  <c r="N274" i="206"/>
  <c r="M274" i="206"/>
  <c r="L274" i="206"/>
  <c r="K274" i="206"/>
  <c r="I274" i="206"/>
  <c r="H274" i="206"/>
  <c r="G274" i="206"/>
  <c r="N272" i="206"/>
  <c r="M272" i="206"/>
  <c r="L272" i="206"/>
  <c r="I272" i="206"/>
  <c r="H272" i="206"/>
  <c r="G272" i="206"/>
  <c r="F272" i="206"/>
  <c r="N269" i="206"/>
  <c r="M269" i="206"/>
  <c r="L269" i="206"/>
  <c r="K269" i="206"/>
  <c r="I269" i="206"/>
  <c r="H269" i="206"/>
  <c r="G269" i="206"/>
  <c r="F269" i="206"/>
  <c r="N268" i="206"/>
  <c r="M268" i="206"/>
  <c r="L268" i="206"/>
  <c r="I268" i="206"/>
  <c r="H268" i="206"/>
  <c r="G268" i="206"/>
  <c r="N267" i="206"/>
  <c r="M267" i="206"/>
  <c r="L267" i="206"/>
  <c r="K267" i="206"/>
  <c r="I267" i="206"/>
  <c r="H267" i="206"/>
  <c r="G267" i="206"/>
  <c r="N266" i="206"/>
  <c r="M266" i="206"/>
  <c r="L266" i="206"/>
  <c r="K266" i="206"/>
  <c r="I266" i="206"/>
  <c r="H266" i="206"/>
  <c r="G266" i="206"/>
  <c r="N265" i="206"/>
  <c r="M265" i="206"/>
  <c r="L265" i="206"/>
  <c r="K265" i="206"/>
  <c r="I265" i="206"/>
  <c r="H265" i="206"/>
  <c r="G265" i="206"/>
  <c r="F265" i="206"/>
  <c r="N264" i="206"/>
  <c r="M264" i="206"/>
  <c r="L264" i="206"/>
  <c r="I264" i="206"/>
  <c r="H264" i="206"/>
  <c r="G264" i="206"/>
  <c r="O261" i="206"/>
  <c r="N261" i="206"/>
  <c r="M261" i="206"/>
  <c r="L261" i="206"/>
  <c r="K261" i="206"/>
  <c r="I261" i="206"/>
  <c r="H261" i="206"/>
  <c r="G261" i="206"/>
  <c r="F261" i="206"/>
  <c r="N260" i="206"/>
  <c r="M260" i="206"/>
  <c r="L260" i="206"/>
  <c r="K260" i="206"/>
  <c r="I260" i="206"/>
  <c r="H260" i="206"/>
  <c r="G260" i="206"/>
  <c r="F260" i="206"/>
  <c r="N259" i="206"/>
  <c r="M259" i="206"/>
  <c r="L259" i="206"/>
  <c r="K259" i="206"/>
  <c r="I259" i="206"/>
  <c r="H259" i="206"/>
  <c r="G259" i="206"/>
  <c r="F259" i="206"/>
  <c r="N242" i="206"/>
  <c r="M242" i="206"/>
  <c r="L242" i="206"/>
  <c r="K242" i="206"/>
  <c r="I242" i="206"/>
  <c r="H242" i="206"/>
  <c r="G242" i="206"/>
  <c r="F242" i="206"/>
  <c r="N241" i="206"/>
  <c r="M241" i="206"/>
  <c r="L241" i="206"/>
  <c r="K241" i="206"/>
  <c r="I241" i="206"/>
  <c r="H241" i="206"/>
  <c r="G241" i="206"/>
  <c r="N240" i="206"/>
  <c r="M240" i="206"/>
  <c r="L240" i="206"/>
  <c r="K240" i="206"/>
  <c r="I240" i="206"/>
  <c r="H240" i="206"/>
  <c r="G240" i="206"/>
  <c r="N238" i="206"/>
  <c r="M238" i="206"/>
  <c r="L238" i="206"/>
  <c r="K238" i="206"/>
  <c r="I238" i="206"/>
  <c r="H238" i="206"/>
  <c r="G238" i="206"/>
  <c r="F238" i="206"/>
  <c r="N236" i="206"/>
  <c r="M236" i="206"/>
  <c r="L236" i="206"/>
  <c r="K236" i="206"/>
  <c r="I236" i="206"/>
  <c r="H236" i="206"/>
  <c r="G236" i="206"/>
  <c r="F236" i="206"/>
  <c r="N235" i="206"/>
  <c r="M235" i="206"/>
  <c r="I235" i="206"/>
  <c r="N233" i="206"/>
  <c r="M233" i="206"/>
  <c r="L233" i="206"/>
  <c r="K233" i="206"/>
  <c r="I233" i="206"/>
  <c r="H233" i="206"/>
  <c r="G233" i="206"/>
  <c r="F233" i="206"/>
  <c r="N231" i="206"/>
  <c r="M231" i="206"/>
  <c r="L231" i="206"/>
  <c r="K231" i="206"/>
  <c r="I231" i="206"/>
  <c r="H231" i="206"/>
  <c r="G231" i="206"/>
  <c r="N230" i="206"/>
  <c r="M230" i="206"/>
  <c r="L230" i="206"/>
  <c r="K230" i="206"/>
  <c r="I230" i="206"/>
  <c r="H230" i="206"/>
  <c r="G230" i="206"/>
  <c r="N227" i="206"/>
  <c r="M227" i="206"/>
  <c r="L227" i="206"/>
  <c r="K227" i="206"/>
  <c r="I227" i="206"/>
  <c r="G227" i="206"/>
  <c r="N226" i="206"/>
  <c r="M226" i="206"/>
  <c r="L226" i="206"/>
  <c r="I226" i="206"/>
  <c r="G226" i="206"/>
  <c r="F226" i="206"/>
  <c r="N224" i="206"/>
  <c r="M224" i="206"/>
  <c r="L224" i="206"/>
  <c r="K224" i="206"/>
  <c r="I224" i="206"/>
  <c r="N214" i="206"/>
  <c r="M214" i="206"/>
  <c r="L214" i="206"/>
  <c r="K214" i="206"/>
  <c r="I214" i="206"/>
  <c r="H214" i="206"/>
  <c r="G214" i="206"/>
  <c r="F214" i="206"/>
  <c r="N210" i="206"/>
  <c r="M210" i="206"/>
  <c r="L210" i="206"/>
  <c r="K210" i="206"/>
  <c r="I210" i="206"/>
  <c r="H210" i="206"/>
  <c r="G210" i="206"/>
  <c r="F210" i="206"/>
  <c r="N209" i="206"/>
  <c r="M209" i="206"/>
  <c r="K209" i="206"/>
  <c r="I209" i="206"/>
  <c r="G209" i="206"/>
  <c r="F209" i="206"/>
  <c r="N207" i="206"/>
  <c r="M207" i="206"/>
  <c r="L207" i="206"/>
  <c r="K207" i="206"/>
  <c r="I207" i="206"/>
  <c r="H207" i="206"/>
  <c r="G207" i="206"/>
  <c r="F207" i="206"/>
  <c r="N206" i="206"/>
  <c r="M206" i="206"/>
  <c r="K206" i="206"/>
  <c r="I206" i="206"/>
  <c r="G206" i="206"/>
  <c r="F206" i="206"/>
  <c r="N205" i="206"/>
  <c r="M205" i="206"/>
  <c r="L205" i="206"/>
  <c r="K205" i="206"/>
  <c r="I205" i="206"/>
  <c r="G205" i="206"/>
  <c r="N204" i="206"/>
  <c r="M204" i="206"/>
  <c r="L204" i="206"/>
  <c r="K204" i="206"/>
  <c r="I204" i="206"/>
  <c r="G204" i="206"/>
  <c r="N202" i="206"/>
  <c r="M202" i="206"/>
  <c r="K202" i="206"/>
  <c r="I202" i="206"/>
  <c r="G202" i="206"/>
  <c r="N195" i="206"/>
  <c r="M195" i="206"/>
  <c r="L195" i="206"/>
  <c r="K195" i="206"/>
  <c r="I195" i="206"/>
  <c r="H195" i="206"/>
  <c r="G195" i="206"/>
  <c r="F195" i="206"/>
  <c r="N193" i="206"/>
  <c r="M193" i="206"/>
  <c r="L193" i="206"/>
  <c r="K193" i="206"/>
  <c r="I193" i="206"/>
  <c r="H193" i="206"/>
  <c r="G193" i="206"/>
  <c r="F193" i="206"/>
  <c r="N188" i="206"/>
  <c r="M188" i="206"/>
  <c r="L188" i="206"/>
  <c r="I188" i="206"/>
  <c r="H188" i="206"/>
  <c r="G188" i="206"/>
  <c r="F188" i="206"/>
  <c r="N185" i="206"/>
  <c r="M185" i="206"/>
  <c r="L185" i="206"/>
  <c r="I185" i="206"/>
  <c r="H185" i="206"/>
  <c r="G185" i="206"/>
  <c r="M184" i="206"/>
  <c r="I184" i="206"/>
  <c r="F184" i="206"/>
  <c r="N182" i="206"/>
  <c r="M182" i="206"/>
  <c r="L182" i="206"/>
  <c r="I182" i="206"/>
  <c r="H182" i="206"/>
  <c r="G182" i="206"/>
  <c r="P181" i="206"/>
  <c r="O181" i="206"/>
  <c r="N181" i="206"/>
  <c r="M181" i="206"/>
  <c r="L181" i="206"/>
  <c r="K181" i="206"/>
  <c r="J181" i="206"/>
  <c r="I181" i="206"/>
  <c r="H181" i="206"/>
  <c r="G181" i="206"/>
  <c r="F181" i="206"/>
  <c r="E181" i="206"/>
  <c r="P180" i="206"/>
  <c r="O180" i="206"/>
  <c r="N180" i="206"/>
  <c r="M180" i="206"/>
  <c r="L180" i="206"/>
  <c r="K180" i="206"/>
  <c r="J180" i="206"/>
  <c r="I180" i="206"/>
  <c r="H180" i="206"/>
  <c r="G180" i="206"/>
  <c r="F180" i="206"/>
  <c r="E180" i="206"/>
  <c r="N179" i="206"/>
  <c r="M179" i="206"/>
  <c r="L179" i="206"/>
  <c r="K179" i="206"/>
  <c r="I179" i="206"/>
  <c r="H179" i="206"/>
  <c r="G179" i="206"/>
  <c r="F179" i="206"/>
  <c r="P178" i="206"/>
  <c r="O178" i="206"/>
  <c r="N178" i="206"/>
  <c r="M178" i="206"/>
  <c r="L178" i="206"/>
  <c r="K178" i="206"/>
  <c r="J178" i="206"/>
  <c r="I178" i="206"/>
  <c r="H178" i="206"/>
  <c r="G178" i="206"/>
  <c r="F178" i="206"/>
  <c r="E178" i="206"/>
  <c r="P177" i="206"/>
  <c r="O177" i="206"/>
  <c r="N177" i="206"/>
  <c r="M177" i="206"/>
  <c r="L177" i="206"/>
  <c r="K177" i="206"/>
  <c r="J177" i="206"/>
  <c r="I177" i="206"/>
  <c r="H177" i="206"/>
  <c r="G177" i="206"/>
  <c r="F177" i="206"/>
  <c r="E177" i="206"/>
  <c r="N176" i="206"/>
  <c r="M176" i="206"/>
  <c r="L176" i="206"/>
  <c r="K176" i="206"/>
  <c r="I176" i="206"/>
  <c r="H176" i="206"/>
  <c r="G176" i="206"/>
  <c r="F176" i="206"/>
  <c r="P175" i="206"/>
  <c r="O175" i="206"/>
  <c r="N175" i="206"/>
  <c r="M175" i="206"/>
  <c r="L175" i="206"/>
  <c r="K175" i="206"/>
  <c r="J175" i="206"/>
  <c r="I175" i="206"/>
  <c r="H175" i="206"/>
  <c r="G175" i="206"/>
  <c r="F175" i="206"/>
  <c r="E175" i="206"/>
  <c r="P174" i="206"/>
  <c r="O174" i="206"/>
  <c r="N174" i="206"/>
  <c r="M174" i="206"/>
  <c r="L174" i="206"/>
  <c r="K174" i="206"/>
  <c r="J174" i="206"/>
  <c r="I174" i="206"/>
  <c r="H174" i="206"/>
  <c r="G174" i="206"/>
  <c r="F174" i="206"/>
  <c r="E174" i="206"/>
  <c r="P173" i="206"/>
  <c r="O173" i="206"/>
  <c r="N173" i="206"/>
  <c r="M173" i="206"/>
  <c r="L173" i="206"/>
  <c r="K173" i="206"/>
  <c r="J173" i="206"/>
  <c r="I173" i="206"/>
  <c r="H173" i="206"/>
  <c r="G173" i="206"/>
  <c r="F173" i="206"/>
  <c r="E173" i="206"/>
  <c r="N172" i="206"/>
  <c r="M172" i="206"/>
  <c r="L172" i="206"/>
  <c r="K172" i="206"/>
  <c r="I172" i="206"/>
  <c r="H172" i="206"/>
  <c r="G172" i="206"/>
  <c r="F172" i="206"/>
  <c r="P171" i="206"/>
  <c r="O171" i="206"/>
  <c r="N171" i="206"/>
  <c r="M171" i="206"/>
  <c r="L171" i="206"/>
  <c r="K171" i="206"/>
  <c r="J171" i="206"/>
  <c r="I171" i="206"/>
  <c r="H171" i="206"/>
  <c r="G171" i="206"/>
  <c r="F171" i="206"/>
  <c r="E171" i="206"/>
  <c r="P170" i="206"/>
  <c r="O170" i="206"/>
  <c r="N170" i="206"/>
  <c r="M170" i="206"/>
  <c r="L170" i="206"/>
  <c r="K170" i="206"/>
  <c r="J170" i="206"/>
  <c r="I170" i="206"/>
  <c r="H170" i="206"/>
  <c r="G170" i="206"/>
  <c r="F170" i="206"/>
  <c r="E170" i="206"/>
  <c r="P169" i="206"/>
  <c r="O169" i="206"/>
  <c r="N169" i="206"/>
  <c r="M169" i="206"/>
  <c r="L169" i="206"/>
  <c r="K169" i="206"/>
  <c r="J169" i="206"/>
  <c r="I169" i="206"/>
  <c r="H169" i="206"/>
  <c r="G169" i="206"/>
  <c r="F169" i="206"/>
  <c r="E169" i="206"/>
  <c r="N168" i="206"/>
  <c r="M168" i="206"/>
  <c r="L168" i="206"/>
  <c r="K168" i="206"/>
  <c r="I168" i="206"/>
  <c r="H168" i="206"/>
  <c r="G168" i="206"/>
  <c r="F168" i="206"/>
  <c r="N166" i="206"/>
  <c r="M166" i="206"/>
  <c r="L166" i="206"/>
  <c r="K166" i="206"/>
  <c r="I166" i="206"/>
  <c r="H166" i="206"/>
  <c r="G166" i="206"/>
  <c r="F166" i="206"/>
  <c r="N165" i="206"/>
  <c r="M165" i="206"/>
  <c r="L165" i="206"/>
  <c r="K165" i="206"/>
  <c r="I165" i="206"/>
  <c r="H165" i="206"/>
  <c r="G165" i="206"/>
  <c r="F165" i="206"/>
  <c r="N163" i="206"/>
  <c r="M163" i="206"/>
  <c r="L163" i="206"/>
  <c r="K163" i="206"/>
  <c r="I163" i="206"/>
  <c r="H163" i="206"/>
  <c r="G163" i="206"/>
  <c r="F163" i="206"/>
  <c r="N162" i="206"/>
  <c r="M162" i="206"/>
  <c r="L162" i="206"/>
  <c r="K162" i="206"/>
  <c r="I162" i="206"/>
  <c r="H162" i="206"/>
  <c r="G162" i="206"/>
  <c r="F162" i="206"/>
  <c r="N160" i="206"/>
  <c r="M160" i="206"/>
  <c r="L160" i="206"/>
  <c r="K160" i="206"/>
  <c r="I160" i="206"/>
  <c r="H160" i="206"/>
  <c r="G160" i="206"/>
  <c r="F160" i="206"/>
  <c r="N159" i="206"/>
  <c r="M159" i="206"/>
  <c r="L159" i="206"/>
  <c r="K159" i="206"/>
  <c r="I159" i="206"/>
  <c r="G159" i="206"/>
  <c r="F159" i="206"/>
  <c r="N157" i="206"/>
  <c r="M157" i="206"/>
  <c r="L157" i="206"/>
  <c r="K157" i="206"/>
  <c r="I157" i="206"/>
  <c r="F157" i="206"/>
  <c r="M156" i="206"/>
  <c r="L156" i="206"/>
  <c r="K156" i="206"/>
  <c r="I156" i="206"/>
  <c r="H156" i="206"/>
  <c r="G156" i="206"/>
  <c r="N154" i="206"/>
  <c r="M154" i="206"/>
  <c r="L154" i="206"/>
  <c r="K154" i="206"/>
  <c r="I154" i="206"/>
  <c r="H154" i="206"/>
  <c r="G154" i="206"/>
  <c r="F154" i="206"/>
  <c r="N153" i="206"/>
  <c r="M153" i="206"/>
  <c r="L153" i="206"/>
  <c r="K153" i="206"/>
  <c r="I153" i="206"/>
  <c r="H153" i="206"/>
  <c r="G153" i="206"/>
  <c r="N152" i="206"/>
  <c r="M152" i="206"/>
  <c r="L152" i="206"/>
  <c r="K152" i="206"/>
  <c r="I152" i="206"/>
  <c r="H152" i="206"/>
  <c r="G152" i="206"/>
  <c r="F152" i="206"/>
  <c r="N151" i="206"/>
  <c r="M151" i="206"/>
  <c r="L151" i="206"/>
  <c r="K151" i="206"/>
  <c r="I151" i="206"/>
  <c r="H151" i="206"/>
  <c r="G151" i="206"/>
  <c r="F151" i="206"/>
  <c r="N150" i="206"/>
  <c r="M150" i="206"/>
  <c r="L150" i="206"/>
  <c r="K150" i="206"/>
  <c r="I150" i="206"/>
  <c r="H150" i="206"/>
  <c r="G150" i="206"/>
  <c r="F150" i="206"/>
  <c r="N149" i="206"/>
  <c r="M149" i="206"/>
  <c r="L149" i="206"/>
  <c r="K149" i="206"/>
  <c r="I149" i="206"/>
  <c r="H149" i="206"/>
  <c r="G149" i="206"/>
  <c r="F149" i="206"/>
  <c r="N148" i="206"/>
  <c r="M148" i="206"/>
  <c r="L148" i="206"/>
  <c r="K148" i="206"/>
  <c r="I148" i="206"/>
  <c r="H148" i="206"/>
  <c r="G148" i="206"/>
  <c r="F148" i="206"/>
  <c r="N147" i="206"/>
  <c r="M147" i="206"/>
  <c r="L147" i="206"/>
  <c r="K147" i="206"/>
  <c r="I147" i="206"/>
  <c r="H147" i="206"/>
  <c r="G147" i="206"/>
  <c r="O144" i="206"/>
  <c r="N144" i="206"/>
  <c r="M144" i="206"/>
  <c r="L144" i="206"/>
  <c r="K144" i="206"/>
  <c r="I144" i="206"/>
  <c r="H144" i="206"/>
  <c r="G144" i="206"/>
  <c r="F144" i="206"/>
  <c r="N143" i="206"/>
  <c r="M143" i="206"/>
  <c r="L143" i="206"/>
  <c r="K143" i="206"/>
  <c r="I143" i="206"/>
  <c r="H143" i="206"/>
  <c r="G143" i="206"/>
  <c r="F143" i="206"/>
  <c r="N142" i="206"/>
  <c r="M142" i="206"/>
  <c r="L142" i="206"/>
  <c r="K142" i="206"/>
  <c r="I142" i="206"/>
  <c r="H142" i="206"/>
  <c r="G142" i="206"/>
  <c r="F142" i="206"/>
  <c r="N136" i="206"/>
  <c r="M136" i="206"/>
  <c r="L136" i="206"/>
  <c r="I136" i="206"/>
  <c r="H136" i="206"/>
  <c r="G136" i="206"/>
  <c r="F136" i="206"/>
  <c r="N134" i="206"/>
  <c r="M134" i="206"/>
  <c r="L134" i="206"/>
  <c r="K134" i="206"/>
  <c r="I134" i="206"/>
  <c r="H134" i="206"/>
  <c r="G134" i="206"/>
  <c r="F134" i="206"/>
  <c r="N132" i="206"/>
  <c r="M132" i="206"/>
  <c r="L132" i="206"/>
  <c r="I132" i="206"/>
  <c r="H132" i="206"/>
  <c r="G132" i="206"/>
  <c r="F132" i="206"/>
  <c r="N128" i="206"/>
  <c r="M128" i="206"/>
  <c r="L128" i="206"/>
  <c r="K128" i="206"/>
  <c r="I128" i="206"/>
  <c r="H128" i="206"/>
  <c r="G128" i="206"/>
  <c r="F128" i="206"/>
  <c r="N126" i="206"/>
  <c r="M126" i="206"/>
  <c r="L126" i="206"/>
  <c r="K126" i="206"/>
  <c r="I126" i="206"/>
  <c r="H126" i="206"/>
  <c r="G126" i="206"/>
  <c r="F126" i="206"/>
  <c r="N124" i="206"/>
  <c r="M124" i="206"/>
  <c r="L124" i="206"/>
  <c r="K124" i="206"/>
  <c r="I124" i="206"/>
  <c r="H124" i="206"/>
  <c r="G124" i="206"/>
  <c r="F124" i="206"/>
  <c r="N123" i="206"/>
  <c r="M123" i="206"/>
  <c r="L123" i="206"/>
  <c r="K123" i="206"/>
  <c r="I123" i="206"/>
  <c r="H123" i="206"/>
  <c r="G123" i="206"/>
  <c r="F123" i="206"/>
  <c r="N121" i="206"/>
  <c r="M121" i="206"/>
  <c r="L121" i="206"/>
  <c r="K121" i="206"/>
  <c r="I121" i="206"/>
  <c r="H121" i="206"/>
  <c r="G121" i="206"/>
  <c r="F121" i="206"/>
  <c r="N119" i="206"/>
  <c r="M119" i="206"/>
  <c r="L119" i="206"/>
  <c r="K119" i="206"/>
  <c r="I119" i="206"/>
  <c r="H119" i="206"/>
  <c r="G119" i="206"/>
  <c r="N117" i="206"/>
  <c r="M117" i="206"/>
  <c r="L117" i="206"/>
  <c r="I117" i="206"/>
  <c r="H117" i="206"/>
  <c r="G117" i="206"/>
  <c r="N116" i="206"/>
  <c r="M116" i="206"/>
  <c r="L116" i="206"/>
  <c r="K116" i="206"/>
  <c r="I116" i="206"/>
  <c r="H116" i="206"/>
  <c r="G116" i="206"/>
  <c r="N115" i="206"/>
  <c r="M115" i="206"/>
  <c r="L115" i="206"/>
  <c r="I115" i="206"/>
  <c r="H115" i="206"/>
  <c r="G115" i="206"/>
  <c r="N114" i="206"/>
  <c r="M114" i="206"/>
  <c r="L114" i="206"/>
  <c r="K114" i="206"/>
  <c r="I114" i="206"/>
  <c r="H114" i="206"/>
  <c r="G114" i="206"/>
  <c r="N113" i="206"/>
  <c r="M113" i="206"/>
  <c r="L113" i="206"/>
  <c r="I113" i="206"/>
  <c r="H113" i="206"/>
  <c r="G113" i="206"/>
  <c r="N111" i="206"/>
  <c r="M111" i="206"/>
  <c r="L111" i="206"/>
  <c r="K111" i="206"/>
  <c r="I111" i="206"/>
  <c r="H111" i="206"/>
  <c r="G111" i="206"/>
  <c r="F111" i="206"/>
  <c r="N110" i="206"/>
  <c r="M110" i="206"/>
  <c r="L110" i="206"/>
  <c r="K110" i="206"/>
  <c r="I110" i="206"/>
  <c r="H110" i="206"/>
  <c r="G110" i="206"/>
  <c r="F110" i="206"/>
  <c r="N100" i="206"/>
  <c r="M100" i="206"/>
  <c r="L100" i="206"/>
  <c r="I100" i="206"/>
  <c r="H100" i="206"/>
  <c r="G100" i="206"/>
  <c r="F100" i="206"/>
  <c r="N98" i="206"/>
  <c r="M98" i="206"/>
  <c r="L98" i="206"/>
  <c r="K98" i="206"/>
  <c r="I98" i="206"/>
  <c r="H98" i="206"/>
  <c r="G98" i="206"/>
  <c r="F98" i="206"/>
  <c r="N94" i="206"/>
  <c r="M94" i="206"/>
  <c r="L94" i="206"/>
  <c r="K94" i="206"/>
  <c r="I94" i="206"/>
  <c r="H94" i="206"/>
  <c r="G94" i="206"/>
  <c r="F94" i="206"/>
  <c r="N93" i="206"/>
  <c r="M93" i="206"/>
  <c r="L93" i="206"/>
  <c r="K93" i="206"/>
  <c r="I93" i="206"/>
  <c r="H93" i="206"/>
  <c r="G93" i="206"/>
  <c r="F93" i="206"/>
  <c r="N91" i="206"/>
  <c r="M91" i="206"/>
  <c r="L91" i="206"/>
  <c r="K91" i="206"/>
  <c r="I91" i="206"/>
  <c r="H91" i="206"/>
  <c r="G91" i="206"/>
  <c r="F91" i="206"/>
  <c r="N90" i="206"/>
  <c r="M90" i="206"/>
  <c r="L90" i="206"/>
  <c r="I90" i="206"/>
  <c r="H90" i="206"/>
  <c r="G90" i="206"/>
  <c r="F90" i="206"/>
  <c r="N88" i="206"/>
  <c r="M88" i="206"/>
  <c r="L88" i="206"/>
  <c r="K88" i="206"/>
  <c r="I88" i="206"/>
  <c r="H88" i="206"/>
  <c r="G88" i="206"/>
  <c r="F88" i="206"/>
  <c r="N87" i="206"/>
  <c r="M87" i="206"/>
  <c r="L87" i="206"/>
  <c r="K87" i="206"/>
  <c r="I87" i="206"/>
  <c r="H87" i="206"/>
  <c r="G87" i="206"/>
  <c r="F87" i="206"/>
  <c r="N85" i="206"/>
  <c r="M85" i="206"/>
  <c r="L85" i="206"/>
  <c r="K85" i="206"/>
  <c r="I85" i="206"/>
  <c r="H85" i="206"/>
  <c r="G85" i="206"/>
  <c r="F85" i="206"/>
  <c r="N84" i="206"/>
  <c r="M84" i="206"/>
  <c r="L84" i="206"/>
  <c r="I84" i="206"/>
  <c r="H84" i="206"/>
  <c r="G84" i="206"/>
  <c r="F84" i="206"/>
  <c r="N82" i="206"/>
  <c r="M82" i="206"/>
  <c r="L82" i="206"/>
  <c r="K82" i="206"/>
  <c r="I82" i="206"/>
  <c r="H82" i="206"/>
  <c r="G82" i="206"/>
  <c r="N81" i="206"/>
  <c r="M81" i="206"/>
  <c r="L81" i="206"/>
  <c r="K81" i="206"/>
  <c r="I81" i="206"/>
  <c r="H81" i="206"/>
  <c r="G81" i="206"/>
  <c r="F81" i="206"/>
  <c r="N79" i="206"/>
  <c r="M79" i="206"/>
  <c r="L79" i="206"/>
  <c r="K79" i="206"/>
  <c r="I79" i="206"/>
  <c r="H79" i="206"/>
  <c r="G79" i="206"/>
  <c r="F79" i="206"/>
  <c r="N78" i="206"/>
  <c r="M78" i="206"/>
  <c r="L78" i="206"/>
  <c r="K78" i="206"/>
  <c r="I78" i="206"/>
  <c r="H78" i="206"/>
  <c r="G78" i="206"/>
  <c r="F78" i="206"/>
  <c r="P77" i="206"/>
  <c r="O77" i="206"/>
  <c r="N77" i="206"/>
  <c r="M77" i="206"/>
  <c r="L77" i="206"/>
  <c r="K77" i="206"/>
  <c r="J77" i="206"/>
  <c r="I77" i="206"/>
  <c r="H77" i="206"/>
  <c r="G77" i="206"/>
  <c r="F77" i="206"/>
  <c r="E77" i="206"/>
  <c r="N76" i="206"/>
  <c r="M76" i="206"/>
  <c r="L76" i="206"/>
  <c r="I76" i="206"/>
  <c r="H76" i="206"/>
  <c r="G76" i="206"/>
  <c r="F76" i="206"/>
  <c r="N75" i="206"/>
  <c r="M75" i="206"/>
  <c r="L75" i="206"/>
  <c r="I75" i="206"/>
  <c r="H75" i="206"/>
  <c r="G75" i="206"/>
  <c r="F75" i="206"/>
  <c r="N73" i="206"/>
  <c r="M73" i="206"/>
  <c r="L73" i="206"/>
  <c r="K73" i="206"/>
  <c r="I73" i="206"/>
  <c r="H73" i="206"/>
  <c r="G73" i="206"/>
  <c r="F73" i="206"/>
  <c r="N72" i="206"/>
  <c r="M72" i="206"/>
  <c r="L72" i="206"/>
  <c r="K72" i="206"/>
  <c r="I72" i="206"/>
  <c r="H72" i="206"/>
  <c r="G72" i="206"/>
  <c r="F72" i="206"/>
  <c r="N70" i="206"/>
  <c r="M70" i="206"/>
  <c r="L70" i="206"/>
  <c r="K70" i="206"/>
  <c r="I70" i="206"/>
  <c r="G70" i="206"/>
  <c r="N69" i="206"/>
  <c r="M69" i="206"/>
  <c r="L69" i="206"/>
  <c r="K69" i="206"/>
  <c r="I69" i="206"/>
  <c r="H69" i="206"/>
  <c r="G69" i="206"/>
  <c r="N68" i="206"/>
  <c r="M68" i="206"/>
  <c r="L68" i="206"/>
  <c r="K68" i="206"/>
  <c r="I68" i="206"/>
  <c r="G68" i="206"/>
  <c r="N66" i="206"/>
  <c r="M66" i="206"/>
  <c r="L66" i="206"/>
  <c r="K66" i="206"/>
  <c r="I66" i="206"/>
  <c r="H66" i="206"/>
  <c r="G66" i="206"/>
  <c r="F66" i="206"/>
  <c r="N65" i="206"/>
  <c r="M65" i="206"/>
  <c r="L65" i="206"/>
  <c r="K65" i="206"/>
  <c r="I65" i="206"/>
  <c r="O63" i="206"/>
  <c r="N63" i="206"/>
  <c r="M63" i="206"/>
  <c r="L63" i="206"/>
  <c r="K63" i="206"/>
  <c r="I63" i="206"/>
  <c r="H63" i="206"/>
  <c r="G63" i="206"/>
  <c r="N62" i="206"/>
  <c r="I62" i="206"/>
  <c r="H62" i="206"/>
  <c r="G62" i="206"/>
  <c r="F62" i="206"/>
  <c r="N60" i="206"/>
  <c r="M60" i="206"/>
  <c r="L60" i="206"/>
  <c r="K60" i="206"/>
  <c r="I60" i="206"/>
  <c r="G60" i="206"/>
  <c r="N59" i="206"/>
  <c r="M59" i="206"/>
  <c r="L59" i="206"/>
  <c r="K59" i="206"/>
  <c r="I59" i="206"/>
  <c r="H59" i="206"/>
  <c r="G59" i="206"/>
  <c r="F59" i="206"/>
  <c r="O57" i="206"/>
  <c r="N57" i="206"/>
  <c r="M57" i="206"/>
  <c r="L57" i="206"/>
  <c r="K57" i="206"/>
  <c r="I57" i="206"/>
  <c r="H57" i="206"/>
  <c r="G57" i="206"/>
  <c r="N56" i="206"/>
  <c r="M56" i="206"/>
  <c r="L56" i="206"/>
  <c r="K56" i="206"/>
  <c r="I56" i="206"/>
  <c r="H56" i="206"/>
  <c r="G56" i="206"/>
  <c r="F56" i="206"/>
  <c r="N54" i="206"/>
  <c r="M54" i="206"/>
  <c r="L54" i="206"/>
  <c r="I54" i="206"/>
  <c r="G54" i="206"/>
  <c r="N53" i="206"/>
  <c r="M53" i="206"/>
  <c r="L53" i="206"/>
  <c r="I53" i="206"/>
  <c r="G53" i="206"/>
  <c r="N52" i="206"/>
  <c r="K52" i="206"/>
  <c r="I52" i="206"/>
  <c r="F52" i="206"/>
  <c r="N50" i="206"/>
  <c r="I50" i="206"/>
  <c r="F50" i="206"/>
  <c r="N46" i="206"/>
  <c r="M46" i="206"/>
  <c r="L46" i="206"/>
  <c r="I46" i="206"/>
  <c r="H46" i="206"/>
  <c r="G46" i="206"/>
  <c r="N45" i="206"/>
  <c r="M45" i="206"/>
  <c r="L45" i="206"/>
  <c r="I45" i="206"/>
  <c r="H45" i="206"/>
  <c r="G45" i="206"/>
  <c r="F45" i="206"/>
  <c r="N44" i="206"/>
  <c r="M44" i="206"/>
  <c r="L44" i="206"/>
  <c r="K44" i="206"/>
  <c r="I44" i="206"/>
  <c r="H44" i="206"/>
  <c r="G44" i="206"/>
  <c r="F44" i="206"/>
  <c r="N41" i="206"/>
  <c r="M41" i="206"/>
  <c r="L41" i="206"/>
  <c r="K41" i="206"/>
  <c r="I41" i="206"/>
  <c r="H41" i="206"/>
  <c r="G41" i="206"/>
  <c r="F41" i="206"/>
  <c r="N39" i="206"/>
  <c r="M39" i="206"/>
  <c r="L39" i="206"/>
  <c r="I39" i="206"/>
  <c r="H39" i="206"/>
  <c r="G39" i="206"/>
  <c r="F39" i="206"/>
  <c r="N38" i="206"/>
  <c r="M38" i="206"/>
  <c r="L38" i="206"/>
  <c r="I38" i="206"/>
  <c r="H38" i="206"/>
  <c r="G38" i="206"/>
  <c r="F38" i="206"/>
  <c r="O35" i="206"/>
  <c r="N35" i="206"/>
  <c r="M35" i="206"/>
  <c r="L35" i="206"/>
  <c r="K35" i="206"/>
  <c r="I35" i="206"/>
  <c r="H35" i="206"/>
  <c r="G35" i="206"/>
  <c r="F35" i="206"/>
  <c r="P34" i="206"/>
  <c r="O34" i="206"/>
  <c r="N34" i="206"/>
  <c r="M34" i="206"/>
  <c r="L34" i="206"/>
  <c r="K34" i="206"/>
  <c r="J34" i="206"/>
  <c r="I34" i="206"/>
  <c r="H34" i="206"/>
  <c r="G34" i="206"/>
  <c r="F34" i="206"/>
  <c r="O33" i="206"/>
  <c r="N33" i="206"/>
  <c r="M33" i="206"/>
  <c r="K33" i="206"/>
  <c r="I33" i="206"/>
  <c r="H33" i="206"/>
  <c r="G33" i="206"/>
  <c r="F33" i="206"/>
  <c r="N31" i="206"/>
  <c r="M31" i="206"/>
  <c r="L31" i="206"/>
  <c r="K31" i="206"/>
  <c r="I31" i="206"/>
  <c r="H31" i="206"/>
  <c r="G31" i="206"/>
  <c r="F31" i="206"/>
  <c r="N30" i="206"/>
  <c r="M30" i="206"/>
  <c r="L30" i="206"/>
  <c r="K30" i="206"/>
  <c r="I30" i="206"/>
  <c r="H30" i="206"/>
  <c r="G30" i="206"/>
  <c r="F30" i="206"/>
  <c r="O28" i="206"/>
  <c r="N28" i="206"/>
  <c r="M28" i="206"/>
  <c r="L28" i="206"/>
  <c r="K28" i="206"/>
  <c r="I28" i="206"/>
  <c r="H28" i="206"/>
  <c r="G28" i="206"/>
  <c r="F28" i="206"/>
  <c r="N27" i="206"/>
  <c r="M27" i="206"/>
  <c r="L27" i="206"/>
  <c r="K27" i="206"/>
  <c r="I27" i="206"/>
  <c r="H27" i="206"/>
  <c r="G27" i="206"/>
  <c r="F27" i="206"/>
  <c r="N21" i="206"/>
  <c r="M21" i="206"/>
  <c r="L21" i="206"/>
  <c r="K21" i="206"/>
  <c r="I21" i="206"/>
  <c r="H21" i="206"/>
  <c r="G21" i="206"/>
  <c r="N20" i="206"/>
  <c r="M20" i="206"/>
  <c r="L20" i="206"/>
  <c r="K20" i="206"/>
  <c r="I20" i="206"/>
  <c r="H20" i="206"/>
  <c r="G20" i="206"/>
  <c r="F20" i="206"/>
  <c r="N19" i="206"/>
  <c r="M19" i="206"/>
  <c r="L19" i="206"/>
  <c r="K19" i="206"/>
  <c r="I19" i="206"/>
  <c r="H19" i="206"/>
  <c r="G19" i="206"/>
  <c r="F19" i="206"/>
  <c r="N18" i="206"/>
  <c r="M18" i="206"/>
  <c r="L18" i="206"/>
  <c r="I18" i="206"/>
  <c r="G18" i="206"/>
  <c r="F18" i="206"/>
  <c r="P431" i="206"/>
  <c r="O431" i="206"/>
  <c r="N431" i="206"/>
  <c r="M431" i="206"/>
  <c r="L431" i="206"/>
  <c r="K431" i="206"/>
  <c r="J431" i="206"/>
  <c r="H431" i="206"/>
  <c r="G431" i="206"/>
  <c r="F431" i="206"/>
  <c r="E431" i="206"/>
  <c r="O428" i="206"/>
  <c r="J428" i="206" s="1"/>
  <c r="J427" i="206" s="1"/>
  <c r="J426" i="206" s="1"/>
  <c r="E428" i="206"/>
  <c r="O427" i="206"/>
  <c r="O426" i="206" s="1"/>
  <c r="N427" i="206"/>
  <c r="M427" i="206"/>
  <c r="M426" i="206" s="1"/>
  <c r="L427" i="206"/>
  <c r="L426" i="206" s="1"/>
  <c r="K427" i="206"/>
  <c r="K426" i="206" s="1"/>
  <c r="I427" i="206"/>
  <c r="I426" i="206" s="1"/>
  <c r="H427" i="206"/>
  <c r="H426" i="206" s="1"/>
  <c r="G427" i="206"/>
  <c r="G426" i="206" s="1"/>
  <c r="F427" i="206"/>
  <c r="F426" i="206" s="1"/>
  <c r="N426" i="206"/>
  <c r="O425" i="206"/>
  <c r="O424" i="206" s="1"/>
  <c r="O423" i="206" s="1"/>
  <c r="J425" i="206"/>
  <c r="J424" i="206" s="1"/>
  <c r="J423" i="206" s="1"/>
  <c r="F425" i="206"/>
  <c r="E425" i="206" s="1"/>
  <c r="N424" i="206"/>
  <c r="N423" i="206" s="1"/>
  <c r="M424" i="206"/>
  <c r="M423" i="206" s="1"/>
  <c r="L424" i="206"/>
  <c r="L423" i="206" s="1"/>
  <c r="K424" i="206"/>
  <c r="I424" i="206"/>
  <c r="I423" i="206" s="1"/>
  <c r="H424" i="206"/>
  <c r="H423" i="206" s="1"/>
  <c r="G424" i="206"/>
  <c r="G423" i="206" s="1"/>
  <c r="K423" i="206"/>
  <c r="O401" i="206"/>
  <c r="J401" i="206" s="1"/>
  <c r="J400" i="206" s="1"/>
  <c r="E401" i="206"/>
  <c r="N400" i="206"/>
  <c r="M400" i="206"/>
  <c r="L400" i="206"/>
  <c r="K400" i="206"/>
  <c r="I400" i="206"/>
  <c r="H400" i="206"/>
  <c r="G400" i="206"/>
  <c r="F400" i="206"/>
  <c r="E400" i="206"/>
  <c r="O391" i="206"/>
  <c r="J391" i="206" s="1"/>
  <c r="J390" i="206" s="1"/>
  <c r="J389" i="206" s="1"/>
  <c r="E391" i="206"/>
  <c r="N390" i="206"/>
  <c r="M390" i="206"/>
  <c r="L390" i="206"/>
  <c r="L389" i="206" s="1"/>
  <c r="K390" i="206"/>
  <c r="K389" i="206" s="1"/>
  <c r="I390" i="206"/>
  <c r="I389" i="206" s="1"/>
  <c r="H390" i="206"/>
  <c r="H389" i="206" s="1"/>
  <c r="G390" i="206"/>
  <c r="G389" i="206" s="1"/>
  <c r="F390" i="206"/>
  <c r="N389" i="206"/>
  <c r="M389" i="206"/>
  <c r="F389" i="206"/>
  <c r="O371" i="206"/>
  <c r="J371" i="206" s="1"/>
  <c r="J370" i="206" s="1"/>
  <c r="E371" i="206"/>
  <c r="N370" i="206"/>
  <c r="M370" i="206"/>
  <c r="L370" i="206"/>
  <c r="K370" i="206"/>
  <c r="I370" i="206"/>
  <c r="H370" i="206"/>
  <c r="G370" i="206"/>
  <c r="F370" i="206"/>
  <c r="O352" i="206"/>
  <c r="J352" i="206" s="1"/>
  <c r="J351" i="206" s="1"/>
  <c r="J350" i="206" s="1"/>
  <c r="E352" i="206"/>
  <c r="E351" i="206" s="1"/>
  <c r="E350" i="206" s="1"/>
  <c r="N351" i="206"/>
  <c r="M351" i="206"/>
  <c r="L351" i="206"/>
  <c r="L350" i="206" s="1"/>
  <c r="K351" i="206"/>
  <c r="K350" i="206" s="1"/>
  <c r="I351" i="206"/>
  <c r="I350" i="206" s="1"/>
  <c r="H351" i="206"/>
  <c r="H350" i="206" s="1"/>
  <c r="G351" i="206"/>
  <c r="G350" i="206" s="1"/>
  <c r="F351" i="206"/>
  <c r="N350" i="206"/>
  <c r="M350" i="206"/>
  <c r="F350" i="206"/>
  <c r="O343" i="206"/>
  <c r="J343" i="206" s="1"/>
  <c r="E343" i="206"/>
  <c r="P343" i="206" s="1"/>
  <c r="O341" i="206"/>
  <c r="J341" i="206" s="1"/>
  <c r="J340" i="206" s="1"/>
  <c r="J339" i="206" s="1"/>
  <c r="E341" i="206"/>
  <c r="N340" i="206"/>
  <c r="N339" i="206" s="1"/>
  <c r="M340" i="206"/>
  <c r="M339" i="206" s="1"/>
  <c r="L340" i="206"/>
  <c r="L339" i="206" s="1"/>
  <c r="K340" i="206"/>
  <c r="K339" i="206" s="1"/>
  <c r="I340" i="206"/>
  <c r="H340" i="206"/>
  <c r="G340" i="206"/>
  <c r="G339" i="206" s="1"/>
  <c r="F340" i="206"/>
  <c r="F339" i="206" s="1"/>
  <c r="I339" i="206"/>
  <c r="H339" i="206"/>
  <c r="O338" i="206"/>
  <c r="J338" i="206" s="1"/>
  <c r="P338" i="206" s="1"/>
  <c r="E338" i="206"/>
  <c r="O318" i="206"/>
  <c r="J318" i="206" s="1"/>
  <c r="J317" i="206" s="1"/>
  <c r="J316" i="206" s="1"/>
  <c r="E318" i="206"/>
  <c r="P318" i="206" s="1"/>
  <c r="P317" i="206" s="1"/>
  <c r="P316" i="206" s="1"/>
  <c r="N317" i="206"/>
  <c r="M317" i="206"/>
  <c r="L317" i="206"/>
  <c r="L316" i="206" s="1"/>
  <c r="K317" i="206"/>
  <c r="K316" i="206" s="1"/>
  <c r="I317" i="206"/>
  <c r="I316" i="206" s="1"/>
  <c r="H317" i="206"/>
  <c r="G317" i="206"/>
  <c r="G316" i="206" s="1"/>
  <c r="F317" i="206"/>
  <c r="F316" i="206" s="1"/>
  <c r="N316" i="206"/>
  <c r="M316" i="206"/>
  <c r="H316" i="206"/>
  <c r="O315" i="206"/>
  <c r="J315" i="206" s="1"/>
  <c r="H315" i="206"/>
  <c r="G315" i="206"/>
  <c r="F315" i="206"/>
  <c r="E315" i="206" s="1"/>
  <c r="O283" i="206"/>
  <c r="J283" i="206" s="1"/>
  <c r="J282" i="206" s="1"/>
  <c r="E283" i="206"/>
  <c r="E282" i="206" s="1"/>
  <c r="N282" i="206"/>
  <c r="M282" i="206"/>
  <c r="L282" i="206"/>
  <c r="K282" i="206"/>
  <c r="I282" i="206"/>
  <c r="H282" i="206"/>
  <c r="G282" i="206"/>
  <c r="F282" i="206"/>
  <c r="O255" i="206"/>
  <c r="O254" i="206" s="1"/>
  <c r="O253" i="206" s="1"/>
  <c r="E255" i="206"/>
  <c r="N254" i="206"/>
  <c r="N253" i="206" s="1"/>
  <c r="M254" i="206"/>
  <c r="M253" i="206" s="1"/>
  <c r="L254" i="206"/>
  <c r="K254" i="206"/>
  <c r="I254" i="206"/>
  <c r="I253" i="206" s="1"/>
  <c r="H254" i="206"/>
  <c r="H253" i="206" s="1"/>
  <c r="G254" i="206"/>
  <c r="F254" i="206"/>
  <c r="F253" i="206" s="1"/>
  <c r="E254" i="206"/>
  <c r="E253" i="206" s="1"/>
  <c r="L253" i="206"/>
  <c r="K253" i="206"/>
  <c r="G253" i="206"/>
  <c r="O252" i="206"/>
  <c r="J252" i="206" s="1"/>
  <c r="J250" i="206" s="1"/>
  <c r="E252" i="206"/>
  <c r="O251" i="206"/>
  <c r="J251" i="206" s="1"/>
  <c r="E251" i="206"/>
  <c r="P251" i="206" s="1"/>
  <c r="N250" i="206"/>
  <c r="M250" i="206"/>
  <c r="L250" i="206"/>
  <c r="K250" i="206"/>
  <c r="I250" i="206"/>
  <c r="H250" i="206"/>
  <c r="G250" i="206"/>
  <c r="F250" i="206"/>
  <c r="K249" i="206"/>
  <c r="O249" i="206" s="1"/>
  <c r="E249" i="206"/>
  <c r="N248" i="206"/>
  <c r="N247" i="206" s="1"/>
  <c r="M248" i="206"/>
  <c r="M247" i="206" s="1"/>
  <c r="M246" i="206" s="1"/>
  <c r="L248" i="206"/>
  <c r="L247" i="206" s="1"/>
  <c r="I248" i="206"/>
  <c r="I247" i="206" s="1"/>
  <c r="H248" i="206"/>
  <c r="H247" i="206" s="1"/>
  <c r="G248" i="206"/>
  <c r="G247" i="206" s="1"/>
  <c r="F248" i="206"/>
  <c r="F247" i="206" s="1"/>
  <c r="E248" i="206"/>
  <c r="E247" i="206" s="1"/>
  <c r="O245" i="206"/>
  <c r="O244" i="206" s="1"/>
  <c r="O243" i="206" s="1"/>
  <c r="J245" i="206"/>
  <c r="J244" i="206" s="1"/>
  <c r="J243" i="206" s="1"/>
  <c r="E245" i="206"/>
  <c r="E244" i="206" s="1"/>
  <c r="E243" i="206" s="1"/>
  <c r="N244" i="206"/>
  <c r="N243" i="206" s="1"/>
  <c r="M244" i="206"/>
  <c r="M243" i="206" s="1"/>
  <c r="L244" i="206"/>
  <c r="L243" i="206" s="1"/>
  <c r="K244" i="206"/>
  <c r="K243" i="206" s="1"/>
  <c r="I244" i="206"/>
  <c r="I243" i="206" s="1"/>
  <c r="H244" i="206"/>
  <c r="G244" i="206"/>
  <c r="F244" i="206"/>
  <c r="F243" i="206" s="1"/>
  <c r="H243" i="206"/>
  <c r="G243" i="206"/>
  <c r="O219" i="206"/>
  <c r="O218" i="206" s="1"/>
  <c r="O217" i="206" s="1"/>
  <c r="E219" i="206"/>
  <c r="E218" i="206" s="1"/>
  <c r="E217" i="206" s="1"/>
  <c r="N218" i="206"/>
  <c r="N217" i="206" s="1"/>
  <c r="M218" i="206"/>
  <c r="M217" i="206" s="1"/>
  <c r="L218" i="206"/>
  <c r="L217" i="206" s="1"/>
  <c r="K218" i="206"/>
  <c r="K217" i="206" s="1"/>
  <c r="I218" i="206"/>
  <c r="I217" i="206" s="1"/>
  <c r="H218" i="206"/>
  <c r="H217" i="206" s="1"/>
  <c r="G218" i="206"/>
  <c r="F218" i="206"/>
  <c r="F217" i="206" s="1"/>
  <c r="G217" i="206"/>
  <c r="K216" i="206"/>
  <c r="O216" i="206" s="1"/>
  <c r="E216" i="206"/>
  <c r="O215" i="206"/>
  <c r="J215" i="206" s="1"/>
  <c r="E215" i="206"/>
  <c r="O197" i="206"/>
  <c r="O196" i="206" s="1"/>
  <c r="E197" i="206"/>
  <c r="N196" i="206"/>
  <c r="M196" i="206"/>
  <c r="L196" i="206"/>
  <c r="K196" i="206"/>
  <c r="I196" i="206"/>
  <c r="H196" i="206"/>
  <c r="G196" i="206"/>
  <c r="F196" i="206"/>
  <c r="O138" i="206"/>
  <c r="J138" i="206" s="1"/>
  <c r="E138" i="206"/>
  <c r="O137" i="206"/>
  <c r="J137" i="206" s="1"/>
  <c r="E137" i="206"/>
  <c r="O106" i="206"/>
  <c r="J106" i="206" s="1"/>
  <c r="E106" i="206"/>
  <c r="E105" i="206" s="1"/>
  <c r="E104" i="206" s="1"/>
  <c r="N105" i="206"/>
  <c r="M105" i="206"/>
  <c r="M104" i="206" s="1"/>
  <c r="L105" i="206"/>
  <c r="L104" i="206" s="1"/>
  <c r="K105" i="206"/>
  <c r="I105" i="206"/>
  <c r="I104" i="206" s="1"/>
  <c r="H105" i="206"/>
  <c r="H104" i="206" s="1"/>
  <c r="G105" i="206"/>
  <c r="G104" i="206" s="1"/>
  <c r="F105" i="206"/>
  <c r="N104" i="206"/>
  <c r="K104" i="206"/>
  <c r="F104" i="206"/>
  <c r="O103" i="206"/>
  <c r="O102" i="206" s="1"/>
  <c r="O101" i="206" s="1"/>
  <c r="E103" i="206"/>
  <c r="N102" i="206"/>
  <c r="N101" i="206" s="1"/>
  <c r="M102" i="206"/>
  <c r="M101" i="206" s="1"/>
  <c r="L102" i="206"/>
  <c r="K102" i="206"/>
  <c r="K101" i="206" s="1"/>
  <c r="I102" i="206"/>
  <c r="I101" i="206" s="1"/>
  <c r="H102" i="206"/>
  <c r="H101" i="206" s="1"/>
  <c r="G102" i="206"/>
  <c r="F102" i="206"/>
  <c r="E102" i="206"/>
  <c r="E101" i="206" s="1"/>
  <c r="L101" i="206"/>
  <c r="G101" i="206"/>
  <c r="F101" i="206"/>
  <c r="P428" i="207" l="1"/>
  <c r="P427" i="207" s="1"/>
  <c r="P426" i="207" s="1"/>
  <c r="J427" i="207"/>
  <c r="J426" i="207" s="1"/>
  <c r="P138" i="207"/>
  <c r="P251" i="207"/>
  <c r="M246" i="207"/>
  <c r="O254" i="207"/>
  <c r="O253" i="207" s="1"/>
  <c r="O317" i="207"/>
  <c r="O316" i="207" s="1"/>
  <c r="P338" i="207"/>
  <c r="P343" i="207"/>
  <c r="E400" i="207"/>
  <c r="E425" i="207"/>
  <c r="P197" i="207"/>
  <c r="P196" i="207" s="1"/>
  <c r="O244" i="207"/>
  <c r="O243" i="207" s="1"/>
  <c r="I246" i="207"/>
  <c r="P318" i="207"/>
  <c r="P317" i="207" s="1"/>
  <c r="P316" i="207" s="1"/>
  <c r="O340" i="207"/>
  <c r="O339" i="207" s="1"/>
  <c r="O400" i="207"/>
  <c r="J250" i="207"/>
  <c r="O424" i="207"/>
  <c r="O423" i="207" s="1"/>
  <c r="G246" i="207"/>
  <c r="J391" i="207"/>
  <c r="J390" i="207" s="1"/>
  <c r="J389" i="207" s="1"/>
  <c r="P215" i="206"/>
  <c r="O282" i="206"/>
  <c r="J103" i="206"/>
  <c r="J102" i="206" s="1"/>
  <c r="J101" i="206" s="1"/>
  <c r="J197" i="206"/>
  <c r="J196" i="206" s="1"/>
  <c r="J219" i="206"/>
  <c r="J218" i="206" s="1"/>
  <c r="J217" i="206" s="1"/>
  <c r="P315" i="206"/>
  <c r="P428" i="206"/>
  <c r="P427" i="206" s="1"/>
  <c r="P426" i="206" s="1"/>
  <c r="J255" i="206"/>
  <c r="J254" i="206" s="1"/>
  <c r="J253" i="206" s="1"/>
  <c r="E340" i="206"/>
  <c r="E339" i="206" s="1"/>
  <c r="O351" i="206"/>
  <c r="O350" i="206" s="1"/>
  <c r="P137" i="206"/>
  <c r="I246" i="206"/>
  <c r="N246" i="206"/>
  <c r="G246" i="206"/>
  <c r="O390" i="206"/>
  <c r="O389" i="206" s="1"/>
  <c r="O400" i="206"/>
  <c r="P103" i="206"/>
  <c r="P102" i="206" s="1"/>
  <c r="P101" i="206" s="1"/>
  <c r="K248" i="206"/>
  <c r="K247" i="206" s="1"/>
  <c r="K246" i="206" s="1"/>
  <c r="O317" i="206"/>
  <c r="O316" i="206" s="1"/>
  <c r="L246" i="206"/>
  <c r="P138" i="206"/>
  <c r="P341" i="206"/>
  <c r="P340" i="206" s="1"/>
  <c r="P339" i="206" s="1"/>
  <c r="O370" i="206"/>
  <c r="F246" i="206"/>
  <c r="H246" i="206"/>
  <c r="F424" i="206"/>
  <c r="F423" i="206" s="1"/>
  <c r="E427" i="206"/>
  <c r="E426" i="206" s="1"/>
  <c r="J441" i="206"/>
  <c r="O250" i="206"/>
  <c r="O340" i="206"/>
  <c r="O339" i="206" s="1"/>
  <c r="O105" i="206"/>
  <c r="O104" i="206" s="1"/>
  <c r="P219" i="206"/>
  <c r="P218" i="206" s="1"/>
  <c r="P217" i="206" s="1"/>
  <c r="E317" i="206"/>
  <c r="E316" i="206" s="1"/>
  <c r="C111" i="210"/>
  <c r="C111" i="209"/>
  <c r="C150" i="209"/>
  <c r="H150" i="209"/>
  <c r="J443" i="208"/>
  <c r="J440" i="208"/>
  <c r="Q221" i="208"/>
  <c r="P220" i="208"/>
  <c r="P429" i="208"/>
  <c r="P441" i="208" s="1"/>
  <c r="J105" i="207"/>
  <c r="J104" i="207" s="1"/>
  <c r="P106" i="207"/>
  <c r="P105" i="207" s="1"/>
  <c r="P104" i="207" s="1"/>
  <c r="J102" i="207"/>
  <c r="J101" i="207" s="1"/>
  <c r="P103" i="207"/>
  <c r="P102" i="207" s="1"/>
  <c r="P101" i="207" s="1"/>
  <c r="O102" i="207"/>
  <c r="O101" i="207" s="1"/>
  <c r="O249" i="207"/>
  <c r="K248" i="207"/>
  <c r="K247" i="207" s="1"/>
  <c r="K246" i="207" s="1"/>
  <c r="P255" i="207"/>
  <c r="P254" i="207" s="1"/>
  <c r="P253" i="207" s="1"/>
  <c r="E254" i="207"/>
  <c r="E253" i="207" s="1"/>
  <c r="P137" i="207"/>
  <c r="P216" i="207"/>
  <c r="P252" i="207"/>
  <c r="E250" i="207"/>
  <c r="E246" i="207" s="1"/>
  <c r="O282" i="207"/>
  <c r="E317" i="207"/>
  <c r="E316" i="207" s="1"/>
  <c r="P341" i="207"/>
  <c r="P340" i="207" s="1"/>
  <c r="P339" i="207" s="1"/>
  <c r="E340" i="207"/>
  <c r="E339" i="207" s="1"/>
  <c r="J282" i="207"/>
  <c r="P215" i="207"/>
  <c r="P219" i="207"/>
  <c r="P218" i="207" s="1"/>
  <c r="P217" i="207" s="1"/>
  <c r="J352" i="207"/>
  <c r="O351" i="207"/>
  <c r="O350" i="207" s="1"/>
  <c r="P245" i="207"/>
  <c r="P244" i="207" s="1"/>
  <c r="P243" i="207" s="1"/>
  <c r="J340" i="207"/>
  <c r="J339" i="207" s="1"/>
  <c r="J371" i="207"/>
  <c r="J370" i="207" s="1"/>
  <c r="P391" i="207"/>
  <c r="P390" i="207" s="1"/>
  <c r="P389" i="207" s="1"/>
  <c r="Q431" i="207"/>
  <c r="J105" i="206"/>
  <c r="J104" i="206" s="1"/>
  <c r="P106" i="206"/>
  <c r="P105" i="206" s="1"/>
  <c r="P104" i="206" s="1"/>
  <c r="J216" i="206"/>
  <c r="P216" i="206" s="1"/>
  <c r="P391" i="206"/>
  <c r="P390" i="206" s="1"/>
  <c r="P389" i="206" s="1"/>
  <c r="E390" i="206"/>
  <c r="E389" i="206" s="1"/>
  <c r="P252" i="206"/>
  <c r="P250" i="206" s="1"/>
  <c r="E250" i="206"/>
  <c r="E246" i="206" s="1"/>
  <c r="E424" i="206"/>
  <c r="E423" i="206" s="1"/>
  <c r="P425" i="206"/>
  <c r="P424" i="206" s="1"/>
  <c r="P423" i="206" s="1"/>
  <c r="E196" i="206"/>
  <c r="O248" i="206"/>
  <c r="O247" i="206" s="1"/>
  <c r="O246" i="206" s="1"/>
  <c r="J249" i="206"/>
  <c r="P352" i="206"/>
  <c r="P351" i="206" s="1"/>
  <c r="P350" i="206" s="1"/>
  <c r="P245" i="206"/>
  <c r="P244" i="206" s="1"/>
  <c r="P243" i="206" s="1"/>
  <c r="P283" i="206"/>
  <c r="P282" i="206" s="1"/>
  <c r="P371" i="206"/>
  <c r="P370" i="206" s="1"/>
  <c r="E370" i="206"/>
  <c r="P401" i="206"/>
  <c r="P400" i="206" s="1"/>
  <c r="Q431" i="206"/>
  <c r="N29" i="107"/>
  <c r="R29" i="107"/>
  <c r="P431" i="165"/>
  <c r="K18" i="165"/>
  <c r="I17" i="167"/>
  <c r="G151" i="188"/>
  <c r="J150" i="188"/>
  <c r="I150" i="188"/>
  <c r="H150" i="188"/>
  <c r="G150" i="188"/>
  <c r="D121" i="188"/>
  <c r="F103" i="188"/>
  <c r="E103" i="188"/>
  <c r="E98" i="188"/>
  <c r="E97" i="188"/>
  <c r="E95" i="188"/>
  <c r="F92" i="188"/>
  <c r="E92" i="188"/>
  <c r="D80" i="188"/>
  <c r="D59" i="188"/>
  <c r="D45" i="188"/>
  <c r="D44" i="188"/>
  <c r="D43" i="188"/>
  <c r="D21" i="188"/>
  <c r="D18" i="188"/>
  <c r="P371" i="207" l="1"/>
  <c r="P370" i="207" s="1"/>
  <c r="P250" i="207"/>
  <c r="P425" i="207"/>
  <c r="P424" i="207" s="1"/>
  <c r="P423" i="207" s="1"/>
  <c r="E424" i="207"/>
  <c r="E423" i="207" s="1"/>
  <c r="P197" i="206"/>
  <c r="P196" i="206" s="1"/>
  <c r="P255" i="206"/>
  <c r="P254" i="206" s="1"/>
  <c r="P253" i="206" s="1"/>
  <c r="K18" i="207"/>
  <c r="K18" i="206"/>
  <c r="G150" i="209"/>
  <c r="G151" i="209"/>
  <c r="Q429" i="208"/>
  <c r="P440" i="208"/>
  <c r="O248" i="207"/>
  <c r="O247" i="207" s="1"/>
  <c r="O246" i="207" s="1"/>
  <c r="J249" i="207"/>
  <c r="J351" i="207"/>
  <c r="J350" i="207" s="1"/>
  <c r="P352" i="207"/>
  <c r="P351" i="207" s="1"/>
  <c r="P350" i="207" s="1"/>
  <c r="J248" i="206"/>
  <c r="J247" i="206" s="1"/>
  <c r="J246" i="206" s="1"/>
  <c r="P249" i="206"/>
  <c r="P248" i="206" s="1"/>
  <c r="P247" i="206" s="1"/>
  <c r="P246" i="206" s="1"/>
  <c r="K388" i="165"/>
  <c r="F388" i="165"/>
  <c r="K375" i="165"/>
  <c r="F375" i="165"/>
  <c r="K376" i="165"/>
  <c r="J327" i="167" s="1"/>
  <c r="F376" i="165"/>
  <c r="N374" i="165"/>
  <c r="M374" i="165"/>
  <c r="L374" i="165"/>
  <c r="I374" i="165"/>
  <c r="H374" i="165"/>
  <c r="G374" i="165"/>
  <c r="K383" i="165"/>
  <c r="F383" i="165"/>
  <c r="G329" i="167"/>
  <c r="M328" i="167"/>
  <c r="F379" i="165"/>
  <c r="K226" i="165"/>
  <c r="F241" i="165"/>
  <c r="F231" i="165"/>
  <c r="F230" i="165"/>
  <c r="F227" i="165"/>
  <c r="K235" i="165"/>
  <c r="F235" i="165"/>
  <c r="F205" i="165"/>
  <c r="F204" i="165"/>
  <c r="F202" i="165"/>
  <c r="D61" i="170"/>
  <c r="D47" i="170"/>
  <c r="D28" i="170"/>
  <c r="D41" i="170"/>
  <c r="D39" i="170"/>
  <c r="D20" i="170"/>
  <c r="H229" i="167"/>
  <c r="F267" i="165"/>
  <c r="F230" i="207" l="1"/>
  <c r="F230" i="206"/>
  <c r="L374" i="207"/>
  <c r="L374" i="206"/>
  <c r="F231" i="207"/>
  <c r="F231" i="206"/>
  <c r="G374" i="207"/>
  <c r="G374" i="206"/>
  <c r="M374" i="207"/>
  <c r="M374" i="206"/>
  <c r="F374" i="165"/>
  <c r="F375" i="207"/>
  <c r="F375" i="206"/>
  <c r="K383" i="207"/>
  <c r="K383" i="206"/>
  <c r="F267" i="207"/>
  <c r="F267" i="206"/>
  <c r="F202" i="207"/>
  <c r="F202" i="206"/>
  <c r="K235" i="207"/>
  <c r="K235" i="206"/>
  <c r="F241" i="207"/>
  <c r="F241" i="206"/>
  <c r="H374" i="207"/>
  <c r="H374" i="206"/>
  <c r="N374" i="207"/>
  <c r="N374" i="206"/>
  <c r="K375" i="207"/>
  <c r="K375" i="206"/>
  <c r="F388" i="207"/>
  <c r="F388" i="206"/>
  <c r="F205" i="207"/>
  <c r="F205" i="206"/>
  <c r="F379" i="207"/>
  <c r="F379" i="206"/>
  <c r="K376" i="207"/>
  <c r="K376" i="206"/>
  <c r="F235" i="207"/>
  <c r="F235" i="206"/>
  <c r="F204" i="207"/>
  <c r="F204" i="206"/>
  <c r="F227" i="207"/>
  <c r="F227" i="206"/>
  <c r="K226" i="207"/>
  <c r="K226" i="206"/>
  <c r="F383" i="207"/>
  <c r="F383" i="206"/>
  <c r="I374" i="207"/>
  <c r="I374" i="206"/>
  <c r="E376" i="165"/>
  <c r="F376" i="207"/>
  <c r="F376" i="206"/>
  <c r="H327" i="167"/>
  <c r="K388" i="207"/>
  <c r="K388" i="206"/>
  <c r="J248" i="207"/>
  <c r="J247" i="207" s="1"/>
  <c r="J246" i="207" s="1"/>
  <c r="P249" i="207"/>
  <c r="P248" i="207" s="1"/>
  <c r="P247" i="207" s="1"/>
  <c r="P246" i="207" s="1"/>
  <c r="K374" i="165"/>
  <c r="O376" i="165"/>
  <c r="F153" i="165"/>
  <c r="F374" i="207" l="1"/>
  <c r="F374" i="206"/>
  <c r="J376" i="165"/>
  <c r="O376" i="207"/>
  <c r="O376" i="206"/>
  <c r="F153" i="207"/>
  <c r="F153" i="206"/>
  <c r="K374" i="207"/>
  <c r="K374" i="206"/>
  <c r="E376" i="207"/>
  <c r="E376" i="206"/>
  <c r="J37" i="184"/>
  <c r="I37" i="184"/>
  <c r="H37" i="184"/>
  <c r="I40" i="184"/>
  <c r="K40" i="184" s="1"/>
  <c r="E193" i="165"/>
  <c r="H168" i="167"/>
  <c r="H165" i="167"/>
  <c r="H166" i="167"/>
  <c r="H163" i="167"/>
  <c r="F185" i="165"/>
  <c r="K182" i="165"/>
  <c r="F182" i="165"/>
  <c r="K184" i="165"/>
  <c r="H184" i="165"/>
  <c r="F156" i="165"/>
  <c r="K410" i="165"/>
  <c r="F349" i="165"/>
  <c r="F15" i="197"/>
  <c r="F19" i="197"/>
  <c r="F16" i="197"/>
  <c r="J321" i="167"/>
  <c r="I321" i="167"/>
  <c r="K366" i="165"/>
  <c r="K326" i="165"/>
  <c r="J117" i="184"/>
  <c r="I117" i="184" s="1"/>
  <c r="H101" i="184"/>
  <c r="L111" i="184"/>
  <c r="I111" i="184"/>
  <c r="K335" i="165"/>
  <c r="J110" i="184"/>
  <c r="J108" i="184"/>
  <c r="J294" i="167"/>
  <c r="I294" i="167"/>
  <c r="K334" i="165"/>
  <c r="J223" i="167"/>
  <c r="I223" i="167"/>
  <c r="J222" i="167"/>
  <c r="I222" i="167"/>
  <c r="K264" i="165"/>
  <c r="F281" i="165"/>
  <c r="G229" i="167"/>
  <c r="J228" i="167"/>
  <c r="H223" i="167"/>
  <c r="F264" i="165"/>
  <c r="I62" i="184"/>
  <c r="H55" i="184"/>
  <c r="I99" i="184"/>
  <c r="K99" i="184" s="1"/>
  <c r="I95" i="184"/>
  <c r="J268" i="167"/>
  <c r="I268" i="167"/>
  <c r="K62" i="184"/>
  <c r="K300" i="165"/>
  <c r="F303" i="165"/>
  <c r="F295" i="165"/>
  <c r="K115" i="165"/>
  <c r="K136" i="165"/>
  <c r="K113" i="165"/>
  <c r="J123" i="167"/>
  <c r="N125" i="165"/>
  <c r="M125" i="165"/>
  <c r="L125" i="165"/>
  <c r="K125" i="165"/>
  <c r="I125" i="165"/>
  <c r="H125" i="165"/>
  <c r="G125" i="165"/>
  <c r="F125" i="165"/>
  <c r="O126" i="165"/>
  <c r="E126" i="165"/>
  <c r="F114" i="165"/>
  <c r="F113" i="165"/>
  <c r="L62" i="165"/>
  <c r="M62" i="165"/>
  <c r="L52" i="165"/>
  <c r="M52" i="165"/>
  <c r="M50" i="165"/>
  <c r="L50" i="165"/>
  <c r="K100" i="165"/>
  <c r="J41" i="167"/>
  <c r="I41" i="167"/>
  <c r="H41" i="167"/>
  <c r="K39" i="165"/>
  <c r="K90" i="165"/>
  <c r="F65" i="165"/>
  <c r="J63" i="167"/>
  <c r="J22" i="184"/>
  <c r="K84" i="165"/>
  <c r="J17" i="167"/>
  <c r="J37" i="167"/>
  <c r="I37" i="167"/>
  <c r="K38" i="165"/>
  <c r="H48" i="167"/>
  <c r="H46" i="167"/>
  <c r="J47" i="167"/>
  <c r="I47" i="167"/>
  <c r="H54" i="167"/>
  <c r="G54" i="167" s="1"/>
  <c r="H37" i="167"/>
  <c r="H24" i="167"/>
  <c r="H28" i="167"/>
  <c r="F21" i="165"/>
  <c r="H431" i="165"/>
  <c r="M431" i="165"/>
  <c r="L431" i="165"/>
  <c r="C149" i="205"/>
  <c r="C148" i="205"/>
  <c r="C147" i="205"/>
  <c r="C146" i="205"/>
  <c r="C145" i="205"/>
  <c r="C144" i="205"/>
  <c r="C143" i="205"/>
  <c r="C142" i="205"/>
  <c r="F141" i="205"/>
  <c r="E141" i="205"/>
  <c r="D141" i="205"/>
  <c r="C141" i="205" s="1"/>
  <c r="C140" i="205"/>
  <c r="C139" i="205"/>
  <c r="C138" i="205"/>
  <c r="D137" i="205"/>
  <c r="C137" i="205" s="1"/>
  <c r="C136" i="205"/>
  <c r="C135" i="205"/>
  <c r="C134" i="205"/>
  <c r="C133" i="205"/>
  <c r="C132" i="205"/>
  <c r="C131" i="205"/>
  <c r="C130" i="205"/>
  <c r="C129" i="205"/>
  <c r="C128" i="205"/>
  <c r="F127" i="205"/>
  <c r="E127" i="205"/>
  <c r="C126" i="205"/>
  <c r="C125" i="205"/>
  <c r="C124" i="205"/>
  <c r="C123" i="205"/>
  <c r="D122" i="205"/>
  <c r="C122" i="205" s="1"/>
  <c r="C121" i="205"/>
  <c r="C120" i="205"/>
  <c r="F119" i="205"/>
  <c r="E119" i="205"/>
  <c r="F118" i="205"/>
  <c r="F112" i="205" s="1"/>
  <c r="E118" i="205"/>
  <c r="C117" i="205"/>
  <c r="C116" i="205"/>
  <c r="D115" i="205"/>
  <c r="C115" i="205"/>
  <c r="C114" i="205"/>
  <c r="D113" i="205"/>
  <c r="C113" i="205" s="1"/>
  <c r="E112" i="205"/>
  <c r="C110" i="205"/>
  <c r="F109" i="205"/>
  <c r="F111" i="205" s="1"/>
  <c r="E109" i="205"/>
  <c r="C109" i="205" s="1"/>
  <c r="D109" i="205"/>
  <c r="C108" i="205"/>
  <c r="C107" i="205"/>
  <c r="C106" i="205"/>
  <c r="F105" i="205"/>
  <c r="E105" i="205"/>
  <c r="D105" i="205"/>
  <c r="C105" i="205" s="1"/>
  <c r="F104" i="205"/>
  <c r="E104" i="205"/>
  <c r="D104" i="205"/>
  <c r="C104" i="205" s="1"/>
  <c r="C103" i="205"/>
  <c r="C102" i="205"/>
  <c r="D101" i="205"/>
  <c r="C101" i="205" s="1"/>
  <c r="F100" i="205"/>
  <c r="E100" i="205"/>
  <c r="D100" i="205"/>
  <c r="C100" i="205" s="1"/>
  <c r="F99" i="205"/>
  <c r="E99" i="205"/>
  <c r="E111" i="205" s="1"/>
  <c r="E150" i="205" s="1"/>
  <c r="I150" i="205" s="1"/>
  <c r="D99" i="205"/>
  <c r="C98" i="205"/>
  <c r="C97" i="205"/>
  <c r="C96" i="205"/>
  <c r="C95" i="205"/>
  <c r="E94" i="205"/>
  <c r="C94" i="205"/>
  <c r="E93" i="205"/>
  <c r="C93" i="205" s="1"/>
  <c r="D93" i="205"/>
  <c r="C92" i="205"/>
  <c r="C91" i="205"/>
  <c r="C90" i="205"/>
  <c r="C89" i="205"/>
  <c r="F88" i="205"/>
  <c r="E88" i="205"/>
  <c r="C88" i="205" s="1"/>
  <c r="D88" i="205"/>
  <c r="C87" i="205"/>
  <c r="C86" i="205"/>
  <c r="C85" i="205"/>
  <c r="D84" i="205"/>
  <c r="C84" i="205"/>
  <c r="C83" i="205"/>
  <c r="D82" i="205"/>
  <c r="C82" i="205"/>
  <c r="C81" i="205"/>
  <c r="C80" i="205"/>
  <c r="C79" i="205"/>
  <c r="D78" i="205"/>
  <c r="C78" i="205"/>
  <c r="D77" i="205"/>
  <c r="C77" i="205" s="1"/>
  <c r="C76" i="205"/>
  <c r="C75" i="205"/>
  <c r="C74" i="205"/>
  <c r="C73" i="205"/>
  <c r="C72" i="205"/>
  <c r="D71" i="205"/>
  <c r="C71" i="205" s="1"/>
  <c r="C70" i="205"/>
  <c r="C69" i="205"/>
  <c r="D68" i="205"/>
  <c r="C68" i="205" s="1"/>
  <c r="F66" i="205"/>
  <c r="E66" i="205"/>
  <c r="C65" i="205"/>
  <c r="C64" i="205"/>
  <c r="C63" i="205"/>
  <c r="E62" i="205"/>
  <c r="D62" i="205"/>
  <c r="C62" i="205" s="1"/>
  <c r="E61" i="205"/>
  <c r="C61" i="205"/>
  <c r="C60" i="205"/>
  <c r="C59" i="205"/>
  <c r="C58" i="205"/>
  <c r="D57" i="205"/>
  <c r="C57" i="205"/>
  <c r="C56" i="205"/>
  <c r="C55" i="205"/>
  <c r="D54" i="205"/>
  <c r="C54" i="205"/>
  <c r="C53" i="205"/>
  <c r="D52" i="205"/>
  <c r="C52" i="205"/>
  <c r="C51" i="205"/>
  <c r="C50" i="205"/>
  <c r="C49" i="205"/>
  <c r="C48" i="205"/>
  <c r="C47" i="205"/>
  <c r="C46" i="205"/>
  <c r="C45" i="205"/>
  <c r="C44" i="205"/>
  <c r="C43" i="205"/>
  <c r="C42" i="205"/>
  <c r="D41" i="205"/>
  <c r="C41" i="205"/>
  <c r="D40" i="205"/>
  <c r="C40" i="205" s="1"/>
  <c r="C39" i="205"/>
  <c r="C38" i="205"/>
  <c r="D37" i="205"/>
  <c r="C37" i="205"/>
  <c r="C36" i="205"/>
  <c r="D35" i="205"/>
  <c r="C35" i="205"/>
  <c r="C34" i="205"/>
  <c r="D33" i="205"/>
  <c r="C33" i="205"/>
  <c r="D32" i="205"/>
  <c r="C32" i="205" s="1"/>
  <c r="C31" i="205"/>
  <c r="D30" i="205"/>
  <c r="C30" i="205"/>
  <c r="C29" i="205"/>
  <c r="C28" i="205"/>
  <c r="D27" i="205"/>
  <c r="C27" i="205"/>
  <c r="D26" i="205"/>
  <c r="C26" i="205" s="1"/>
  <c r="C25" i="205"/>
  <c r="D24" i="205"/>
  <c r="C24" i="205" s="1"/>
  <c r="C23" i="205"/>
  <c r="C22" i="205"/>
  <c r="C21" i="205"/>
  <c r="C20" i="205"/>
  <c r="C19" i="205"/>
  <c r="C18" i="205"/>
  <c r="D17" i="205"/>
  <c r="C17" i="205" s="1"/>
  <c r="F15" i="205"/>
  <c r="E15" i="205"/>
  <c r="C133" i="188"/>
  <c r="D122" i="188"/>
  <c r="P425" i="204"/>
  <c r="O425" i="204"/>
  <c r="N425" i="204"/>
  <c r="M425" i="204"/>
  <c r="L425" i="204"/>
  <c r="J435" i="204" s="1"/>
  <c r="K425" i="204"/>
  <c r="J425" i="204"/>
  <c r="H425" i="204"/>
  <c r="G425" i="204"/>
  <c r="F425" i="204"/>
  <c r="O422" i="204"/>
  <c r="J422" i="204" s="1"/>
  <c r="J421" i="204" s="1"/>
  <c r="J420" i="204" s="1"/>
  <c r="E422" i="204"/>
  <c r="O421" i="204"/>
  <c r="N421" i="204"/>
  <c r="M421" i="204"/>
  <c r="M420" i="204" s="1"/>
  <c r="L421" i="204"/>
  <c r="K421" i="204"/>
  <c r="I421" i="204"/>
  <c r="I420" i="204" s="1"/>
  <c r="H421" i="204"/>
  <c r="H420" i="204" s="1"/>
  <c r="G421" i="204"/>
  <c r="F421" i="204"/>
  <c r="O420" i="204"/>
  <c r="N420" i="204"/>
  <c r="L420" i="204"/>
  <c r="L406" i="204" s="1"/>
  <c r="K420" i="204"/>
  <c r="G420" i="204"/>
  <c r="F420" i="204"/>
  <c r="O419" i="204"/>
  <c r="J419" i="204"/>
  <c r="F419" i="204"/>
  <c r="E419" i="204"/>
  <c r="E418" i="204" s="1"/>
  <c r="O418" i="204"/>
  <c r="N418" i="204"/>
  <c r="N417" i="204" s="1"/>
  <c r="N413" i="204" s="1"/>
  <c r="M418" i="204"/>
  <c r="L418" i="204"/>
  <c r="K418" i="204"/>
  <c r="J418" i="204"/>
  <c r="J417" i="204" s="1"/>
  <c r="I418" i="204"/>
  <c r="H418" i="204"/>
  <c r="G418" i="204"/>
  <c r="F418" i="204"/>
  <c r="F417" i="204" s="1"/>
  <c r="O417" i="204"/>
  <c r="M417" i="204"/>
  <c r="M413" i="204" s="1"/>
  <c r="M406" i="204" s="1"/>
  <c r="M405" i="204" s="1"/>
  <c r="L417" i="204"/>
  <c r="K417" i="204"/>
  <c r="I417" i="204"/>
  <c r="I413" i="204" s="1"/>
  <c r="I406" i="204" s="1"/>
  <c r="I405" i="204" s="1"/>
  <c r="H417" i="204"/>
  <c r="G417" i="204"/>
  <c r="E417" i="204"/>
  <c r="O416" i="204"/>
  <c r="J416" i="204"/>
  <c r="J415" i="204" s="1"/>
  <c r="F416" i="204"/>
  <c r="O415" i="204"/>
  <c r="N415" i="204"/>
  <c r="M415" i="204"/>
  <c r="L415" i="204"/>
  <c r="K415" i="204"/>
  <c r="I415" i="204"/>
  <c r="H415" i="204"/>
  <c r="G415" i="204"/>
  <c r="G413" i="204" s="1"/>
  <c r="O414" i="204"/>
  <c r="O413" i="204" s="1"/>
  <c r="J414" i="204"/>
  <c r="J413" i="204" s="1"/>
  <c r="E414" i="204"/>
  <c r="L413" i="204"/>
  <c r="K413" i="204"/>
  <c r="H413" i="204"/>
  <c r="O412" i="204"/>
  <c r="J412" i="204"/>
  <c r="J411" i="204" s="1"/>
  <c r="J410" i="204" s="1"/>
  <c r="E412" i="204"/>
  <c r="P412" i="204" s="1"/>
  <c r="P411" i="204" s="1"/>
  <c r="P410" i="204" s="1"/>
  <c r="O411" i="204"/>
  <c r="N411" i="204"/>
  <c r="M411" i="204"/>
  <c r="L411" i="204"/>
  <c r="K411" i="204"/>
  <c r="I411" i="204"/>
  <c r="H411" i="204"/>
  <c r="G411" i="204"/>
  <c r="F411" i="204"/>
  <c r="E411" i="204"/>
  <c r="O410" i="204"/>
  <c r="N410" i="204"/>
  <c r="M410" i="204"/>
  <c r="L410" i="204"/>
  <c r="K410" i="204"/>
  <c r="I410" i="204"/>
  <c r="H410" i="204"/>
  <c r="G410" i="204"/>
  <c r="F410" i="204"/>
  <c r="E410" i="204"/>
  <c r="O409" i="204"/>
  <c r="J409" i="204"/>
  <c r="P409" i="204" s="1"/>
  <c r="E409" i="204"/>
  <c r="O408" i="204"/>
  <c r="J408" i="204"/>
  <c r="E408" i="204"/>
  <c r="P408" i="204" s="1"/>
  <c r="P407" i="204" s="1"/>
  <c r="O407" i="204"/>
  <c r="N407" i="204"/>
  <c r="M407" i="204"/>
  <c r="L407" i="204"/>
  <c r="K407" i="204"/>
  <c r="I407" i="204"/>
  <c r="H407" i="204"/>
  <c r="G407" i="204"/>
  <c r="G406" i="204" s="1"/>
  <c r="G405" i="204" s="1"/>
  <c r="F407" i="204"/>
  <c r="E407" i="204"/>
  <c r="O406" i="204"/>
  <c r="O405" i="204" s="1"/>
  <c r="H406" i="204"/>
  <c r="H405" i="204" s="1"/>
  <c r="L405" i="204"/>
  <c r="O404" i="204"/>
  <c r="K404" i="204"/>
  <c r="E404" i="204"/>
  <c r="N403" i="204"/>
  <c r="M403" i="204"/>
  <c r="M400" i="204" s="1"/>
  <c r="M397" i="204" s="1"/>
  <c r="M396" i="204" s="1"/>
  <c r="L403" i="204"/>
  <c r="L400" i="204" s="1"/>
  <c r="L397" i="204" s="1"/>
  <c r="K403" i="204"/>
  <c r="I403" i="204"/>
  <c r="I400" i="204" s="1"/>
  <c r="I397" i="204" s="1"/>
  <c r="I396" i="204" s="1"/>
  <c r="H403" i="204"/>
  <c r="H400" i="204" s="1"/>
  <c r="G403" i="204"/>
  <c r="F403" i="204"/>
  <c r="E403" i="204"/>
  <c r="K402" i="204"/>
  <c r="O402" i="204" s="1"/>
  <c r="O401" i="204" s="1"/>
  <c r="J402" i="204"/>
  <c r="J401" i="204" s="1"/>
  <c r="F402" i="204"/>
  <c r="N401" i="204"/>
  <c r="M401" i="204"/>
  <c r="L401" i="204"/>
  <c r="K401" i="204"/>
  <c r="I401" i="204"/>
  <c r="H401" i="204"/>
  <c r="G401" i="204"/>
  <c r="N400" i="204"/>
  <c r="K400" i="204"/>
  <c r="G400" i="204"/>
  <c r="O399" i="204"/>
  <c r="J399" i="204"/>
  <c r="J398" i="204" s="1"/>
  <c r="E399" i="204"/>
  <c r="P399" i="204" s="1"/>
  <c r="P398" i="204" s="1"/>
  <c r="O398" i="204"/>
  <c r="N398" i="204"/>
  <c r="M398" i="204"/>
  <c r="L398" i="204"/>
  <c r="K398" i="204"/>
  <c r="K397" i="204" s="1"/>
  <c r="I398" i="204"/>
  <c r="H398" i="204"/>
  <c r="G398" i="204"/>
  <c r="F398" i="204"/>
  <c r="E398" i="204"/>
  <c r="H397" i="204"/>
  <c r="H396" i="204" s="1"/>
  <c r="L396" i="204"/>
  <c r="K396" i="204"/>
  <c r="O395" i="204"/>
  <c r="J395" i="204" s="1"/>
  <c r="J394" i="204" s="1"/>
  <c r="E395" i="204"/>
  <c r="O394" i="204"/>
  <c r="O387" i="204" s="1"/>
  <c r="O386" i="204" s="1"/>
  <c r="N394" i="204"/>
  <c r="M394" i="204"/>
  <c r="L394" i="204"/>
  <c r="K394" i="204"/>
  <c r="K387" i="204" s="1"/>
  <c r="K386" i="204" s="1"/>
  <c r="I394" i="204"/>
  <c r="H394" i="204"/>
  <c r="G394" i="204"/>
  <c r="G387" i="204" s="1"/>
  <c r="G386" i="204" s="1"/>
  <c r="F394" i="204"/>
  <c r="E394" i="204"/>
  <c r="P393" i="204"/>
  <c r="O393" i="204"/>
  <c r="L393" i="204"/>
  <c r="J393" i="204"/>
  <c r="J392" i="204" s="1"/>
  <c r="J391" i="204" s="1"/>
  <c r="P392" i="204"/>
  <c r="P391" i="204" s="1"/>
  <c r="O392" i="204"/>
  <c r="N392" i="204"/>
  <c r="M392" i="204"/>
  <c r="L392" i="204"/>
  <c r="L391" i="204" s="1"/>
  <c r="K392" i="204"/>
  <c r="I392" i="204"/>
  <c r="I391" i="204" s="1"/>
  <c r="I387" i="204" s="1"/>
  <c r="I386" i="204" s="1"/>
  <c r="H392" i="204"/>
  <c r="G392" i="204"/>
  <c r="F392" i="204"/>
  <c r="E392" i="204"/>
  <c r="E391" i="204" s="1"/>
  <c r="O391" i="204"/>
  <c r="N391" i="204"/>
  <c r="M391" i="204"/>
  <c r="K391" i="204"/>
  <c r="H391" i="204"/>
  <c r="G391" i="204"/>
  <c r="F391" i="204"/>
  <c r="P390" i="204"/>
  <c r="O390" i="204"/>
  <c r="J390" i="204"/>
  <c r="E390" i="204"/>
  <c r="P389" i="204"/>
  <c r="O389" i="204"/>
  <c r="J389" i="204"/>
  <c r="E389" i="204"/>
  <c r="P388" i="204"/>
  <c r="O388" i="204"/>
  <c r="N388" i="204"/>
  <c r="M388" i="204"/>
  <c r="L388" i="204"/>
  <c r="L387" i="204" s="1"/>
  <c r="L386" i="204" s="1"/>
  <c r="K388" i="204"/>
  <c r="J388" i="204"/>
  <c r="I388" i="204"/>
  <c r="H388" i="204"/>
  <c r="H387" i="204" s="1"/>
  <c r="H386" i="204" s="1"/>
  <c r="G388" i="204"/>
  <c r="F388" i="204"/>
  <c r="E388" i="204"/>
  <c r="N387" i="204"/>
  <c r="J387" i="204"/>
  <c r="J386" i="204" s="1"/>
  <c r="F387" i="204"/>
  <c r="N386" i="204"/>
  <c r="F386" i="204"/>
  <c r="O385" i="204"/>
  <c r="J385" i="204"/>
  <c r="J384" i="204" s="1"/>
  <c r="E385" i="204"/>
  <c r="O384" i="204"/>
  <c r="N384" i="204"/>
  <c r="M384" i="204"/>
  <c r="M383" i="204" s="1"/>
  <c r="L384" i="204"/>
  <c r="K384" i="204"/>
  <c r="I384" i="204"/>
  <c r="I383" i="204" s="1"/>
  <c r="H384" i="204"/>
  <c r="G384" i="204"/>
  <c r="F384" i="204"/>
  <c r="O383" i="204"/>
  <c r="N383" i="204"/>
  <c r="L383" i="204"/>
  <c r="K383" i="204"/>
  <c r="J383" i="204"/>
  <c r="H383" i="204"/>
  <c r="G383" i="204"/>
  <c r="F383" i="204"/>
  <c r="O382" i="204"/>
  <c r="J382" i="204"/>
  <c r="J381" i="204" s="1"/>
  <c r="J380" i="204" s="1"/>
  <c r="E382" i="204"/>
  <c r="O381" i="204"/>
  <c r="N381" i="204"/>
  <c r="N380" i="204" s="1"/>
  <c r="M381" i="204"/>
  <c r="M380" i="204" s="1"/>
  <c r="L381" i="204"/>
  <c r="K381" i="204"/>
  <c r="I381" i="204"/>
  <c r="H381" i="204"/>
  <c r="G381" i="204"/>
  <c r="F381" i="204"/>
  <c r="F380" i="204" s="1"/>
  <c r="E381" i="204"/>
  <c r="E380" i="204" s="1"/>
  <c r="O380" i="204"/>
  <c r="L380" i="204"/>
  <c r="K380" i="204"/>
  <c r="I380" i="204"/>
  <c r="H380" i="204"/>
  <c r="G380" i="204"/>
  <c r="O379" i="204"/>
  <c r="J379" i="204"/>
  <c r="E379" i="204"/>
  <c r="O378" i="204"/>
  <c r="N378" i="204"/>
  <c r="M378" i="204"/>
  <c r="M374" i="204" s="1"/>
  <c r="M371" i="204" s="1"/>
  <c r="L378" i="204"/>
  <c r="K378" i="204"/>
  <c r="J378" i="204"/>
  <c r="J374" i="204" s="1"/>
  <c r="J371" i="204" s="1"/>
  <c r="I378" i="204"/>
  <c r="I374" i="204" s="1"/>
  <c r="I371" i="204" s="1"/>
  <c r="H378" i="204"/>
  <c r="G378" i="204"/>
  <c r="F378" i="204"/>
  <c r="F374" i="204" s="1"/>
  <c r="F371" i="204" s="1"/>
  <c r="F368" i="204" s="1"/>
  <c r="F367" i="204" s="1"/>
  <c r="E378" i="204"/>
  <c r="O377" i="204"/>
  <c r="J377" i="204"/>
  <c r="E377" i="204"/>
  <c r="P377" i="204" s="1"/>
  <c r="O376" i="204"/>
  <c r="J376" i="204"/>
  <c r="E376" i="204"/>
  <c r="P376" i="204" s="1"/>
  <c r="O375" i="204"/>
  <c r="J375" i="204"/>
  <c r="F375" i="204"/>
  <c r="E375" i="204" s="1"/>
  <c r="O374" i="204"/>
  <c r="O371" i="204" s="1"/>
  <c r="N374" i="204"/>
  <c r="N371" i="204" s="1"/>
  <c r="L374" i="204"/>
  <c r="K374" i="204"/>
  <c r="H374" i="204"/>
  <c r="G374" i="204"/>
  <c r="O373" i="204"/>
  <c r="O372" i="204" s="1"/>
  <c r="J373" i="204"/>
  <c r="J372" i="204" s="1"/>
  <c r="E373" i="204"/>
  <c r="P373" i="204" s="1"/>
  <c r="P372" i="204" s="1"/>
  <c r="N372" i="204"/>
  <c r="M372" i="204"/>
  <c r="L372" i="204"/>
  <c r="K372" i="204"/>
  <c r="I372" i="204"/>
  <c r="H372" i="204"/>
  <c r="G372" i="204"/>
  <c r="F372" i="204"/>
  <c r="E372" i="204"/>
  <c r="L371" i="204"/>
  <c r="K371" i="204"/>
  <c r="H371" i="204"/>
  <c r="G371" i="204"/>
  <c r="O370" i="204"/>
  <c r="J370" i="204" s="1"/>
  <c r="P370" i="204" s="1"/>
  <c r="P369" i="204" s="1"/>
  <c r="E370" i="204"/>
  <c r="O369" i="204"/>
  <c r="N369" i="204"/>
  <c r="M369" i="204"/>
  <c r="L369" i="204"/>
  <c r="K369" i="204"/>
  <c r="I369" i="204"/>
  <c r="H369" i="204"/>
  <c r="G369" i="204"/>
  <c r="G368" i="204" s="1"/>
  <c r="G367" i="204" s="1"/>
  <c r="F369" i="204"/>
  <c r="E369" i="204"/>
  <c r="O368" i="204"/>
  <c r="O367" i="204" s="1"/>
  <c r="L368" i="204"/>
  <c r="H368" i="204"/>
  <c r="L367" i="204"/>
  <c r="H367" i="204"/>
  <c r="P366" i="204"/>
  <c r="P365" i="204" s="1"/>
  <c r="O366" i="204"/>
  <c r="J366" i="204" s="1"/>
  <c r="J365" i="204" s="1"/>
  <c r="E366" i="204"/>
  <c r="O365" i="204"/>
  <c r="N365" i="204"/>
  <c r="M365" i="204"/>
  <c r="L365" i="204"/>
  <c r="K365" i="204"/>
  <c r="I365" i="204"/>
  <c r="H365" i="204"/>
  <c r="G365" i="204"/>
  <c r="F365" i="204"/>
  <c r="E365" i="204"/>
  <c r="P364" i="204"/>
  <c r="O364" i="204"/>
  <c r="J364" i="204" s="1"/>
  <c r="J363" i="204" s="1"/>
  <c r="J362" i="204" s="1"/>
  <c r="E364" i="204"/>
  <c r="P363" i="204"/>
  <c r="P362" i="204" s="1"/>
  <c r="O363" i="204"/>
  <c r="N363" i="204"/>
  <c r="M363" i="204"/>
  <c r="L363" i="204"/>
  <c r="L362" i="204" s="1"/>
  <c r="K363" i="204"/>
  <c r="I363" i="204"/>
  <c r="H363" i="204"/>
  <c r="H362" i="204" s="1"/>
  <c r="G363" i="204"/>
  <c r="G362" i="204" s="1"/>
  <c r="F363" i="204"/>
  <c r="E363" i="204"/>
  <c r="O362" i="204"/>
  <c r="N362" i="204"/>
  <c r="M362" i="204"/>
  <c r="K362" i="204"/>
  <c r="I362" i="204"/>
  <c r="F362" i="204"/>
  <c r="E362" i="204"/>
  <c r="O361" i="204"/>
  <c r="E361" i="204"/>
  <c r="N360" i="204"/>
  <c r="M360" i="204"/>
  <c r="L360" i="204"/>
  <c r="K360" i="204"/>
  <c r="I360" i="204"/>
  <c r="H360" i="204"/>
  <c r="G360" i="204"/>
  <c r="F360" i="204"/>
  <c r="E360" i="204"/>
  <c r="P359" i="204"/>
  <c r="O359" i="204"/>
  <c r="J359" i="204" s="1"/>
  <c r="E359" i="204"/>
  <c r="P358" i="204"/>
  <c r="P357" i="204" s="1"/>
  <c r="O358" i="204"/>
  <c r="J358" i="204" s="1"/>
  <c r="J357" i="204" s="1"/>
  <c r="J354" i="204" s="1"/>
  <c r="E358" i="204"/>
  <c r="O357" i="204"/>
  <c r="O354" i="204" s="1"/>
  <c r="N357" i="204"/>
  <c r="M357" i="204"/>
  <c r="L357" i="204"/>
  <c r="K357" i="204"/>
  <c r="K354" i="204" s="1"/>
  <c r="I357" i="204"/>
  <c r="H357" i="204"/>
  <c r="G357" i="204"/>
  <c r="F357" i="204"/>
  <c r="E357" i="204"/>
  <c r="P356" i="204"/>
  <c r="O356" i="204"/>
  <c r="J356" i="204" s="1"/>
  <c r="J355" i="204" s="1"/>
  <c r="E356" i="204"/>
  <c r="P355" i="204"/>
  <c r="O355" i="204"/>
  <c r="N355" i="204"/>
  <c r="M355" i="204"/>
  <c r="L355" i="204"/>
  <c r="K355" i="204"/>
  <c r="I355" i="204"/>
  <c r="H355" i="204"/>
  <c r="G355" i="204"/>
  <c r="G354" i="204" s="1"/>
  <c r="G353" i="204" s="1"/>
  <c r="F355" i="204"/>
  <c r="E355" i="204"/>
  <c r="P354" i="204"/>
  <c r="N354" i="204"/>
  <c r="M354" i="204"/>
  <c r="L354" i="204"/>
  <c r="L353" i="204" s="1"/>
  <c r="I354" i="204"/>
  <c r="F354" i="204"/>
  <c r="E354" i="204"/>
  <c r="N353" i="204"/>
  <c r="M353" i="204"/>
  <c r="K353" i="204"/>
  <c r="K349" i="204" s="1"/>
  <c r="K348" i="204" s="1"/>
  <c r="I353" i="204"/>
  <c r="F353" i="204"/>
  <c r="E353" i="204"/>
  <c r="P352" i="204"/>
  <c r="O352" i="204"/>
  <c r="J352" i="204" s="1"/>
  <c r="E352" i="204"/>
  <c r="P351" i="204"/>
  <c r="P350" i="204" s="1"/>
  <c r="O351" i="204"/>
  <c r="J351" i="204" s="1"/>
  <c r="J350" i="204" s="1"/>
  <c r="E351" i="204"/>
  <c r="O350" i="204"/>
  <c r="N350" i="204"/>
  <c r="M350" i="204"/>
  <c r="L350" i="204"/>
  <c r="K350" i="204"/>
  <c r="I350" i="204"/>
  <c r="H350" i="204"/>
  <c r="G350" i="204"/>
  <c r="F350" i="204"/>
  <c r="E350" i="204"/>
  <c r="N349" i="204"/>
  <c r="M349" i="204"/>
  <c r="I349" i="204"/>
  <c r="G349" i="204"/>
  <c r="F349" i="204"/>
  <c r="F348" i="204" s="1"/>
  <c r="E349" i="204"/>
  <c r="N348" i="204"/>
  <c r="M348" i="204"/>
  <c r="I348" i="204"/>
  <c r="G348" i="204"/>
  <c r="E348" i="204"/>
  <c r="O347" i="204"/>
  <c r="O346" i="204" s="1"/>
  <c r="J347" i="204"/>
  <c r="E347" i="204"/>
  <c r="N346" i="204"/>
  <c r="N345" i="204" s="1"/>
  <c r="M346" i="204"/>
  <c r="L346" i="204"/>
  <c r="K346" i="204"/>
  <c r="I346" i="204"/>
  <c r="H346" i="204"/>
  <c r="G346" i="204"/>
  <c r="F346" i="204"/>
  <c r="F345" i="204" s="1"/>
  <c r="E346" i="204"/>
  <c r="O345" i="204"/>
  <c r="M345" i="204"/>
  <c r="L345" i="204"/>
  <c r="K345" i="204"/>
  <c r="I345" i="204"/>
  <c r="H345" i="204"/>
  <c r="G345" i="204"/>
  <c r="E345" i="204"/>
  <c r="O344" i="204"/>
  <c r="J344" i="204"/>
  <c r="P344" i="204" s="1"/>
  <c r="E344" i="204"/>
  <c r="O343" i="204"/>
  <c r="J343" i="204"/>
  <c r="P343" i="204" s="1"/>
  <c r="E343" i="204"/>
  <c r="O342" i="204"/>
  <c r="J342" i="204"/>
  <c r="P342" i="204" s="1"/>
  <c r="E342" i="204"/>
  <c r="O341" i="204"/>
  <c r="O340" i="204" s="1"/>
  <c r="O339" i="204" s="1"/>
  <c r="N341" i="204"/>
  <c r="M341" i="204"/>
  <c r="L341" i="204"/>
  <c r="K341" i="204"/>
  <c r="K340" i="204" s="1"/>
  <c r="K339" i="204" s="1"/>
  <c r="I341" i="204"/>
  <c r="H341" i="204"/>
  <c r="G341" i="204"/>
  <c r="G340" i="204" s="1"/>
  <c r="G339" i="204" s="1"/>
  <c r="F341" i="204"/>
  <c r="E341" i="204"/>
  <c r="M340" i="204"/>
  <c r="M339" i="204" s="1"/>
  <c r="L340" i="204"/>
  <c r="I340" i="204"/>
  <c r="I339" i="204" s="1"/>
  <c r="H340" i="204"/>
  <c r="E340" i="204"/>
  <c r="L339" i="204"/>
  <c r="H339" i="204"/>
  <c r="E339" i="204"/>
  <c r="O338" i="204"/>
  <c r="J338" i="204" s="1"/>
  <c r="E338" i="204"/>
  <c r="P336" i="204"/>
  <c r="O336" i="204"/>
  <c r="J336" i="204" s="1"/>
  <c r="J335" i="204" s="1"/>
  <c r="J334" i="204" s="1"/>
  <c r="E336" i="204"/>
  <c r="O335" i="204"/>
  <c r="O334" i="204" s="1"/>
  <c r="N335" i="204"/>
  <c r="M335" i="204"/>
  <c r="L335" i="204"/>
  <c r="L334" i="204" s="1"/>
  <c r="L325" i="204" s="1"/>
  <c r="K335" i="204"/>
  <c r="I335" i="204"/>
  <c r="H335" i="204"/>
  <c r="G335" i="204"/>
  <c r="G334" i="204" s="1"/>
  <c r="F335" i="204"/>
  <c r="N334" i="204"/>
  <c r="M334" i="204"/>
  <c r="K334" i="204"/>
  <c r="I334" i="204"/>
  <c r="I325" i="204" s="1"/>
  <c r="H334" i="204"/>
  <c r="H325" i="204" s="1"/>
  <c r="F334" i="204"/>
  <c r="O333" i="204"/>
  <c r="J333" i="204" s="1"/>
  <c r="E333" i="204"/>
  <c r="P333" i="204" s="1"/>
  <c r="O332" i="204"/>
  <c r="K332" i="204"/>
  <c r="J332" i="204"/>
  <c r="E332" i="204"/>
  <c r="P332" i="204" s="1"/>
  <c r="O331" i="204"/>
  <c r="J331" i="204"/>
  <c r="E331" i="204"/>
  <c r="O330" i="204"/>
  <c r="J330" i="204"/>
  <c r="E330" i="204"/>
  <c r="P330" i="204" s="1"/>
  <c r="K329" i="204"/>
  <c r="O329" i="204" s="1"/>
  <c r="J329" i="204"/>
  <c r="E329" i="204"/>
  <c r="O328" i="204"/>
  <c r="N328" i="204"/>
  <c r="M328" i="204"/>
  <c r="M326" i="204" s="1"/>
  <c r="M325" i="204" s="1"/>
  <c r="L328" i="204"/>
  <c r="K328" i="204"/>
  <c r="I328" i="204"/>
  <c r="I326" i="204" s="1"/>
  <c r="H328" i="204"/>
  <c r="G328" i="204"/>
  <c r="F328" i="204"/>
  <c r="O327" i="204"/>
  <c r="J327" i="204" s="1"/>
  <c r="E327" i="204"/>
  <c r="O326" i="204"/>
  <c r="N326" i="204"/>
  <c r="L326" i="204"/>
  <c r="K326" i="204"/>
  <c r="H326" i="204"/>
  <c r="G326" i="204"/>
  <c r="F326" i="204"/>
  <c r="F325" i="204" s="1"/>
  <c r="N325" i="204"/>
  <c r="G325" i="204"/>
  <c r="G315" i="204" s="1"/>
  <c r="G314" i="204" s="1"/>
  <c r="O324" i="204"/>
  <c r="E324" i="204"/>
  <c r="N323" i="204"/>
  <c r="N322" i="204" s="1"/>
  <c r="M323" i="204"/>
  <c r="M322" i="204" s="1"/>
  <c r="M315" i="204" s="1"/>
  <c r="L323" i="204"/>
  <c r="K323" i="204"/>
  <c r="I323" i="204"/>
  <c r="I322" i="204" s="1"/>
  <c r="I315" i="204" s="1"/>
  <c r="I314" i="204" s="1"/>
  <c r="H323" i="204"/>
  <c r="G323" i="204"/>
  <c r="F323" i="204"/>
  <c r="F322" i="204" s="1"/>
  <c r="E323" i="204"/>
  <c r="E322" i="204" s="1"/>
  <c r="L322" i="204"/>
  <c r="K322" i="204"/>
  <c r="H322" i="204"/>
  <c r="G322" i="204"/>
  <c r="O321" i="204"/>
  <c r="K321" i="204"/>
  <c r="E321" i="204"/>
  <c r="N320" i="204"/>
  <c r="M320" i="204"/>
  <c r="L320" i="204"/>
  <c r="K320" i="204"/>
  <c r="I320" i="204"/>
  <c r="H320" i="204"/>
  <c r="G320" i="204"/>
  <c r="F320" i="204"/>
  <c r="E320" i="204"/>
  <c r="O319" i="204"/>
  <c r="J319" i="204" s="1"/>
  <c r="P319" i="204" s="1"/>
  <c r="E319" i="204"/>
  <c r="P318" i="204"/>
  <c r="O318" i="204"/>
  <c r="J318" i="204" s="1"/>
  <c r="E318" i="204"/>
  <c r="O317" i="204"/>
  <c r="J317" i="204" s="1"/>
  <c r="J316" i="204" s="1"/>
  <c r="E317" i="204"/>
  <c r="O316" i="204"/>
  <c r="N316" i="204"/>
  <c r="M316" i="204"/>
  <c r="L316" i="204"/>
  <c r="K316" i="204"/>
  <c r="I316" i="204"/>
  <c r="H316" i="204"/>
  <c r="G316" i="204"/>
  <c r="F316" i="204"/>
  <c r="E316" i="204"/>
  <c r="L315" i="204"/>
  <c r="H315" i="204"/>
  <c r="H314" i="204" s="1"/>
  <c r="M314" i="204"/>
  <c r="O313" i="204"/>
  <c r="E313" i="204"/>
  <c r="N312" i="204"/>
  <c r="M312" i="204"/>
  <c r="L312" i="204"/>
  <c r="K312" i="204"/>
  <c r="K311" i="204" s="1"/>
  <c r="I312" i="204"/>
  <c r="H312" i="204"/>
  <c r="G312" i="204"/>
  <c r="F312" i="204"/>
  <c r="E312" i="204"/>
  <c r="N311" i="204"/>
  <c r="M311" i="204"/>
  <c r="L311" i="204"/>
  <c r="I311" i="204"/>
  <c r="H311" i="204"/>
  <c r="G311" i="204"/>
  <c r="F311" i="204"/>
  <c r="E311" i="204"/>
  <c r="O310" i="204"/>
  <c r="J310" i="204" s="1"/>
  <c r="H310" i="204"/>
  <c r="G310" i="204"/>
  <c r="G307" i="204" s="1"/>
  <c r="G306" i="204" s="1"/>
  <c r="F310" i="204"/>
  <c r="O309" i="204"/>
  <c r="J309" i="204"/>
  <c r="H309" i="204"/>
  <c r="E309" i="204"/>
  <c r="P309" i="204" s="1"/>
  <c r="O308" i="204"/>
  <c r="E308" i="204"/>
  <c r="N307" i="204"/>
  <c r="M307" i="204"/>
  <c r="M306" i="204" s="1"/>
  <c r="L307" i="204"/>
  <c r="K307" i="204"/>
  <c r="I307" i="204"/>
  <c r="I306" i="204" s="1"/>
  <c r="H307" i="204"/>
  <c r="H306" i="204" s="1"/>
  <c r="N306" i="204"/>
  <c r="L306" i="204"/>
  <c r="K306" i="204"/>
  <c r="O305" i="204"/>
  <c r="J305" i="204" s="1"/>
  <c r="E305" i="204"/>
  <c r="P303" i="204"/>
  <c r="J303" i="204"/>
  <c r="O302" i="204"/>
  <c r="N302" i="204"/>
  <c r="N299" i="204" s="1"/>
  <c r="M302" i="204"/>
  <c r="L302" i="204"/>
  <c r="K302" i="204"/>
  <c r="J302" i="204"/>
  <c r="I302" i="204"/>
  <c r="I299" i="204" s="1"/>
  <c r="H302" i="204"/>
  <c r="G302" i="204"/>
  <c r="F302" i="204"/>
  <c r="F299" i="204" s="1"/>
  <c r="O301" i="204"/>
  <c r="K301" i="204"/>
  <c r="J301" i="204"/>
  <c r="E301" i="204"/>
  <c r="K300" i="204"/>
  <c r="E300" i="204"/>
  <c r="M299" i="204"/>
  <c r="L299" i="204"/>
  <c r="H299" i="204"/>
  <c r="G299" i="204"/>
  <c r="O298" i="204"/>
  <c r="J298" i="204" s="1"/>
  <c r="K298" i="204"/>
  <c r="F298" i="204"/>
  <c r="E298" i="204"/>
  <c r="E297" i="204" s="1"/>
  <c r="E296" i="204" s="1"/>
  <c r="O297" i="204"/>
  <c r="O296" i="204" s="1"/>
  <c r="N297" i="204"/>
  <c r="M297" i="204"/>
  <c r="L297" i="204"/>
  <c r="K297" i="204"/>
  <c r="K296" i="204" s="1"/>
  <c r="I297" i="204"/>
  <c r="H297" i="204"/>
  <c r="G297" i="204"/>
  <c r="G296" i="204" s="1"/>
  <c r="G293" i="204" s="1"/>
  <c r="F297" i="204"/>
  <c r="N296" i="204"/>
  <c r="M296" i="204"/>
  <c r="L296" i="204"/>
  <c r="I296" i="204"/>
  <c r="H296" i="204"/>
  <c r="F296" i="204"/>
  <c r="K295" i="204"/>
  <c r="E295" i="204"/>
  <c r="N294" i="204"/>
  <c r="N293" i="204" s="1"/>
  <c r="N280" i="204" s="1"/>
  <c r="N279" i="204" s="1"/>
  <c r="M294" i="204"/>
  <c r="L294" i="204"/>
  <c r="I294" i="204"/>
  <c r="H294" i="204"/>
  <c r="G294" i="204"/>
  <c r="F294" i="204"/>
  <c r="F293" i="204" s="1"/>
  <c r="E294" i="204"/>
  <c r="L293" i="204"/>
  <c r="H293" i="204"/>
  <c r="P292" i="204"/>
  <c r="O292" i="204"/>
  <c r="J292" i="204" s="1"/>
  <c r="E292" i="204"/>
  <c r="O291" i="204"/>
  <c r="J291" i="204" s="1"/>
  <c r="P291" i="204" s="1"/>
  <c r="F291" i="204"/>
  <c r="E291" i="204"/>
  <c r="P290" i="204"/>
  <c r="O290" i="204"/>
  <c r="J290" i="204" s="1"/>
  <c r="F290" i="204"/>
  <c r="E290" i="204"/>
  <c r="P289" i="204"/>
  <c r="O289" i="204"/>
  <c r="J289" i="204"/>
  <c r="E289" i="204"/>
  <c r="K288" i="204"/>
  <c r="F288" i="204"/>
  <c r="O287" i="204"/>
  <c r="F287" i="204"/>
  <c r="E287" i="204"/>
  <c r="N286" i="204"/>
  <c r="M286" i="204"/>
  <c r="L286" i="204"/>
  <c r="I286" i="204"/>
  <c r="H286" i="204"/>
  <c r="H285" i="204" s="1"/>
  <c r="G286" i="204"/>
  <c r="N285" i="204"/>
  <c r="M285" i="204"/>
  <c r="L285" i="204"/>
  <c r="I285" i="204"/>
  <c r="G285" i="204"/>
  <c r="P284" i="204"/>
  <c r="O284" i="204"/>
  <c r="J284" i="204" s="1"/>
  <c r="E284" i="204"/>
  <c r="P283" i="204"/>
  <c r="O283" i="204"/>
  <c r="J283" i="204" s="1"/>
  <c r="E283" i="204"/>
  <c r="O282" i="204"/>
  <c r="E282" i="204"/>
  <c r="E281" i="204" s="1"/>
  <c r="N281" i="204"/>
  <c r="M281" i="204"/>
  <c r="L281" i="204"/>
  <c r="K281" i="204"/>
  <c r="I281" i="204"/>
  <c r="H281" i="204"/>
  <c r="H280" i="204" s="1"/>
  <c r="H279" i="204" s="1"/>
  <c r="G281" i="204"/>
  <c r="F281" i="204"/>
  <c r="L280" i="204"/>
  <c r="P278" i="204"/>
  <c r="O278" i="204"/>
  <c r="J278" i="204"/>
  <c r="E278" i="204"/>
  <c r="P277" i="204"/>
  <c r="O277" i="204"/>
  <c r="N277" i="204"/>
  <c r="M277" i="204"/>
  <c r="L277" i="204"/>
  <c r="K277" i="204"/>
  <c r="J277" i="204"/>
  <c r="I277" i="204"/>
  <c r="H277" i="204"/>
  <c r="G277" i="204"/>
  <c r="F277" i="204"/>
  <c r="E277" i="204"/>
  <c r="O276" i="204"/>
  <c r="J276" i="204"/>
  <c r="F276" i="204"/>
  <c r="E276" i="204"/>
  <c r="P276" i="204" s="1"/>
  <c r="P275" i="204" s="1"/>
  <c r="O275" i="204"/>
  <c r="O274" i="204" s="1"/>
  <c r="N275" i="204"/>
  <c r="M275" i="204"/>
  <c r="K275" i="204"/>
  <c r="J275" i="204"/>
  <c r="J274" i="204" s="1"/>
  <c r="I275" i="204"/>
  <c r="G275" i="204"/>
  <c r="F275" i="204"/>
  <c r="F274" i="204" s="1"/>
  <c r="E275" i="204"/>
  <c r="E274" i="204" s="1"/>
  <c r="N274" i="204"/>
  <c r="M274" i="204"/>
  <c r="K274" i="204"/>
  <c r="I274" i="204"/>
  <c r="G274" i="204"/>
  <c r="O272" i="204"/>
  <c r="O271" i="204" s="1"/>
  <c r="J272" i="204"/>
  <c r="J271" i="204" s="1"/>
  <c r="E272" i="204"/>
  <c r="N271" i="204"/>
  <c r="M271" i="204"/>
  <c r="M268" i="204" s="1"/>
  <c r="L271" i="204"/>
  <c r="K271" i="204"/>
  <c r="I271" i="204"/>
  <c r="I268" i="204" s="1"/>
  <c r="H271" i="204"/>
  <c r="G271" i="204"/>
  <c r="F271" i="204"/>
  <c r="E271" i="204"/>
  <c r="O270" i="204"/>
  <c r="J270" i="204" s="1"/>
  <c r="E270" i="204"/>
  <c r="O269" i="204"/>
  <c r="J269" i="204"/>
  <c r="F269" i="204"/>
  <c r="E269" i="204" s="1"/>
  <c r="O268" i="204"/>
  <c r="O265" i="204" s="1"/>
  <c r="N268" i="204"/>
  <c r="N265" i="204" s="1"/>
  <c r="L268" i="204"/>
  <c r="K268" i="204"/>
  <c r="J268" i="204"/>
  <c r="J265" i="204" s="1"/>
  <c r="H268" i="204"/>
  <c r="G268" i="204"/>
  <c r="F268" i="204"/>
  <c r="F265" i="204" s="1"/>
  <c r="P267" i="204"/>
  <c r="O267" i="204"/>
  <c r="J267" i="204" s="1"/>
  <c r="J266" i="204" s="1"/>
  <c r="K267" i="204"/>
  <c r="E267" i="204"/>
  <c r="E266" i="204" s="1"/>
  <c r="P266" i="204"/>
  <c r="O266" i="204"/>
  <c r="N266" i="204"/>
  <c r="M266" i="204"/>
  <c r="L266" i="204"/>
  <c r="L265" i="204" s="1"/>
  <c r="K266" i="204"/>
  <c r="K265" i="204" s="1"/>
  <c r="I266" i="204"/>
  <c r="H266" i="204"/>
  <c r="G266" i="204"/>
  <c r="G265" i="204" s="1"/>
  <c r="F266" i="204"/>
  <c r="M265" i="204"/>
  <c r="I265" i="204"/>
  <c r="H265" i="204"/>
  <c r="O264" i="204"/>
  <c r="J264" i="204" s="1"/>
  <c r="P264" i="204" s="1"/>
  <c r="E264" i="204"/>
  <c r="O263" i="204"/>
  <c r="J263" i="204" s="1"/>
  <c r="K263" i="204"/>
  <c r="F263" i="204"/>
  <c r="E263" i="204"/>
  <c r="P263" i="204" s="1"/>
  <c r="O262" i="204"/>
  <c r="J262" i="204" s="1"/>
  <c r="P262" i="204" s="1"/>
  <c r="E262" i="204"/>
  <c r="O261" i="204"/>
  <c r="J261" i="204"/>
  <c r="P261" i="204" s="1"/>
  <c r="F261" i="204"/>
  <c r="E261" i="204" s="1"/>
  <c r="K260" i="204"/>
  <c r="K258" i="204" s="1"/>
  <c r="K257" i="204" s="1"/>
  <c r="K252" i="204" s="1"/>
  <c r="K251" i="204" s="1"/>
  <c r="E260" i="204"/>
  <c r="O259" i="204"/>
  <c r="J259" i="204" s="1"/>
  <c r="K259" i="204"/>
  <c r="F259" i="204"/>
  <c r="E259" i="204"/>
  <c r="E258" i="204" s="1"/>
  <c r="E257" i="204" s="1"/>
  <c r="N258" i="204"/>
  <c r="M258" i="204"/>
  <c r="L258" i="204"/>
  <c r="I258" i="204"/>
  <c r="H258" i="204"/>
  <c r="G258" i="204"/>
  <c r="G257" i="204" s="1"/>
  <c r="G252" i="204" s="1"/>
  <c r="G251" i="204" s="1"/>
  <c r="F258" i="204"/>
  <c r="N257" i="204"/>
  <c r="N252" i="204" s="1"/>
  <c r="M257" i="204"/>
  <c r="L257" i="204"/>
  <c r="I257" i="204"/>
  <c r="H257" i="204"/>
  <c r="F257" i="204"/>
  <c r="F252" i="204" s="1"/>
  <c r="F251" i="204" s="1"/>
  <c r="J256" i="204"/>
  <c r="E256" i="204"/>
  <c r="P255" i="204"/>
  <c r="O255" i="204"/>
  <c r="J255" i="204"/>
  <c r="E255" i="204"/>
  <c r="P254" i="204"/>
  <c r="O254" i="204"/>
  <c r="J254" i="204"/>
  <c r="E254" i="204"/>
  <c r="O253" i="204"/>
  <c r="N253" i="204"/>
  <c r="M253" i="204"/>
  <c r="L253" i="204"/>
  <c r="K253" i="204"/>
  <c r="J253" i="204"/>
  <c r="I253" i="204"/>
  <c r="H253" i="204"/>
  <c r="G253" i="204"/>
  <c r="F253" i="204"/>
  <c r="E253" i="204"/>
  <c r="M252" i="204"/>
  <c r="N251" i="204"/>
  <c r="M251" i="204"/>
  <c r="O250" i="204"/>
  <c r="O249" i="204" s="1"/>
  <c r="O248" i="204" s="1"/>
  <c r="J250" i="204"/>
  <c r="J249" i="204" s="1"/>
  <c r="J248" i="204" s="1"/>
  <c r="E250" i="204"/>
  <c r="N249" i="204"/>
  <c r="N248" i="204" s="1"/>
  <c r="M249" i="204"/>
  <c r="L249" i="204"/>
  <c r="K249" i="204"/>
  <c r="K248" i="204" s="1"/>
  <c r="I249" i="204"/>
  <c r="I248" i="204" s="1"/>
  <c r="H249" i="204"/>
  <c r="G249" i="204"/>
  <c r="G248" i="204" s="1"/>
  <c r="F249" i="204"/>
  <c r="F248" i="204" s="1"/>
  <c r="E249" i="204"/>
  <c r="M248" i="204"/>
  <c r="L248" i="204"/>
  <c r="H248" i="204"/>
  <c r="E248" i="204"/>
  <c r="O247" i="204"/>
  <c r="E247" i="204"/>
  <c r="O246" i="204"/>
  <c r="J246" i="204"/>
  <c r="E246" i="204"/>
  <c r="N245" i="204"/>
  <c r="M245" i="204"/>
  <c r="M241" i="204" s="1"/>
  <c r="L245" i="204"/>
  <c r="K245" i="204"/>
  <c r="I245" i="204"/>
  <c r="I241" i="204" s="1"/>
  <c r="H245" i="204"/>
  <c r="G245" i="204"/>
  <c r="F245" i="204"/>
  <c r="E245" i="204"/>
  <c r="E241" i="204" s="1"/>
  <c r="K244" i="204"/>
  <c r="O244" i="204" s="1"/>
  <c r="O243" i="204" s="1"/>
  <c r="O242" i="204" s="1"/>
  <c r="E244" i="204"/>
  <c r="N243" i="204"/>
  <c r="N242" i="204" s="1"/>
  <c r="N241" i="204" s="1"/>
  <c r="M243" i="204"/>
  <c r="L243" i="204"/>
  <c r="K243" i="204"/>
  <c r="I243" i="204"/>
  <c r="H243" i="204"/>
  <c r="G243" i="204"/>
  <c r="F243" i="204"/>
  <c r="F242" i="204" s="1"/>
  <c r="E243" i="204"/>
  <c r="M242" i="204"/>
  <c r="L242" i="204"/>
  <c r="K242" i="204"/>
  <c r="K241" i="204" s="1"/>
  <c r="I242" i="204"/>
  <c r="H242" i="204"/>
  <c r="G242" i="204"/>
  <c r="E242" i="204"/>
  <c r="L241" i="204"/>
  <c r="H241" i="204"/>
  <c r="G241" i="204"/>
  <c r="O240" i="204"/>
  <c r="O239" i="204" s="1"/>
  <c r="O238" i="204" s="1"/>
  <c r="J240" i="204"/>
  <c r="P240" i="204" s="1"/>
  <c r="P239" i="204" s="1"/>
  <c r="P238" i="204" s="1"/>
  <c r="E240" i="204"/>
  <c r="N239" i="204"/>
  <c r="N238" i="204" s="1"/>
  <c r="M239" i="204"/>
  <c r="L239" i="204"/>
  <c r="K239" i="204"/>
  <c r="K238" i="204" s="1"/>
  <c r="I239" i="204"/>
  <c r="H239" i="204"/>
  <c r="G239" i="204"/>
  <c r="G238" i="204" s="1"/>
  <c r="F239" i="204"/>
  <c r="F238" i="204" s="1"/>
  <c r="E239" i="204"/>
  <c r="M238" i="204"/>
  <c r="L238" i="204"/>
  <c r="I238" i="204"/>
  <c r="H238" i="204"/>
  <c r="E238" i="204"/>
  <c r="O237" i="204"/>
  <c r="J237" i="204" s="1"/>
  <c r="P237" i="204" s="1"/>
  <c r="E237" i="204"/>
  <c r="O236" i="204"/>
  <c r="J236" i="204"/>
  <c r="P236" i="204" s="1"/>
  <c r="E236" i="204"/>
  <c r="O235" i="204"/>
  <c r="J235" i="204"/>
  <c r="F235" i="204"/>
  <c r="E235" i="204"/>
  <c r="E234" i="204" s="1"/>
  <c r="N234" i="204"/>
  <c r="M234" i="204"/>
  <c r="L234" i="204"/>
  <c r="K234" i="204"/>
  <c r="I234" i="204"/>
  <c r="H234" i="204"/>
  <c r="G234" i="204"/>
  <c r="F234" i="204"/>
  <c r="O233" i="204"/>
  <c r="J233" i="204" s="1"/>
  <c r="E233" i="204"/>
  <c r="N232" i="204"/>
  <c r="N223" i="204" s="1"/>
  <c r="M232" i="204"/>
  <c r="L232" i="204"/>
  <c r="K232" i="204"/>
  <c r="I232" i="204"/>
  <c r="H232" i="204"/>
  <c r="G232" i="204"/>
  <c r="F232" i="204"/>
  <c r="E232" i="204"/>
  <c r="O231" i="204"/>
  <c r="O229" i="204" s="1"/>
  <c r="J231" i="204"/>
  <c r="P231" i="204" s="1"/>
  <c r="E231" i="204"/>
  <c r="O230" i="204"/>
  <c r="L230" i="204"/>
  <c r="J230" i="204" s="1"/>
  <c r="K230" i="204"/>
  <c r="H230" i="204"/>
  <c r="H229" i="204" s="1"/>
  <c r="H223" i="204" s="1"/>
  <c r="G230" i="204"/>
  <c r="F230" i="204"/>
  <c r="E230" i="204"/>
  <c r="P230" i="204" s="1"/>
  <c r="P229" i="204"/>
  <c r="N229" i="204"/>
  <c r="M229" i="204"/>
  <c r="L229" i="204"/>
  <c r="K229" i="204"/>
  <c r="I229" i="204"/>
  <c r="G229" i="204"/>
  <c r="F229" i="204"/>
  <c r="E229" i="204"/>
  <c r="O228" i="204"/>
  <c r="J228" i="204" s="1"/>
  <c r="J227" i="204" s="1"/>
  <c r="E228" i="204"/>
  <c r="N227" i="204"/>
  <c r="M227" i="204"/>
  <c r="L227" i="204"/>
  <c r="K227" i="204"/>
  <c r="K223" i="204" s="1"/>
  <c r="I227" i="204"/>
  <c r="H227" i="204"/>
  <c r="G227" i="204"/>
  <c r="F227" i="204"/>
  <c r="E227" i="204"/>
  <c r="O226" i="204"/>
  <c r="J226" i="204" s="1"/>
  <c r="P226" i="204" s="1"/>
  <c r="E226" i="204"/>
  <c r="O225" i="204"/>
  <c r="F225" i="204"/>
  <c r="E225" i="204"/>
  <c r="E224" i="204" s="1"/>
  <c r="E223" i="204" s="1"/>
  <c r="N224" i="204"/>
  <c r="M224" i="204"/>
  <c r="L224" i="204"/>
  <c r="K224" i="204"/>
  <c r="I224" i="204"/>
  <c r="H224" i="204"/>
  <c r="G224" i="204"/>
  <c r="F224" i="204"/>
  <c r="M223" i="204"/>
  <c r="L223" i="204"/>
  <c r="I223" i="204"/>
  <c r="O222" i="204"/>
  <c r="J222" i="204"/>
  <c r="H222" i="204"/>
  <c r="E222" i="204"/>
  <c r="E220" i="204" s="1"/>
  <c r="K221" i="204"/>
  <c r="O221" i="204" s="1"/>
  <c r="J221" i="204"/>
  <c r="J220" i="204" s="1"/>
  <c r="H221" i="204"/>
  <c r="E221" i="204"/>
  <c r="P221" i="204" s="1"/>
  <c r="O220" i="204"/>
  <c r="N220" i="204"/>
  <c r="M220" i="204"/>
  <c r="L220" i="204"/>
  <c r="L217" i="204" s="1"/>
  <c r="K220" i="204"/>
  <c r="I220" i="204"/>
  <c r="H220" i="204"/>
  <c r="H217" i="204" s="1"/>
  <c r="H216" i="204" s="1"/>
  <c r="H215" i="204" s="1"/>
  <c r="G220" i="204"/>
  <c r="F220" i="204"/>
  <c r="O219" i="204"/>
  <c r="J219" i="204" s="1"/>
  <c r="J218" i="204" s="1"/>
  <c r="J217" i="204" s="1"/>
  <c r="H219" i="204"/>
  <c r="G219" i="204"/>
  <c r="F219" i="204"/>
  <c r="E219" i="204" s="1"/>
  <c r="E218" i="204" s="1"/>
  <c r="O218" i="204"/>
  <c r="O217" i="204" s="1"/>
  <c r="N218" i="204"/>
  <c r="M218" i="204"/>
  <c r="L218" i="204"/>
  <c r="K218" i="204"/>
  <c r="K217" i="204" s="1"/>
  <c r="K216" i="204" s="1"/>
  <c r="K215" i="204" s="1"/>
  <c r="I218" i="204"/>
  <c r="H218" i="204"/>
  <c r="G218" i="204"/>
  <c r="N217" i="204"/>
  <c r="M217" i="204"/>
  <c r="I217" i="204"/>
  <c r="G217" i="204"/>
  <c r="L216" i="204"/>
  <c r="O214" i="204"/>
  <c r="J214" i="204" s="1"/>
  <c r="J213" i="204" s="1"/>
  <c r="J212" i="204" s="1"/>
  <c r="E214" i="204"/>
  <c r="N213" i="204"/>
  <c r="M213" i="204"/>
  <c r="L213" i="204"/>
  <c r="K213" i="204"/>
  <c r="K212" i="204" s="1"/>
  <c r="K195" i="204" s="1"/>
  <c r="K194" i="204" s="1"/>
  <c r="I213" i="204"/>
  <c r="H213" i="204"/>
  <c r="H212" i="204" s="1"/>
  <c r="G213" i="204"/>
  <c r="F213" i="204"/>
  <c r="E213" i="204"/>
  <c r="N212" i="204"/>
  <c r="M212" i="204"/>
  <c r="L212" i="204"/>
  <c r="I212" i="204"/>
  <c r="G212" i="204"/>
  <c r="F212" i="204"/>
  <c r="E212" i="204"/>
  <c r="O211" i="204"/>
  <c r="K211" i="204"/>
  <c r="E211" i="204"/>
  <c r="P210" i="204"/>
  <c r="O210" i="204"/>
  <c r="J210" i="204"/>
  <c r="E210" i="204"/>
  <c r="P209" i="204"/>
  <c r="P208" i="204" s="1"/>
  <c r="O209" i="204"/>
  <c r="J209" i="204"/>
  <c r="E209" i="204"/>
  <c r="O208" i="204"/>
  <c r="N208" i="204"/>
  <c r="M208" i="204"/>
  <c r="M207" i="204" s="1"/>
  <c r="M206" i="204" s="1"/>
  <c r="L208" i="204"/>
  <c r="L207" i="204" s="1"/>
  <c r="L206" i="204" s="1"/>
  <c r="K208" i="204"/>
  <c r="J208" i="204"/>
  <c r="I208" i="204"/>
  <c r="H208" i="204"/>
  <c r="H207" i="204" s="1"/>
  <c r="H206" i="204" s="1"/>
  <c r="G208" i="204"/>
  <c r="F208" i="204"/>
  <c r="E208" i="204"/>
  <c r="N207" i="204"/>
  <c r="K207" i="204"/>
  <c r="I207" i="204"/>
  <c r="I206" i="204" s="1"/>
  <c r="G207" i="204"/>
  <c r="F207" i="204"/>
  <c r="E207" i="204"/>
  <c r="E206" i="204" s="1"/>
  <c r="N206" i="204"/>
  <c r="K206" i="204"/>
  <c r="G206" i="204"/>
  <c r="F206" i="204"/>
  <c r="O205" i="204"/>
  <c r="J205" i="204" s="1"/>
  <c r="J203" i="204" s="1"/>
  <c r="E205" i="204"/>
  <c r="E203" i="204" s="1"/>
  <c r="P204" i="204"/>
  <c r="O204" i="204"/>
  <c r="L204" i="204"/>
  <c r="J204" i="204"/>
  <c r="H204" i="204"/>
  <c r="H203" i="204" s="1"/>
  <c r="E204" i="204"/>
  <c r="O203" i="204"/>
  <c r="O198" i="204" s="1"/>
  <c r="N203" i="204"/>
  <c r="M203" i="204"/>
  <c r="L203" i="204"/>
  <c r="K203" i="204"/>
  <c r="I203" i="204"/>
  <c r="G203" i="204"/>
  <c r="F203" i="204"/>
  <c r="O202" i="204"/>
  <c r="J202" i="204"/>
  <c r="E202" i="204"/>
  <c r="P202" i="204" s="1"/>
  <c r="O201" i="204"/>
  <c r="L201" i="204"/>
  <c r="H201" i="204"/>
  <c r="E201" i="204"/>
  <c r="O200" i="204"/>
  <c r="J200" i="204"/>
  <c r="H200" i="204"/>
  <c r="E200" i="204"/>
  <c r="P200" i="204" s="1"/>
  <c r="O199" i="204"/>
  <c r="J199" i="204"/>
  <c r="H199" i="204"/>
  <c r="E199" i="204"/>
  <c r="P199" i="204" s="1"/>
  <c r="N198" i="204"/>
  <c r="M198" i="204"/>
  <c r="K198" i="204"/>
  <c r="I198" i="204"/>
  <c r="G198" i="204"/>
  <c r="G195" i="204" s="1"/>
  <c r="G194" i="204" s="1"/>
  <c r="F198" i="204"/>
  <c r="O197" i="204"/>
  <c r="O196" i="204" s="1"/>
  <c r="L197" i="204"/>
  <c r="H197" i="204"/>
  <c r="H196" i="204" s="1"/>
  <c r="F197" i="204"/>
  <c r="E197" i="204" s="1"/>
  <c r="N196" i="204"/>
  <c r="M196" i="204"/>
  <c r="K196" i="204"/>
  <c r="I196" i="204"/>
  <c r="G196" i="204"/>
  <c r="F196" i="204"/>
  <c r="F195" i="204" s="1"/>
  <c r="F194" i="204" s="1"/>
  <c r="N195" i="204"/>
  <c r="N194" i="204" s="1"/>
  <c r="O192" i="204"/>
  <c r="O191" i="204" s="1"/>
  <c r="O189" i="204" s="1"/>
  <c r="O185" i="204" s="1"/>
  <c r="J192" i="204"/>
  <c r="J191" i="204" s="1"/>
  <c r="J189" i="204" s="1"/>
  <c r="E192" i="204"/>
  <c r="P192" i="204" s="1"/>
  <c r="P191" i="204" s="1"/>
  <c r="N191" i="204"/>
  <c r="M191" i="204"/>
  <c r="L191" i="204"/>
  <c r="K191" i="204"/>
  <c r="I191" i="204"/>
  <c r="H191" i="204"/>
  <c r="G191" i="204"/>
  <c r="F191" i="204"/>
  <c r="E191" i="204"/>
  <c r="O190" i="204"/>
  <c r="J190" i="204" s="1"/>
  <c r="E190" i="204"/>
  <c r="N189" i="204"/>
  <c r="M189" i="204"/>
  <c r="L189" i="204"/>
  <c r="K189" i="204"/>
  <c r="K185" i="204" s="1"/>
  <c r="I189" i="204"/>
  <c r="H189" i="204"/>
  <c r="G189" i="204"/>
  <c r="G185" i="204" s="1"/>
  <c r="F189" i="204"/>
  <c r="E189" i="204"/>
  <c r="O188" i="204"/>
  <c r="O187" i="204" s="1"/>
  <c r="O186" i="204" s="1"/>
  <c r="J188" i="204"/>
  <c r="P188" i="204" s="1"/>
  <c r="P187" i="204" s="1"/>
  <c r="P186" i="204" s="1"/>
  <c r="N187" i="204"/>
  <c r="N186" i="204" s="1"/>
  <c r="N185" i="204" s="1"/>
  <c r="M187" i="204"/>
  <c r="L187" i="204"/>
  <c r="K187" i="204"/>
  <c r="J187" i="204"/>
  <c r="J186" i="204" s="1"/>
  <c r="I187" i="204"/>
  <c r="H187" i="204"/>
  <c r="G187" i="204"/>
  <c r="F187" i="204"/>
  <c r="F186" i="204" s="1"/>
  <c r="E187" i="204"/>
  <c r="M186" i="204"/>
  <c r="M185" i="204" s="1"/>
  <c r="L186" i="204"/>
  <c r="K186" i="204"/>
  <c r="I186" i="204"/>
  <c r="H186" i="204"/>
  <c r="G186" i="204"/>
  <c r="E186" i="204"/>
  <c r="L185" i="204"/>
  <c r="I185" i="204"/>
  <c r="H185" i="204"/>
  <c r="E185" i="204"/>
  <c r="O184" i="204"/>
  <c r="J184" i="204"/>
  <c r="E184" i="204"/>
  <c r="K183" i="204"/>
  <c r="O183" i="204" s="1"/>
  <c r="O182" i="204" s="1"/>
  <c r="O181" i="204" s="1"/>
  <c r="J183" i="204"/>
  <c r="J182" i="204" s="1"/>
  <c r="J181" i="204" s="1"/>
  <c r="E183" i="204"/>
  <c r="N182" i="204"/>
  <c r="N181" i="204" s="1"/>
  <c r="M182" i="204"/>
  <c r="L182" i="204"/>
  <c r="I182" i="204"/>
  <c r="H182" i="204"/>
  <c r="G182" i="204"/>
  <c r="F182" i="204"/>
  <c r="F181" i="204" s="1"/>
  <c r="M181" i="204"/>
  <c r="L181" i="204"/>
  <c r="I181" i="204"/>
  <c r="H181" i="204"/>
  <c r="G181" i="204"/>
  <c r="K180" i="204"/>
  <c r="K178" i="204" s="1"/>
  <c r="F180" i="204"/>
  <c r="E180" i="204"/>
  <c r="O179" i="204"/>
  <c r="N179" i="204"/>
  <c r="L179" i="204"/>
  <c r="L178" i="204" s="1"/>
  <c r="J179" i="204"/>
  <c r="H179" i="204"/>
  <c r="G179" i="204"/>
  <c r="F179" i="204"/>
  <c r="E179" i="204"/>
  <c r="P179" i="204" s="1"/>
  <c r="N178" i="204"/>
  <c r="M178" i="204"/>
  <c r="I178" i="204"/>
  <c r="H178" i="204"/>
  <c r="G178" i="204"/>
  <c r="F178" i="204"/>
  <c r="E178" i="204"/>
  <c r="K177" i="204"/>
  <c r="O177" i="204" s="1"/>
  <c r="J177" i="204"/>
  <c r="F177" i="204"/>
  <c r="E177" i="204"/>
  <c r="O174" i="204"/>
  <c r="J174" i="204" s="1"/>
  <c r="P174" i="204" s="1"/>
  <c r="E174" i="204"/>
  <c r="O171" i="204"/>
  <c r="J171" i="204" s="1"/>
  <c r="P171" i="204" s="1"/>
  <c r="E171" i="204"/>
  <c r="O167" i="204"/>
  <c r="J167" i="204" s="1"/>
  <c r="P167" i="204" s="1"/>
  <c r="E167" i="204"/>
  <c r="P163" i="204"/>
  <c r="O163" i="204"/>
  <c r="J163" i="204" s="1"/>
  <c r="E163" i="204"/>
  <c r="O162" i="204"/>
  <c r="N162" i="204"/>
  <c r="M162" i="204"/>
  <c r="L162" i="204"/>
  <c r="K162" i="204"/>
  <c r="I162" i="204"/>
  <c r="H162" i="204"/>
  <c r="G162" i="204"/>
  <c r="F162" i="204"/>
  <c r="E162" i="204"/>
  <c r="O161" i="204"/>
  <c r="J161" i="204" s="1"/>
  <c r="P161" i="204" s="1"/>
  <c r="E161" i="204"/>
  <c r="O160" i="204"/>
  <c r="J160" i="204" s="1"/>
  <c r="J159" i="204" s="1"/>
  <c r="E160" i="204"/>
  <c r="N159" i="204"/>
  <c r="M159" i="204"/>
  <c r="L159" i="204"/>
  <c r="K159" i="204"/>
  <c r="I159" i="204"/>
  <c r="H159" i="204"/>
  <c r="G159" i="204"/>
  <c r="G140" i="204" s="1"/>
  <c r="G135" i="204" s="1"/>
  <c r="G134" i="204" s="1"/>
  <c r="F159" i="204"/>
  <c r="E159" i="204"/>
  <c r="O158" i="204"/>
  <c r="J158" i="204" s="1"/>
  <c r="P158" i="204" s="1"/>
  <c r="E158" i="204"/>
  <c r="O157" i="204"/>
  <c r="J157" i="204" s="1"/>
  <c r="P157" i="204" s="1"/>
  <c r="E157" i="204"/>
  <c r="N156" i="204"/>
  <c r="M156" i="204"/>
  <c r="L156" i="204"/>
  <c r="K156" i="204"/>
  <c r="O156" i="204" s="1"/>
  <c r="I156" i="204"/>
  <c r="H156" i="204"/>
  <c r="G156" i="204"/>
  <c r="F156" i="204"/>
  <c r="E156" i="204"/>
  <c r="P155" i="204"/>
  <c r="O155" i="204"/>
  <c r="J155" i="204" s="1"/>
  <c r="E155" i="204"/>
  <c r="O154" i="204"/>
  <c r="H154" i="204"/>
  <c r="F154" i="204"/>
  <c r="E154" i="204"/>
  <c r="E153" i="204" s="1"/>
  <c r="N153" i="204"/>
  <c r="M153" i="204"/>
  <c r="L153" i="204"/>
  <c r="K153" i="204"/>
  <c r="I153" i="204"/>
  <c r="H153" i="204"/>
  <c r="G153" i="204"/>
  <c r="F153" i="204"/>
  <c r="O152" i="204"/>
  <c r="J152" i="204"/>
  <c r="H152" i="204"/>
  <c r="H150" i="204" s="1"/>
  <c r="H140" i="204" s="1"/>
  <c r="G152" i="204"/>
  <c r="E152" i="204"/>
  <c r="O151" i="204"/>
  <c r="N151" i="204"/>
  <c r="E151" i="204"/>
  <c r="N150" i="204"/>
  <c r="M150" i="204"/>
  <c r="L150" i="204"/>
  <c r="K150" i="204"/>
  <c r="I150" i="204"/>
  <c r="G150" i="204"/>
  <c r="F150" i="204"/>
  <c r="E150" i="204"/>
  <c r="O149" i="204"/>
  <c r="J149" i="204"/>
  <c r="E149" i="204"/>
  <c r="P149" i="204" s="1"/>
  <c r="O148" i="204"/>
  <c r="J148" i="204"/>
  <c r="E148" i="204"/>
  <c r="P148" i="204" s="1"/>
  <c r="O147" i="204"/>
  <c r="J147" i="204"/>
  <c r="E147" i="204"/>
  <c r="P147" i="204" s="1"/>
  <c r="O146" i="204"/>
  <c r="J146" i="204"/>
  <c r="E146" i="204"/>
  <c r="P146" i="204" s="1"/>
  <c r="O145" i="204"/>
  <c r="J145" i="204"/>
  <c r="E145" i="204"/>
  <c r="P145" i="204" s="1"/>
  <c r="O144" i="204"/>
  <c r="J144" i="204"/>
  <c r="E144" i="204"/>
  <c r="P144" i="204" s="1"/>
  <c r="O143" i="204"/>
  <c r="J143" i="204"/>
  <c r="E143" i="204"/>
  <c r="P143" i="204" s="1"/>
  <c r="O142" i="204"/>
  <c r="J142" i="204"/>
  <c r="F142" i="204"/>
  <c r="E142" i="204" s="1"/>
  <c r="O141" i="204"/>
  <c r="N141" i="204"/>
  <c r="N140" i="204" s="1"/>
  <c r="M141" i="204"/>
  <c r="M140" i="204" s="1"/>
  <c r="L141" i="204"/>
  <c r="K141" i="204"/>
  <c r="J141" i="204"/>
  <c r="I141" i="204"/>
  <c r="H141" i="204"/>
  <c r="G141" i="204"/>
  <c r="I140" i="204"/>
  <c r="J139" i="204"/>
  <c r="E139" i="204"/>
  <c r="P139" i="204" s="1"/>
  <c r="O138" i="204"/>
  <c r="J138" i="204"/>
  <c r="E138" i="204"/>
  <c r="P138" i="204" s="1"/>
  <c r="O137" i="204"/>
  <c r="J137" i="204"/>
  <c r="E137" i="204"/>
  <c r="P137" i="204" s="1"/>
  <c r="O136" i="204"/>
  <c r="N136" i="204"/>
  <c r="M136" i="204"/>
  <c r="M135" i="204" s="1"/>
  <c r="M134" i="204" s="1"/>
  <c r="L136" i="204"/>
  <c r="K136" i="204"/>
  <c r="J136" i="204"/>
  <c r="I136" i="204"/>
  <c r="I135" i="204" s="1"/>
  <c r="I134" i="204" s="1"/>
  <c r="H136" i="204"/>
  <c r="G136" i="204"/>
  <c r="F136" i="204"/>
  <c r="E136" i="204"/>
  <c r="O133" i="204"/>
  <c r="J133" i="204"/>
  <c r="E133" i="204"/>
  <c r="P133" i="204" s="1"/>
  <c r="O132" i="204"/>
  <c r="J132" i="204"/>
  <c r="E132" i="204"/>
  <c r="P132" i="204" s="1"/>
  <c r="O131" i="204"/>
  <c r="J131" i="204"/>
  <c r="E131" i="204"/>
  <c r="P131" i="204" s="1"/>
  <c r="P130" i="204" s="1"/>
  <c r="O130" i="204"/>
  <c r="N130" i="204"/>
  <c r="M130" i="204"/>
  <c r="L130" i="204"/>
  <c r="K130" i="204"/>
  <c r="J130" i="204"/>
  <c r="I130" i="204"/>
  <c r="H130" i="204"/>
  <c r="G130" i="204"/>
  <c r="F130" i="204"/>
  <c r="O129" i="204"/>
  <c r="J129" i="204"/>
  <c r="J128" i="204" s="1"/>
  <c r="E129" i="204"/>
  <c r="P129" i="204" s="1"/>
  <c r="P128" i="204" s="1"/>
  <c r="O128" i="204"/>
  <c r="N128" i="204"/>
  <c r="M128" i="204"/>
  <c r="M125" i="204" s="1"/>
  <c r="M124" i="204" s="1"/>
  <c r="M105" i="204" s="1"/>
  <c r="M104" i="204" s="1"/>
  <c r="L128" i="204"/>
  <c r="K128" i="204"/>
  <c r="I128" i="204"/>
  <c r="I125" i="204" s="1"/>
  <c r="I124" i="204" s="1"/>
  <c r="H128" i="204"/>
  <c r="G128" i="204"/>
  <c r="F128" i="204"/>
  <c r="F125" i="204" s="1"/>
  <c r="F124" i="204" s="1"/>
  <c r="K127" i="204"/>
  <c r="O127" i="204" s="1"/>
  <c r="J127" i="204" s="1"/>
  <c r="J126" i="204" s="1"/>
  <c r="E127" i="204"/>
  <c r="N126" i="204"/>
  <c r="N125" i="204" s="1"/>
  <c r="N124" i="204" s="1"/>
  <c r="M126" i="204"/>
  <c r="L126" i="204"/>
  <c r="I126" i="204"/>
  <c r="H126" i="204"/>
  <c r="G126" i="204"/>
  <c r="F126" i="204"/>
  <c r="E126" i="204"/>
  <c r="L125" i="204"/>
  <c r="H125" i="204"/>
  <c r="G125" i="204"/>
  <c r="L124" i="204"/>
  <c r="H124" i="204"/>
  <c r="G124" i="204"/>
  <c r="O123" i="204"/>
  <c r="O122" i="204" s="1"/>
  <c r="J123" i="204"/>
  <c r="P123" i="204" s="1"/>
  <c r="P122" i="204" s="1"/>
  <c r="E123" i="204"/>
  <c r="N122" i="204"/>
  <c r="M122" i="204"/>
  <c r="L122" i="204"/>
  <c r="K122" i="204"/>
  <c r="I122" i="204"/>
  <c r="H122" i="204"/>
  <c r="G122" i="204"/>
  <c r="F122" i="204"/>
  <c r="E122" i="204"/>
  <c r="O121" i="204"/>
  <c r="J121" i="204" s="1"/>
  <c r="E121" i="204"/>
  <c r="O120" i="204"/>
  <c r="O119" i="204" s="1"/>
  <c r="J120" i="204"/>
  <c r="E120" i="204"/>
  <c r="N119" i="204"/>
  <c r="M119" i="204"/>
  <c r="L119" i="204"/>
  <c r="K119" i="204"/>
  <c r="I119" i="204"/>
  <c r="H119" i="204"/>
  <c r="G119" i="204"/>
  <c r="F119" i="204"/>
  <c r="E119" i="204"/>
  <c r="O118" i="204"/>
  <c r="J118" i="204"/>
  <c r="P118" i="204" s="1"/>
  <c r="P117" i="204" s="1"/>
  <c r="E118" i="204"/>
  <c r="O117" i="204"/>
  <c r="N117" i="204"/>
  <c r="M117" i="204"/>
  <c r="L117" i="204"/>
  <c r="K117" i="204"/>
  <c r="I117" i="204"/>
  <c r="H117" i="204"/>
  <c r="G117" i="204"/>
  <c r="F117" i="204"/>
  <c r="E117" i="204"/>
  <c r="O116" i="204"/>
  <c r="J116" i="204"/>
  <c r="J115" i="204" s="1"/>
  <c r="F116" i="204"/>
  <c r="E116" i="204"/>
  <c r="O115" i="204"/>
  <c r="N115" i="204"/>
  <c r="M115" i="204"/>
  <c r="L115" i="204"/>
  <c r="L109" i="204" s="1"/>
  <c r="L105" i="204" s="1"/>
  <c r="L104" i="204" s="1"/>
  <c r="K115" i="204"/>
  <c r="K109" i="204" s="1"/>
  <c r="I115" i="204"/>
  <c r="H115" i="204"/>
  <c r="G115" i="204"/>
  <c r="G109" i="204" s="1"/>
  <c r="F115" i="204"/>
  <c r="E115" i="204"/>
  <c r="O114" i="204"/>
  <c r="J114" i="204" s="1"/>
  <c r="K114" i="204"/>
  <c r="F114" i="204"/>
  <c r="E114" i="204"/>
  <c r="P114" i="204" s="1"/>
  <c r="O113" i="204"/>
  <c r="J113" i="204"/>
  <c r="F113" i="204"/>
  <c r="E113" i="204" s="1"/>
  <c r="K112" i="204"/>
  <c r="O112" i="204" s="1"/>
  <c r="J112" i="204" s="1"/>
  <c r="F112" i="204"/>
  <c r="E112" i="204"/>
  <c r="O111" i="204"/>
  <c r="J111" i="204"/>
  <c r="F111" i="204"/>
  <c r="E111" i="204"/>
  <c r="E109" i="204" s="1"/>
  <c r="K110" i="204"/>
  <c r="O110" i="204" s="1"/>
  <c r="J110" i="204"/>
  <c r="F110" i="204"/>
  <c r="E110" i="204"/>
  <c r="M109" i="204"/>
  <c r="I109" i="204"/>
  <c r="H109" i="204"/>
  <c r="O108" i="204"/>
  <c r="J108" i="204" s="1"/>
  <c r="P108" i="204" s="1"/>
  <c r="E108" i="204"/>
  <c r="O107" i="204"/>
  <c r="J107" i="204" s="1"/>
  <c r="P107" i="204" s="1"/>
  <c r="P106" i="204" s="1"/>
  <c r="E107" i="204"/>
  <c r="N106" i="204"/>
  <c r="M106" i="204"/>
  <c r="L106" i="204"/>
  <c r="K106" i="204"/>
  <c r="I106" i="204"/>
  <c r="H106" i="204"/>
  <c r="H105" i="204" s="1"/>
  <c r="H104" i="204" s="1"/>
  <c r="G106" i="204"/>
  <c r="F106" i="204"/>
  <c r="E106" i="204"/>
  <c r="I105" i="204"/>
  <c r="I104" i="204" s="1"/>
  <c r="O103" i="204"/>
  <c r="J103" i="204"/>
  <c r="E103" i="204"/>
  <c r="P103" i="204" s="1"/>
  <c r="P102" i="204" s="1"/>
  <c r="P101" i="204" s="1"/>
  <c r="O102" i="204"/>
  <c r="N102" i="204"/>
  <c r="M102" i="204"/>
  <c r="L102" i="204"/>
  <c r="K102" i="204"/>
  <c r="J102" i="204"/>
  <c r="I102" i="204"/>
  <c r="H102" i="204"/>
  <c r="G102" i="204"/>
  <c r="F102" i="204"/>
  <c r="E102" i="204"/>
  <c r="O101" i="204"/>
  <c r="N101" i="204"/>
  <c r="M101" i="204"/>
  <c r="L101" i="204"/>
  <c r="K101" i="204"/>
  <c r="J101" i="204"/>
  <c r="I101" i="204"/>
  <c r="H101" i="204"/>
  <c r="G101" i="204"/>
  <c r="F101" i="204"/>
  <c r="E101" i="204"/>
  <c r="O100" i="204"/>
  <c r="J100" i="204"/>
  <c r="E100" i="204"/>
  <c r="P100" i="204" s="1"/>
  <c r="P99" i="204" s="1"/>
  <c r="P98" i="204" s="1"/>
  <c r="O99" i="204"/>
  <c r="N99" i="204"/>
  <c r="M99" i="204"/>
  <c r="L99" i="204"/>
  <c r="K99" i="204"/>
  <c r="J99" i="204"/>
  <c r="I99" i="204"/>
  <c r="H99" i="204"/>
  <c r="G99" i="204"/>
  <c r="F99" i="204"/>
  <c r="E99" i="204"/>
  <c r="O98" i="204"/>
  <c r="N98" i="204"/>
  <c r="M98" i="204"/>
  <c r="L98" i="204"/>
  <c r="K98" i="204"/>
  <c r="J98" i="204"/>
  <c r="I98" i="204"/>
  <c r="H98" i="204"/>
  <c r="G98" i="204"/>
  <c r="F98" i="204"/>
  <c r="E98" i="204"/>
  <c r="K97" i="204"/>
  <c r="O97" i="204" s="1"/>
  <c r="O96" i="204" s="1"/>
  <c r="J97" i="204"/>
  <c r="J96" i="204" s="1"/>
  <c r="E97" i="204"/>
  <c r="P97" i="204" s="1"/>
  <c r="P96" i="204" s="1"/>
  <c r="N96" i="204"/>
  <c r="M96" i="204"/>
  <c r="M92" i="204" s="1"/>
  <c r="L96" i="204"/>
  <c r="K96" i="204"/>
  <c r="I96" i="204"/>
  <c r="I92" i="204" s="1"/>
  <c r="H96" i="204"/>
  <c r="G96" i="204"/>
  <c r="F96" i="204"/>
  <c r="K95" i="204"/>
  <c r="O95" i="204" s="1"/>
  <c r="O94" i="204" s="1"/>
  <c r="O93" i="204" s="1"/>
  <c r="O92" i="204" s="1"/>
  <c r="J95" i="204"/>
  <c r="J94" i="204" s="1"/>
  <c r="J93" i="204" s="1"/>
  <c r="E95" i="204"/>
  <c r="N94" i="204"/>
  <c r="N93" i="204" s="1"/>
  <c r="N92" i="204" s="1"/>
  <c r="M94" i="204"/>
  <c r="L94" i="204"/>
  <c r="I94" i="204"/>
  <c r="H94" i="204"/>
  <c r="G94" i="204"/>
  <c r="F94" i="204"/>
  <c r="F93" i="204" s="1"/>
  <c r="F92" i="204" s="1"/>
  <c r="E94" i="204"/>
  <c r="M93" i="204"/>
  <c r="L93" i="204"/>
  <c r="I93" i="204"/>
  <c r="H93" i="204"/>
  <c r="G93" i="204"/>
  <c r="E93" i="204"/>
  <c r="L92" i="204"/>
  <c r="H92" i="204"/>
  <c r="G92" i="204"/>
  <c r="O91" i="204"/>
  <c r="J91" i="204" s="1"/>
  <c r="E91" i="204"/>
  <c r="O90" i="204"/>
  <c r="O89" i="204" s="1"/>
  <c r="J90" i="204"/>
  <c r="P90" i="204" s="1"/>
  <c r="E90" i="204"/>
  <c r="N89" i="204"/>
  <c r="M89" i="204"/>
  <c r="L89" i="204"/>
  <c r="K89" i="204"/>
  <c r="I89" i="204"/>
  <c r="H89" i="204"/>
  <c r="G89" i="204"/>
  <c r="F89" i="204"/>
  <c r="E89" i="204"/>
  <c r="O88" i="204"/>
  <c r="J88" i="204"/>
  <c r="P88" i="204" s="1"/>
  <c r="E88" i="204"/>
  <c r="O87" i="204"/>
  <c r="J87" i="204" s="1"/>
  <c r="E87" i="204"/>
  <c r="O86" i="204"/>
  <c r="N86" i="204"/>
  <c r="M86" i="204"/>
  <c r="L86" i="204"/>
  <c r="K86" i="204"/>
  <c r="I86" i="204"/>
  <c r="H86" i="204"/>
  <c r="G86" i="204"/>
  <c r="F86" i="204"/>
  <c r="E86" i="204"/>
  <c r="O85" i="204"/>
  <c r="J85" i="204" s="1"/>
  <c r="P85" i="204" s="1"/>
  <c r="E85" i="204"/>
  <c r="O84" i="204"/>
  <c r="J84" i="204" s="1"/>
  <c r="E84" i="204"/>
  <c r="O83" i="204"/>
  <c r="N83" i="204"/>
  <c r="M83" i="204"/>
  <c r="L83" i="204"/>
  <c r="K83" i="204"/>
  <c r="I83" i="204"/>
  <c r="H83" i="204"/>
  <c r="G83" i="204"/>
  <c r="F83" i="204"/>
  <c r="E83" i="204"/>
  <c r="O82" i="204"/>
  <c r="J82" i="204" s="1"/>
  <c r="P82" i="204" s="1"/>
  <c r="E82" i="204"/>
  <c r="O81" i="204"/>
  <c r="O80" i="204" s="1"/>
  <c r="K81" i="204"/>
  <c r="E81" i="204"/>
  <c r="N80" i="204"/>
  <c r="M80" i="204"/>
  <c r="L80" i="204"/>
  <c r="K80" i="204"/>
  <c r="I80" i="204"/>
  <c r="H80" i="204"/>
  <c r="G80" i="204"/>
  <c r="F80" i="204"/>
  <c r="E80" i="204"/>
  <c r="O79" i="204"/>
  <c r="J79" i="204"/>
  <c r="F79" i="204"/>
  <c r="E79" i="204"/>
  <c r="P79" i="204" s="1"/>
  <c r="O78" i="204"/>
  <c r="J78" i="204"/>
  <c r="E78" i="204"/>
  <c r="P78" i="204" s="1"/>
  <c r="O77" i="204"/>
  <c r="N77" i="204"/>
  <c r="M77" i="204"/>
  <c r="L77" i="204"/>
  <c r="K77" i="204"/>
  <c r="J77" i="204"/>
  <c r="I77" i="204"/>
  <c r="H77" i="204"/>
  <c r="G77" i="204"/>
  <c r="F77" i="204"/>
  <c r="E77" i="204"/>
  <c r="P77" i="204" s="1"/>
  <c r="O76" i="204"/>
  <c r="J76" i="204"/>
  <c r="E76" i="204"/>
  <c r="P76" i="204" s="1"/>
  <c r="O75" i="204"/>
  <c r="J75" i="204"/>
  <c r="E75" i="204"/>
  <c r="P75" i="204" s="1"/>
  <c r="K73" i="204"/>
  <c r="O73" i="204" s="1"/>
  <c r="J73" i="204" s="1"/>
  <c r="E73" i="204"/>
  <c r="P73" i="204" s="1"/>
  <c r="K72" i="204"/>
  <c r="O72" i="204" s="1"/>
  <c r="E72" i="204"/>
  <c r="N71" i="204"/>
  <c r="M71" i="204"/>
  <c r="L71" i="204"/>
  <c r="K71" i="204"/>
  <c r="I71" i="204"/>
  <c r="H71" i="204"/>
  <c r="G71" i="204"/>
  <c r="F71" i="204"/>
  <c r="E71" i="204"/>
  <c r="O70" i="204"/>
  <c r="J70" i="204" s="1"/>
  <c r="P70" i="204" s="1"/>
  <c r="E70" i="204"/>
  <c r="O69" i="204"/>
  <c r="J69" i="204" s="1"/>
  <c r="P69" i="204" s="1"/>
  <c r="E69" i="204"/>
  <c r="O68" i="204"/>
  <c r="N68" i="204"/>
  <c r="M68" i="204"/>
  <c r="L68" i="204"/>
  <c r="J68" i="204" s="1"/>
  <c r="K68" i="204"/>
  <c r="I68" i="204"/>
  <c r="H68" i="204"/>
  <c r="G68" i="204"/>
  <c r="F68" i="204"/>
  <c r="E68" i="204" s="1"/>
  <c r="P68" i="204" s="1"/>
  <c r="O67" i="204"/>
  <c r="J67" i="204" s="1"/>
  <c r="H67" i="204"/>
  <c r="F67" i="204"/>
  <c r="E67" i="204"/>
  <c r="O66" i="204"/>
  <c r="J66" i="204"/>
  <c r="F66" i="204"/>
  <c r="E66" i="204" s="1"/>
  <c r="O65" i="204"/>
  <c r="O64" i="204" s="1"/>
  <c r="J65" i="204"/>
  <c r="J64" i="204" s="1"/>
  <c r="H65" i="204"/>
  <c r="F65" i="204"/>
  <c r="E65" i="204"/>
  <c r="P65" i="204" s="1"/>
  <c r="N64" i="204"/>
  <c r="M64" i="204"/>
  <c r="L64" i="204"/>
  <c r="K64" i="204"/>
  <c r="I64" i="204"/>
  <c r="H64" i="204"/>
  <c r="G64" i="204"/>
  <c r="O63" i="204"/>
  <c r="J63" i="204" s="1"/>
  <c r="P63" i="204" s="1"/>
  <c r="E63" i="204"/>
  <c r="P62" i="204"/>
  <c r="O62" i="204"/>
  <c r="K62" i="204"/>
  <c r="J62" i="204"/>
  <c r="J61" i="204" s="1"/>
  <c r="P61" i="204" s="1"/>
  <c r="H62" i="204"/>
  <c r="G62" i="204"/>
  <c r="F62" i="204"/>
  <c r="E62" i="204"/>
  <c r="O61" i="204"/>
  <c r="N61" i="204"/>
  <c r="M61" i="204"/>
  <c r="L61" i="204"/>
  <c r="K61" i="204"/>
  <c r="I61" i="204"/>
  <c r="H61" i="204"/>
  <c r="G61" i="204"/>
  <c r="F61" i="204"/>
  <c r="E61" i="204"/>
  <c r="P60" i="204"/>
  <c r="J60" i="204"/>
  <c r="F60" i="204"/>
  <c r="E60" i="204"/>
  <c r="O59" i="204"/>
  <c r="O58" i="204" s="1"/>
  <c r="K59" i="204"/>
  <c r="J59" i="204"/>
  <c r="E59" i="204"/>
  <c r="P59" i="204" s="1"/>
  <c r="N58" i="204"/>
  <c r="M58" i="204"/>
  <c r="L58" i="204"/>
  <c r="K58" i="204"/>
  <c r="J58" i="204"/>
  <c r="I58" i="204"/>
  <c r="H58" i="204"/>
  <c r="G58" i="204"/>
  <c r="F58" i="204"/>
  <c r="E58" i="204"/>
  <c r="P58" i="204" s="1"/>
  <c r="O57" i="204"/>
  <c r="J57" i="204"/>
  <c r="H57" i="204"/>
  <c r="F57" i="204"/>
  <c r="E57" i="204" s="1"/>
  <c r="P57" i="204" s="1"/>
  <c r="O56" i="204"/>
  <c r="J56" i="204" s="1"/>
  <c r="E56" i="204"/>
  <c r="O55" i="204"/>
  <c r="N55" i="204"/>
  <c r="M55" i="204"/>
  <c r="L55" i="204"/>
  <c r="K55" i="204"/>
  <c r="I55" i="204"/>
  <c r="H55" i="204"/>
  <c r="G55" i="204"/>
  <c r="F55" i="204"/>
  <c r="E55" i="204"/>
  <c r="J54" i="204"/>
  <c r="F54" i="204"/>
  <c r="E54" i="204" s="1"/>
  <c r="O53" i="204"/>
  <c r="J53" i="204" s="1"/>
  <c r="E53" i="204"/>
  <c r="O52" i="204"/>
  <c r="N52" i="204"/>
  <c r="M52" i="204"/>
  <c r="L52" i="204"/>
  <c r="K52" i="204"/>
  <c r="I52" i="204"/>
  <c r="H52" i="204"/>
  <c r="G52" i="204"/>
  <c r="G46" i="204" s="1"/>
  <c r="G45" i="204" s="1"/>
  <c r="G44" i="204" s="1"/>
  <c r="F52" i="204"/>
  <c r="O51" i="204"/>
  <c r="J51" i="204" s="1"/>
  <c r="K51" i="204"/>
  <c r="H51" i="204"/>
  <c r="H48" i="204" s="1"/>
  <c r="H46" i="204" s="1"/>
  <c r="H45" i="204" s="1"/>
  <c r="H44" i="204" s="1"/>
  <c r="F51" i="204"/>
  <c r="E51" i="204" s="1"/>
  <c r="K50" i="204"/>
  <c r="O50" i="204" s="1"/>
  <c r="J50" i="204" s="1"/>
  <c r="H50" i="204"/>
  <c r="F50" i="204"/>
  <c r="E50" i="204"/>
  <c r="K49" i="204"/>
  <c r="O49" i="204" s="1"/>
  <c r="H49" i="204"/>
  <c r="G49" i="204"/>
  <c r="F49" i="204"/>
  <c r="E49" i="204"/>
  <c r="N48" i="204"/>
  <c r="M48" i="204"/>
  <c r="M46" i="204" s="1"/>
  <c r="M45" i="204" s="1"/>
  <c r="M44" i="204" s="1"/>
  <c r="L48" i="204"/>
  <c r="I48" i="204"/>
  <c r="I46" i="204" s="1"/>
  <c r="I45" i="204" s="1"/>
  <c r="I44" i="204" s="1"/>
  <c r="G48" i="204"/>
  <c r="L47" i="204"/>
  <c r="K47" i="204"/>
  <c r="H47" i="204"/>
  <c r="G47" i="204"/>
  <c r="F47" i="204"/>
  <c r="E47" i="204" s="1"/>
  <c r="N46" i="204"/>
  <c r="O43" i="204"/>
  <c r="J43" i="204" s="1"/>
  <c r="K43" i="204"/>
  <c r="F43" i="204"/>
  <c r="E43" i="204"/>
  <c r="E39" i="204" s="1"/>
  <c r="K42" i="204"/>
  <c r="O42" i="204" s="1"/>
  <c r="E42" i="204"/>
  <c r="O41" i="204"/>
  <c r="J41" i="204"/>
  <c r="E41" i="204"/>
  <c r="P41" i="204" s="1"/>
  <c r="N40" i="204"/>
  <c r="M40" i="204"/>
  <c r="L40" i="204"/>
  <c r="K40" i="204"/>
  <c r="I40" i="204"/>
  <c r="H40" i="204"/>
  <c r="G40" i="204"/>
  <c r="F40" i="204"/>
  <c r="E40" i="204"/>
  <c r="N39" i="204"/>
  <c r="M39" i="204"/>
  <c r="L39" i="204"/>
  <c r="K39" i="204"/>
  <c r="I39" i="204"/>
  <c r="H39" i="204"/>
  <c r="G39" i="204"/>
  <c r="F39" i="204"/>
  <c r="O38" i="204"/>
  <c r="J38" i="204"/>
  <c r="P38" i="204" s="1"/>
  <c r="P37" i="204" s="1"/>
  <c r="E38" i="204"/>
  <c r="O37" i="204"/>
  <c r="N37" i="204"/>
  <c r="N33" i="204" s="1"/>
  <c r="N16" i="204" s="1"/>
  <c r="M37" i="204"/>
  <c r="L37" i="204"/>
  <c r="K37" i="204"/>
  <c r="K33" i="204" s="1"/>
  <c r="J37" i="204"/>
  <c r="I37" i="204"/>
  <c r="H37" i="204"/>
  <c r="G37" i="204"/>
  <c r="G33" i="204" s="1"/>
  <c r="F37" i="204"/>
  <c r="F33" i="204" s="1"/>
  <c r="F16" i="204" s="1"/>
  <c r="E37" i="204"/>
  <c r="O36" i="204"/>
  <c r="J36" i="204"/>
  <c r="P36" i="204" s="1"/>
  <c r="E36" i="204"/>
  <c r="K35" i="204"/>
  <c r="K34" i="204" s="1"/>
  <c r="F35" i="204"/>
  <c r="E35" i="204"/>
  <c r="N34" i="204"/>
  <c r="M34" i="204"/>
  <c r="L34" i="204"/>
  <c r="I34" i="204"/>
  <c r="H34" i="204"/>
  <c r="G34" i="204"/>
  <c r="F34" i="204"/>
  <c r="E34" i="204"/>
  <c r="M33" i="204"/>
  <c r="L33" i="204"/>
  <c r="I33" i="204"/>
  <c r="H33" i="204"/>
  <c r="E33" i="204"/>
  <c r="P32" i="204"/>
  <c r="J32" i="204"/>
  <c r="E32" i="204"/>
  <c r="L30" i="204"/>
  <c r="J30" i="204" s="1"/>
  <c r="E30" i="204"/>
  <c r="O29" i="204"/>
  <c r="N29" i="204"/>
  <c r="M29" i="204"/>
  <c r="K29" i="204"/>
  <c r="I29" i="204"/>
  <c r="H29" i="204"/>
  <c r="G29" i="204"/>
  <c r="F29" i="204"/>
  <c r="E29" i="204"/>
  <c r="O28" i="204"/>
  <c r="J28" i="204" s="1"/>
  <c r="P28" i="204" s="1"/>
  <c r="E28" i="204"/>
  <c r="O27" i="204"/>
  <c r="J27" i="204" s="1"/>
  <c r="P27" i="204" s="1"/>
  <c r="E27" i="204"/>
  <c r="O26" i="204"/>
  <c r="O22" i="204" s="1"/>
  <c r="N26" i="204"/>
  <c r="M26" i="204"/>
  <c r="K26" i="204"/>
  <c r="K22" i="204" s="1"/>
  <c r="I26" i="204"/>
  <c r="H26" i="204"/>
  <c r="H22" i="204" s="1"/>
  <c r="G26" i="204"/>
  <c r="G22" i="204" s="1"/>
  <c r="F26" i="204"/>
  <c r="E26" i="204"/>
  <c r="J25" i="204"/>
  <c r="P25" i="204" s="1"/>
  <c r="E25" i="204"/>
  <c r="O24" i="204"/>
  <c r="J24" i="204"/>
  <c r="P24" i="204" s="1"/>
  <c r="E24" i="204"/>
  <c r="O23" i="204"/>
  <c r="N23" i="204"/>
  <c r="M23" i="204"/>
  <c r="L23" i="204"/>
  <c r="K23" i="204"/>
  <c r="J23" i="204"/>
  <c r="I23" i="204"/>
  <c r="H23" i="204"/>
  <c r="G23" i="204"/>
  <c r="F23" i="204"/>
  <c r="E23" i="204"/>
  <c r="N22" i="204"/>
  <c r="M22" i="204"/>
  <c r="I22" i="204"/>
  <c r="F22" i="204"/>
  <c r="E22" i="204"/>
  <c r="O21" i="204"/>
  <c r="J21" i="204"/>
  <c r="F21" i="204"/>
  <c r="E21" i="204" s="1"/>
  <c r="O20" i="204"/>
  <c r="J20" i="204" s="1"/>
  <c r="P20" i="204" s="1"/>
  <c r="E20" i="204"/>
  <c r="O19" i="204"/>
  <c r="J19" i="204" s="1"/>
  <c r="P19" i="204" s="1"/>
  <c r="E19" i="204"/>
  <c r="O18" i="204"/>
  <c r="J18" i="204" s="1"/>
  <c r="K18" i="204"/>
  <c r="K17" i="204" s="1"/>
  <c r="H18" i="204"/>
  <c r="H17" i="204" s="1"/>
  <c r="E18" i="204"/>
  <c r="N17" i="204"/>
  <c r="M17" i="204"/>
  <c r="M16" i="204" s="1"/>
  <c r="L17" i="204"/>
  <c r="I17" i="204"/>
  <c r="I16" i="204" s="1"/>
  <c r="G17" i="204"/>
  <c r="F17" i="204"/>
  <c r="G431" i="165"/>
  <c r="O91" i="165"/>
  <c r="P425" i="203"/>
  <c r="O425" i="203"/>
  <c r="N425" i="203"/>
  <c r="M425" i="203"/>
  <c r="L425" i="203"/>
  <c r="J435" i="203" s="1"/>
  <c r="K425" i="203"/>
  <c r="J425" i="203"/>
  <c r="H425" i="203"/>
  <c r="G425" i="203"/>
  <c r="F425" i="203"/>
  <c r="O422" i="203"/>
  <c r="J422" i="203" s="1"/>
  <c r="J421" i="203" s="1"/>
  <c r="J420" i="203" s="1"/>
  <c r="E422" i="203"/>
  <c r="O421" i="203"/>
  <c r="N421" i="203"/>
  <c r="M421" i="203"/>
  <c r="M420" i="203" s="1"/>
  <c r="L421" i="203"/>
  <c r="K421" i="203"/>
  <c r="I421" i="203"/>
  <c r="I420" i="203" s="1"/>
  <c r="H421" i="203"/>
  <c r="H420" i="203" s="1"/>
  <c r="H406" i="203" s="1"/>
  <c r="G421" i="203"/>
  <c r="F421" i="203"/>
  <c r="O420" i="203"/>
  <c r="N420" i="203"/>
  <c r="L420" i="203"/>
  <c r="L406" i="203" s="1"/>
  <c r="L405" i="203" s="1"/>
  <c r="K420" i="203"/>
  <c r="G420" i="203"/>
  <c r="F420" i="203"/>
  <c r="O419" i="203"/>
  <c r="J419" i="203" s="1"/>
  <c r="F419" i="203"/>
  <c r="O418" i="203"/>
  <c r="N418" i="203"/>
  <c r="N417" i="203" s="1"/>
  <c r="M418" i="203"/>
  <c r="M417" i="203" s="1"/>
  <c r="M413" i="203" s="1"/>
  <c r="M406" i="203" s="1"/>
  <c r="M405" i="203" s="1"/>
  <c r="L418" i="203"/>
  <c r="K418" i="203"/>
  <c r="I418" i="203"/>
  <c r="H418" i="203"/>
  <c r="G418" i="203"/>
  <c r="O417" i="203"/>
  <c r="L417" i="203"/>
  <c r="K417" i="203"/>
  <c r="I417" i="203"/>
  <c r="I413" i="203" s="1"/>
  <c r="I406" i="203" s="1"/>
  <c r="I405" i="203" s="1"/>
  <c r="H417" i="203"/>
  <c r="G417" i="203"/>
  <c r="O416" i="203"/>
  <c r="J416" i="203"/>
  <c r="F416" i="203"/>
  <c r="O415" i="203"/>
  <c r="N415" i="203"/>
  <c r="N413" i="203" s="1"/>
  <c r="M415" i="203"/>
  <c r="L415" i="203"/>
  <c r="K415" i="203"/>
  <c r="K413" i="203" s="1"/>
  <c r="J415" i="203"/>
  <c r="I415" i="203"/>
  <c r="H415" i="203"/>
  <c r="G415" i="203"/>
  <c r="G413" i="203" s="1"/>
  <c r="F415" i="203"/>
  <c r="O414" i="203"/>
  <c r="J414" i="203" s="1"/>
  <c r="E414" i="203"/>
  <c r="P414" i="203" s="1"/>
  <c r="O413" i="203"/>
  <c r="L413" i="203"/>
  <c r="H413" i="203"/>
  <c r="O412" i="203"/>
  <c r="J412" i="203" s="1"/>
  <c r="E412" i="203"/>
  <c r="O411" i="203"/>
  <c r="O410" i="203" s="1"/>
  <c r="N411" i="203"/>
  <c r="N410" i="203" s="1"/>
  <c r="M411" i="203"/>
  <c r="L411" i="203"/>
  <c r="K411" i="203"/>
  <c r="K410" i="203" s="1"/>
  <c r="J411" i="203"/>
  <c r="J410" i="203" s="1"/>
  <c r="I411" i="203"/>
  <c r="H411" i="203"/>
  <c r="G411" i="203"/>
  <c r="G410" i="203" s="1"/>
  <c r="F411" i="203"/>
  <c r="E411" i="203"/>
  <c r="M410" i="203"/>
  <c r="L410" i="203"/>
  <c r="I410" i="203"/>
  <c r="H410" i="203"/>
  <c r="F410" i="203"/>
  <c r="E410" i="203"/>
  <c r="O409" i="203"/>
  <c r="J409" i="203" s="1"/>
  <c r="P409" i="203" s="1"/>
  <c r="E409" i="203"/>
  <c r="O408" i="203"/>
  <c r="E408" i="203"/>
  <c r="N407" i="203"/>
  <c r="M407" i="203"/>
  <c r="L407" i="203"/>
  <c r="K407" i="203"/>
  <c r="I407" i="203"/>
  <c r="H407" i="203"/>
  <c r="G407" i="203"/>
  <c r="F407" i="203"/>
  <c r="E407" i="203"/>
  <c r="G406" i="203"/>
  <c r="G405" i="203" s="1"/>
  <c r="H405" i="203"/>
  <c r="O404" i="203"/>
  <c r="K404" i="203"/>
  <c r="E404" i="203"/>
  <c r="N403" i="203"/>
  <c r="M403" i="203"/>
  <c r="M400" i="203" s="1"/>
  <c r="M397" i="203" s="1"/>
  <c r="M396" i="203" s="1"/>
  <c r="L403" i="203"/>
  <c r="L400" i="203" s="1"/>
  <c r="K403" i="203"/>
  <c r="I403" i="203"/>
  <c r="I400" i="203" s="1"/>
  <c r="I397" i="203" s="1"/>
  <c r="I396" i="203" s="1"/>
  <c r="H403" i="203"/>
  <c r="H400" i="203" s="1"/>
  <c r="H397" i="203" s="1"/>
  <c r="G403" i="203"/>
  <c r="F403" i="203"/>
  <c r="E403" i="203"/>
  <c r="K402" i="203"/>
  <c r="O402" i="203" s="1"/>
  <c r="J402" i="203" s="1"/>
  <c r="J401" i="203" s="1"/>
  <c r="F402" i="203"/>
  <c r="O401" i="203"/>
  <c r="N401" i="203"/>
  <c r="M401" i="203"/>
  <c r="L401" i="203"/>
  <c r="K401" i="203"/>
  <c r="I401" i="203"/>
  <c r="H401" i="203"/>
  <c r="G401" i="203"/>
  <c r="G400" i="203" s="1"/>
  <c r="N400" i="203"/>
  <c r="K400" i="203"/>
  <c r="O399" i="203"/>
  <c r="J399" i="203" s="1"/>
  <c r="E399" i="203"/>
  <c r="O398" i="203"/>
  <c r="N398" i="203"/>
  <c r="N397" i="203" s="1"/>
  <c r="N396" i="203" s="1"/>
  <c r="M398" i="203"/>
  <c r="L398" i="203"/>
  <c r="K398" i="203"/>
  <c r="K397" i="203" s="1"/>
  <c r="K396" i="203" s="1"/>
  <c r="J398" i="203"/>
  <c r="I398" i="203"/>
  <c r="H398" i="203"/>
  <c r="G398" i="203"/>
  <c r="F398" i="203"/>
  <c r="E398" i="203"/>
  <c r="L397" i="203"/>
  <c r="G397" i="203"/>
  <c r="G396" i="203" s="1"/>
  <c r="H396" i="203"/>
  <c r="O395" i="203"/>
  <c r="E395" i="203"/>
  <c r="N394" i="203"/>
  <c r="M394" i="203"/>
  <c r="L394" i="203"/>
  <c r="K394" i="203"/>
  <c r="K387" i="203" s="1"/>
  <c r="K386" i="203" s="1"/>
  <c r="I394" i="203"/>
  <c r="H394" i="203"/>
  <c r="G394" i="203"/>
  <c r="G387" i="203" s="1"/>
  <c r="G386" i="203" s="1"/>
  <c r="F394" i="203"/>
  <c r="E394" i="203"/>
  <c r="O393" i="203"/>
  <c r="L393" i="203"/>
  <c r="J393" i="203"/>
  <c r="O392" i="203"/>
  <c r="N392" i="203"/>
  <c r="M392" i="203"/>
  <c r="L392" i="203"/>
  <c r="K392" i="203"/>
  <c r="I392" i="203"/>
  <c r="I391" i="203" s="1"/>
  <c r="H392" i="203"/>
  <c r="G392" i="203"/>
  <c r="F392" i="203"/>
  <c r="E392" i="203"/>
  <c r="E391" i="203" s="1"/>
  <c r="E387" i="203" s="1"/>
  <c r="E386" i="203" s="1"/>
  <c r="O391" i="203"/>
  <c r="N391" i="203"/>
  <c r="M391" i="203"/>
  <c r="M387" i="203" s="1"/>
  <c r="M386" i="203" s="1"/>
  <c r="L391" i="203"/>
  <c r="K391" i="203"/>
  <c r="H391" i="203"/>
  <c r="G391" i="203"/>
  <c r="F391" i="203"/>
  <c r="O390" i="203"/>
  <c r="J390" i="203" s="1"/>
  <c r="E390" i="203"/>
  <c r="O389" i="203"/>
  <c r="J389" i="203"/>
  <c r="E389" i="203"/>
  <c r="P389" i="203" s="1"/>
  <c r="O388" i="203"/>
  <c r="N388" i="203"/>
  <c r="M388" i="203"/>
  <c r="L388" i="203"/>
  <c r="K388" i="203"/>
  <c r="I388" i="203"/>
  <c r="H388" i="203"/>
  <c r="G388" i="203"/>
  <c r="F388" i="203"/>
  <c r="E388" i="203"/>
  <c r="N387" i="203"/>
  <c r="F387" i="203"/>
  <c r="N386" i="203"/>
  <c r="F386" i="203"/>
  <c r="O385" i="203"/>
  <c r="J385" i="203"/>
  <c r="J384" i="203" s="1"/>
  <c r="J383" i="203" s="1"/>
  <c r="E385" i="203"/>
  <c r="O384" i="203"/>
  <c r="N384" i="203"/>
  <c r="M384" i="203"/>
  <c r="M383" i="203" s="1"/>
  <c r="L384" i="203"/>
  <c r="K384" i="203"/>
  <c r="I384" i="203"/>
  <c r="I383" i="203" s="1"/>
  <c r="H384" i="203"/>
  <c r="G384" i="203"/>
  <c r="F384" i="203"/>
  <c r="O383" i="203"/>
  <c r="N383" i="203"/>
  <c r="L383" i="203"/>
  <c r="K383" i="203"/>
  <c r="H383" i="203"/>
  <c r="G383" i="203"/>
  <c r="F383" i="203"/>
  <c r="O382" i="203"/>
  <c r="J382" i="203"/>
  <c r="J381" i="203" s="1"/>
  <c r="J380" i="203" s="1"/>
  <c r="E382" i="203"/>
  <c r="O381" i="203"/>
  <c r="N381" i="203"/>
  <c r="N380" i="203" s="1"/>
  <c r="M381" i="203"/>
  <c r="M380" i="203" s="1"/>
  <c r="M368" i="203" s="1"/>
  <c r="M367" i="203" s="1"/>
  <c r="L381" i="203"/>
  <c r="K381" i="203"/>
  <c r="I381" i="203"/>
  <c r="H381" i="203"/>
  <c r="G381" i="203"/>
  <c r="F381" i="203"/>
  <c r="F380" i="203" s="1"/>
  <c r="E381" i="203"/>
  <c r="E380" i="203" s="1"/>
  <c r="O380" i="203"/>
  <c r="L380" i="203"/>
  <c r="K380" i="203"/>
  <c r="I380" i="203"/>
  <c r="H380" i="203"/>
  <c r="G380" i="203"/>
  <c r="O379" i="203"/>
  <c r="J379" i="203"/>
  <c r="E379" i="203"/>
  <c r="O378" i="203"/>
  <c r="N378" i="203"/>
  <c r="M378" i="203"/>
  <c r="M374" i="203" s="1"/>
  <c r="M371" i="203" s="1"/>
  <c r="L378" i="203"/>
  <c r="K378" i="203"/>
  <c r="J378" i="203"/>
  <c r="J374" i="203" s="1"/>
  <c r="I378" i="203"/>
  <c r="I374" i="203" s="1"/>
  <c r="I371" i="203" s="1"/>
  <c r="H378" i="203"/>
  <c r="G378" i="203"/>
  <c r="F378" i="203"/>
  <c r="F374" i="203" s="1"/>
  <c r="E378" i="203"/>
  <c r="O377" i="203"/>
  <c r="J377" i="203"/>
  <c r="E377" i="203"/>
  <c r="P377" i="203" s="1"/>
  <c r="O376" i="203"/>
  <c r="J376" i="203"/>
  <c r="E376" i="203"/>
  <c r="P376" i="203" s="1"/>
  <c r="O375" i="203"/>
  <c r="J375" i="203"/>
  <c r="F375" i="203"/>
  <c r="E375" i="203" s="1"/>
  <c r="O374" i="203"/>
  <c r="N374" i="203"/>
  <c r="N371" i="203" s="1"/>
  <c r="N368" i="203" s="1"/>
  <c r="N367" i="203" s="1"/>
  <c r="L374" i="203"/>
  <c r="K374" i="203"/>
  <c r="H374" i="203"/>
  <c r="G374" i="203"/>
  <c r="O373" i="203"/>
  <c r="E373" i="203"/>
  <c r="N372" i="203"/>
  <c r="M372" i="203"/>
  <c r="L372" i="203"/>
  <c r="L371" i="203" s="1"/>
  <c r="K372" i="203"/>
  <c r="I372" i="203"/>
  <c r="H372" i="203"/>
  <c r="G372" i="203"/>
  <c r="F372" i="203"/>
  <c r="E372" i="203"/>
  <c r="K371" i="203"/>
  <c r="K368" i="203" s="1"/>
  <c r="K367" i="203" s="1"/>
  <c r="F371" i="203"/>
  <c r="F368" i="203" s="1"/>
  <c r="F367" i="203" s="1"/>
  <c r="O370" i="203"/>
  <c r="J370" i="203" s="1"/>
  <c r="J369" i="203" s="1"/>
  <c r="E370" i="203"/>
  <c r="O369" i="203"/>
  <c r="N369" i="203"/>
  <c r="M369" i="203"/>
  <c r="L369" i="203"/>
  <c r="L368" i="203" s="1"/>
  <c r="K369" i="203"/>
  <c r="I369" i="203"/>
  <c r="H369" i="203"/>
  <c r="G369" i="203"/>
  <c r="F369" i="203"/>
  <c r="E369" i="203"/>
  <c r="P366" i="203"/>
  <c r="P365" i="203" s="1"/>
  <c r="O366" i="203"/>
  <c r="J366" i="203" s="1"/>
  <c r="J365" i="203" s="1"/>
  <c r="E366" i="203"/>
  <c r="O365" i="203"/>
  <c r="N365" i="203"/>
  <c r="M365" i="203"/>
  <c r="L365" i="203"/>
  <c r="K365" i="203"/>
  <c r="I365" i="203"/>
  <c r="H365" i="203"/>
  <c r="G365" i="203"/>
  <c r="F365" i="203"/>
  <c r="E365" i="203"/>
  <c r="O364" i="203"/>
  <c r="J364" i="203" s="1"/>
  <c r="J363" i="203" s="1"/>
  <c r="J362" i="203" s="1"/>
  <c r="E364" i="203"/>
  <c r="O363" i="203"/>
  <c r="N363" i="203"/>
  <c r="M363" i="203"/>
  <c r="M362" i="203" s="1"/>
  <c r="L363" i="203"/>
  <c r="K363" i="203"/>
  <c r="I363" i="203"/>
  <c r="H363" i="203"/>
  <c r="H362" i="203" s="1"/>
  <c r="G363" i="203"/>
  <c r="F363" i="203"/>
  <c r="O362" i="203"/>
  <c r="N362" i="203"/>
  <c r="L362" i="203"/>
  <c r="K362" i="203"/>
  <c r="I362" i="203"/>
  <c r="G362" i="203"/>
  <c r="F362" i="203"/>
  <c r="O361" i="203"/>
  <c r="E361" i="203"/>
  <c r="N360" i="203"/>
  <c r="M360" i="203"/>
  <c r="L360" i="203"/>
  <c r="K360" i="203"/>
  <c r="I360" i="203"/>
  <c r="H360" i="203"/>
  <c r="G360" i="203"/>
  <c r="F360" i="203"/>
  <c r="E360" i="203"/>
  <c r="P359" i="203"/>
  <c r="O359" i="203"/>
  <c r="J359" i="203" s="1"/>
  <c r="E359" i="203"/>
  <c r="O358" i="203"/>
  <c r="E358" i="203"/>
  <c r="N357" i="203"/>
  <c r="M357" i="203"/>
  <c r="M354" i="203" s="1"/>
  <c r="M353" i="203" s="1"/>
  <c r="M349" i="203" s="1"/>
  <c r="M348" i="203" s="1"/>
  <c r="L357" i="203"/>
  <c r="K357" i="203"/>
  <c r="I357" i="203"/>
  <c r="I354" i="203" s="1"/>
  <c r="H357" i="203"/>
  <c r="H354" i="203" s="1"/>
  <c r="H353" i="203" s="1"/>
  <c r="H349" i="203" s="1"/>
  <c r="H348" i="203" s="1"/>
  <c r="G357" i="203"/>
  <c r="F357" i="203"/>
  <c r="E357" i="203"/>
  <c r="O356" i="203"/>
  <c r="J356" i="203" s="1"/>
  <c r="J355" i="203" s="1"/>
  <c r="E356" i="203"/>
  <c r="O355" i="203"/>
  <c r="N355" i="203"/>
  <c r="M355" i="203"/>
  <c r="L355" i="203"/>
  <c r="K355" i="203"/>
  <c r="I355" i="203"/>
  <c r="H355" i="203"/>
  <c r="G355" i="203"/>
  <c r="G354" i="203" s="1"/>
  <c r="G353" i="203" s="1"/>
  <c r="F355" i="203"/>
  <c r="N354" i="203"/>
  <c r="L354" i="203"/>
  <c r="L353" i="203" s="1"/>
  <c r="K354" i="203"/>
  <c r="K353" i="203" s="1"/>
  <c r="K349" i="203" s="1"/>
  <c r="K348" i="203" s="1"/>
  <c r="F354" i="203"/>
  <c r="N353" i="203"/>
  <c r="F353" i="203"/>
  <c r="O352" i="203"/>
  <c r="J352" i="203" s="1"/>
  <c r="E352" i="203"/>
  <c r="E350" i="203" s="1"/>
  <c r="P351" i="203"/>
  <c r="O351" i="203"/>
  <c r="J351" i="203" s="1"/>
  <c r="J350" i="203" s="1"/>
  <c r="E351" i="203"/>
  <c r="O350" i="203"/>
  <c r="N350" i="203"/>
  <c r="M350" i="203"/>
  <c r="L350" i="203"/>
  <c r="K350" i="203"/>
  <c r="I350" i="203"/>
  <c r="H350" i="203"/>
  <c r="G350" i="203"/>
  <c r="F350" i="203"/>
  <c r="F349" i="203" s="1"/>
  <c r="F348" i="203" s="1"/>
  <c r="N349" i="203"/>
  <c r="L349" i="203"/>
  <c r="L348" i="203" s="1"/>
  <c r="N348" i="203"/>
  <c r="O347" i="203"/>
  <c r="E347" i="203"/>
  <c r="N346" i="203"/>
  <c r="M346" i="203"/>
  <c r="L346" i="203"/>
  <c r="K346" i="203"/>
  <c r="K345" i="203" s="1"/>
  <c r="I346" i="203"/>
  <c r="H346" i="203"/>
  <c r="G346" i="203"/>
  <c r="F346" i="203"/>
  <c r="E346" i="203"/>
  <c r="N345" i="203"/>
  <c r="M345" i="203"/>
  <c r="L345" i="203"/>
  <c r="I345" i="203"/>
  <c r="H345" i="203"/>
  <c r="G345" i="203"/>
  <c r="F345" i="203"/>
  <c r="E345" i="203"/>
  <c r="O344" i="203"/>
  <c r="J344" i="203" s="1"/>
  <c r="P344" i="203" s="1"/>
  <c r="E344" i="203"/>
  <c r="O343" i="203"/>
  <c r="J343" i="203" s="1"/>
  <c r="P343" i="203" s="1"/>
  <c r="E343" i="203"/>
  <c r="O342" i="203"/>
  <c r="J342" i="203" s="1"/>
  <c r="E342" i="203"/>
  <c r="N341" i="203"/>
  <c r="M341" i="203"/>
  <c r="L341" i="203"/>
  <c r="K341" i="203"/>
  <c r="I341" i="203"/>
  <c r="H341" i="203"/>
  <c r="H340" i="203" s="1"/>
  <c r="H339" i="203" s="1"/>
  <c r="G341" i="203"/>
  <c r="F341" i="203"/>
  <c r="E341" i="203"/>
  <c r="N340" i="203"/>
  <c r="M340" i="203"/>
  <c r="L340" i="203"/>
  <c r="I340" i="203"/>
  <c r="F340" i="203"/>
  <c r="E340" i="203"/>
  <c r="N339" i="203"/>
  <c r="M339" i="203"/>
  <c r="I339" i="203"/>
  <c r="F339" i="203"/>
  <c r="P338" i="203"/>
  <c r="P335" i="203" s="1"/>
  <c r="P334" i="203" s="1"/>
  <c r="O338" i="203"/>
  <c r="J338" i="203" s="1"/>
  <c r="J335" i="203" s="1"/>
  <c r="E338" i="203"/>
  <c r="P336" i="203"/>
  <c r="O336" i="203"/>
  <c r="J336" i="203"/>
  <c r="E336" i="203"/>
  <c r="E335" i="203" s="1"/>
  <c r="E334" i="203" s="1"/>
  <c r="O335" i="203"/>
  <c r="N335" i="203"/>
  <c r="M335" i="203"/>
  <c r="M334" i="203" s="1"/>
  <c r="L335" i="203"/>
  <c r="L334" i="203" s="1"/>
  <c r="K335" i="203"/>
  <c r="I335" i="203"/>
  <c r="H335" i="203"/>
  <c r="G335" i="203"/>
  <c r="F335" i="203"/>
  <c r="O334" i="203"/>
  <c r="N334" i="203"/>
  <c r="N325" i="203" s="1"/>
  <c r="K334" i="203"/>
  <c r="J334" i="203"/>
  <c r="I334" i="203"/>
  <c r="H334" i="203"/>
  <c r="G334" i="203"/>
  <c r="G325" i="203" s="1"/>
  <c r="F334" i="203"/>
  <c r="F325" i="203" s="1"/>
  <c r="O333" i="203"/>
  <c r="J333" i="203" s="1"/>
  <c r="P333" i="203" s="1"/>
  <c r="E333" i="203"/>
  <c r="K332" i="203"/>
  <c r="E332" i="203"/>
  <c r="O331" i="203"/>
  <c r="J331" i="203" s="1"/>
  <c r="P331" i="203" s="1"/>
  <c r="E331" i="203"/>
  <c r="O330" i="203"/>
  <c r="J330" i="203" s="1"/>
  <c r="P330" i="203" s="1"/>
  <c r="E330" i="203"/>
  <c r="O329" i="203"/>
  <c r="K329" i="203"/>
  <c r="E329" i="203"/>
  <c r="E328" i="203" s="1"/>
  <c r="E326" i="203" s="1"/>
  <c r="E325" i="203" s="1"/>
  <c r="N328" i="203"/>
  <c r="M328" i="203"/>
  <c r="L328" i="203"/>
  <c r="L326" i="203" s="1"/>
  <c r="L325" i="203" s="1"/>
  <c r="K328" i="203"/>
  <c r="I328" i="203"/>
  <c r="H328" i="203"/>
  <c r="G328" i="203"/>
  <c r="F328" i="203"/>
  <c r="P327" i="203"/>
  <c r="O327" i="203"/>
  <c r="J327" i="203"/>
  <c r="E327" i="203"/>
  <c r="N326" i="203"/>
  <c r="M326" i="203"/>
  <c r="I326" i="203"/>
  <c r="H326" i="203"/>
  <c r="G326" i="203"/>
  <c r="F326" i="203"/>
  <c r="M325" i="203"/>
  <c r="I325" i="203"/>
  <c r="H325" i="203"/>
  <c r="O324" i="203"/>
  <c r="J324" i="203"/>
  <c r="E324" i="203"/>
  <c r="O323" i="203"/>
  <c r="N323" i="203"/>
  <c r="M323" i="203"/>
  <c r="M322" i="203" s="1"/>
  <c r="L323" i="203"/>
  <c r="K323" i="203"/>
  <c r="J323" i="203"/>
  <c r="I323" i="203"/>
  <c r="I322" i="203" s="1"/>
  <c r="H323" i="203"/>
  <c r="G323" i="203"/>
  <c r="F323" i="203"/>
  <c r="O322" i="203"/>
  <c r="N322" i="203"/>
  <c r="L322" i="203"/>
  <c r="K322" i="203"/>
  <c r="J322" i="203"/>
  <c r="H322" i="203"/>
  <c r="G322" i="203"/>
  <c r="F322" i="203"/>
  <c r="K321" i="203"/>
  <c r="O321" i="203" s="1"/>
  <c r="O320" i="203" s="1"/>
  <c r="J321" i="203"/>
  <c r="J320" i="203" s="1"/>
  <c r="E321" i="203"/>
  <c r="N320" i="203"/>
  <c r="M320" i="203"/>
  <c r="L320" i="203"/>
  <c r="K320" i="203"/>
  <c r="I320" i="203"/>
  <c r="H320" i="203"/>
  <c r="G320" i="203"/>
  <c r="F320" i="203"/>
  <c r="O319" i="203"/>
  <c r="J319" i="203"/>
  <c r="P319" i="203" s="1"/>
  <c r="E319" i="203"/>
  <c r="O318" i="203"/>
  <c r="J318" i="203"/>
  <c r="E318" i="203"/>
  <c r="O317" i="203"/>
  <c r="J317" i="203"/>
  <c r="E317" i="203"/>
  <c r="P317" i="203" s="1"/>
  <c r="O316" i="203"/>
  <c r="N316" i="203"/>
  <c r="M316" i="203"/>
  <c r="L316" i="203"/>
  <c r="K316" i="203"/>
  <c r="I316" i="203"/>
  <c r="H316" i="203"/>
  <c r="G316" i="203"/>
  <c r="F316" i="203"/>
  <c r="N315" i="203"/>
  <c r="N314" i="203" s="1"/>
  <c r="G315" i="203"/>
  <c r="G314" i="203" s="1"/>
  <c r="F315" i="203"/>
  <c r="F314" i="203" s="1"/>
  <c r="O313" i="203"/>
  <c r="O312" i="203" s="1"/>
  <c r="O311" i="203" s="1"/>
  <c r="J313" i="203"/>
  <c r="E313" i="203"/>
  <c r="N312" i="203"/>
  <c r="N311" i="203" s="1"/>
  <c r="M312" i="203"/>
  <c r="L312" i="203"/>
  <c r="K312" i="203"/>
  <c r="K311" i="203" s="1"/>
  <c r="I312" i="203"/>
  <c r="H312" i="203"/>
  <c r="G312" i="203"/>
  <c r="G311" i="203" s="1"/>
  <c r="F312" i="203"/>
  <c r="F311" i="203" s="1"/>
  <c r="E312" i="203"/>
  <c r="M311" i="203"/>
  <c r="L311" i="203"/>
  <c r="I311" i="203"/>
  <c r="H311" i="203"/>
  <c r="E311" i="203"/>
  <c r="O310" i="203"/>
  <c r="J310" i="203" s="1"/>
  <c r="H310" i="203"/>
  <c r="G310" i="203"/>
  <c r="F310" i="203"/>
  <c r="O309" i="203"/>
  <c r="J309" i="203"/>
  <c r="H309" i="203"/>
  <c r="H307" i="203" s="1"/>
  <c r="H306" i="203" s="1"/>
  <c r="E309" i="203"/>
  <c r="O308" i="203"/>
  <c r="O307" i="203" s="1"/>
  <c r="O306" i="203" s="1"/>
  <c r="J308" i="203"/>
  <c r="P308" i="203" s="1"/>
  <c r="E308" i="203"/>
  <c r="N307" i="203"/>
  <c r="M307" i="203"/>
  <c r="L307" i="203"/>
  <c r="K307" i="203"/>
  <c r="I307" i="203"/>
  <c r="G307" i="203"/>
  <c r="G306" i="203" s="1"/>
  <c r="N306" i="203"/>
  <c r="M306" i="203"/>
  <c r="L306" i="203"/>
  <c r="K306" i="203"/>
  <c r="I306" i="203"/>
  <c r="O305" i="203"/>
  <c r="O302" i="203" s="1"/>
  <c r="J305" i="203"/>
  <c r="P305" i="203" s="1"/>
  <c r="E305" i="203"/>
  <c r="J303" i="203"/>
  <c r="N302" i="203"/>
  <c r="M302" i="203"/>
  <c r="M299" i="203" s="1"/>
  <c r="L302" i="203"/>
  <c r="L299" i="203" s="1"/>
  <c r="K302" i="203"/>
  <c r="I302" i="203"/>
  <c r="I299" i="203" s="1"/>
  <c r="H302" i="203"/>
  <c r="H299" i="203" s="1"/>
  <c r="G302" i="203"/>
  <c r="F302" i="203"/>
  <c r="E302" i="203"/>
  <c r="E299" i="203" s="1"/>
  <c r="K301" i="203"/>
  <c r="O301" i="203" s="1"/>
  <c r="J301" i="203"/>
  <c r="E301" i="203"/>
  <c r="P301" i="203" s="1"/>
  <c r="K300" i="203"/>
  <c r="O300" i="203" s="1"/>
  <c r="J300" i="203"/>
  <c r="E300" i="203"/>
  <c r="P300" i="203" s="1"/>
  <c r="O299" i="203"/>
  <c r="N299" i="203"/>
  <c r="K299" i="203"/>
  <c r="G299" i="203"/>
  <c r="G293" i="203" s="1"/>
  <c r="F299" i="203"/>
  <c r="K298" i="203"/>
  <c r="K297" i="203" s="1"/>
  <c r="K296" i="203" s="1"/>
  <c r="K293" i="203" s="1"/>
  <c r="F298" i="203"/>
  <c r="E298" i="203"/>
  <c r="N297" i="203"/>
  <c r="M297" i="203"/>
  <c r="M296" i="203" s="1"/>
  <c r="M293" i="203" s="1"/>
  <c r="M280" i="203" s="1"/>
  <c r="M279" i="203" s="1"/>
  <c r="L297" i="203"/>
  <c r="I297" i="203"/>
  <c r="H297" i="203"/>
  <c r="G297" i="203"/>
  <c r="F297" i="203"/>
  <c r="E297" i="203"/>
  <c r="N296" i="203"/>
  <c r="L296" i="203"/>
  <c r="L293" i="203" s="1"/>
  <c r="I296" i="203"/>
  <c r="I293" i="203" s="1"/>
  <c r="I280" i="203" s="1"/>
  <c r="I279" i="203" s="1"/>
  <c r="H296" i="203"/>
  <c r="H293" i="203" s="1"/>
  <c r="G296" i="203"/>
  <c r="F296" i="203"/>
  <c r="E296" i="203"/>
  <c r="P295" i="203"/>
  <c r="P294" i="203" s="1"/>
  <c r="K295" i="203"/>
  <c r="O295" i="203" s="1"/>
  <c r="O294" i="203" s="1"/>
  <c r="J295" i="203"/>
  <c r="E295" i="203"/>
  <c r="E294" i="203" s="1"/>
  <c r="E293" i="203" s="1"/>
  <c r="N294" i="203"/>
  <c r="N293" i="203" s="1"/>
  <c r="M294" i="203"/>
  <c r="L294" i="203"/>
  <c r="K294" i="203"/>
  <c r="J294" i="203"/>
  <c r="I294" i="203"/>
  <c r="H294" i="203"/>
  <c r="G294" i="203"/>
  <c r="F294" i="203"/>
  <c r="F293" i="203" s="1"/>
  <c r="O292" i="203"/>
  <c r="J292" i="203"/>
  <c r="E292" i="203"/>
  <c r="P292" i="203" s="1"/>
  <c r="O291" i="203"/>
  <c r="J291" i="203"/>
  <c r="F291" i="203"/>
  <c r="E291" i="203" s="1"/>
  <c r="O290" i="203"/>
  <c r="J290" i="203"/>
  <c r="F290" i="203"/>
  <c r="E290" i="203"/>
  <c r="O289" i="203"/>
  <c r="J289" i="203" s="1"/>
  <c r="P289" i="203" s="1"/>
  <c r="E289" i="203"/>
  <c r="O288" i="203"/>
  <c r="J288" i="203" s="1"/>
  <c r="P288" i="203" s="1"/>
  <c r="K288" i="203"/>
  <c r="F288" i="203"/>
  <c r="E288" i="203" s="1"/>
  <c r="O287" i="203"/>
  <c r="J287" i="203"/>
  <c r="F287" i="203"/>
  <c r="N286" i="203"/>
  <c r="M286" i="203"/>
  <c r="L286" i="203"/>
  <c r="K286" i="203"/>
  <c r="I286" i="203"/>
  <c r="H286" i="203"/>
  <c r="G286" i="203"/>
  <c r="N285" i="203"/>
  <c r="M285" i="203"/>
  <c r="L285" i="203"/>
  <c r="K285" i="203"/>
  <c r="I285" i="203"/>
  <c r="H285" i="203"/>
  <c r="G285" i="203"/>
  <c r="G280" i="203" s="1"/>
  <c r="G279" i="203" s="1"/>
  <c r="O284" i="203"/>
  <c r="J284" i="203"/>
  <c r="P284" i="203" s="1"/>
  <c r="E284" i="203"/>
  <c r="O283" i="203"/>
  <c r="J283" i="203" s="1"/>
  <c r="P283" i="203" s="1"/>
  <c r="E283" i="203"/>
  <c r="O282" i="203"/>
  <c r="J282" i="203"/>
  <c r="E282" i="203"/>
  <c r="N281" i="203"/>
  <c r="M281" i="203"/>
  <c r="L281" i="203"/>
  <c r="K281" i="203"/>
  <c r="I281" i="203"/>
  <c r="H281" i="203"/>
  <c r="G281" i="203"/>
  <c r="F281" i="203"/>
  <c r="E281" i="203"/>
  <c r="L280" i="203"/>
  <c r="K280" i="203"/>
  <c r="K279" i="203" s="1"/>
  <c r="O278" i="203"/>
  <c r="J278" i="203" s="1"/>
  <c r="J277" i="203" s="1"/>
  <c r="E278" i="203"/>
  <c r="N277" i="203"/>
  <c r="M277" i="203"/>
  <c r="L277" i="203"/>
  <c r="K277" i="203"/>
  <c r="I277" i="203"/>
  <c r="H277" i="203"/>
  <c r="G277" i="203"/>
  <c r="F277" i="203"/>
  <c r="E277" i="203"/>
  <c r="O276" i="203"/>
  <c r="F276" i="203"/>
  <c r="E276" i="203"/>
  <c r="N275" i="203"/>
  <c r="M275" i="203"/>
  <c r="I275" i="203"/>
  <c r="H275" i="203"/>
  <c r="H274" i="203" s="1"/>
  <c r="F275" i="203"/>
  <c r="E275" i="203"/>
  <c r="N274" i="203"/>
  <c r="M274" i="203"/>
  <c r="I274" i="203"/>
  <c r="F274" i="203"/>
  <c r="E274" i="203"/>
  <c r="P272" i="203"/>
  <c r="O272" i="203"/>
  <c r="J272" i="203"/>
  <c r="E272" i="203"/>
  <c r="P271" i="203"/>
  <c r="O271" i="203"/>
  <c r="N271" i="203"/>
  <c r="M271" i="203"/>
  <c r="L271" i="203"/>
  <c r="L268" i="203" s="1"/>
  <c r="K271" i="203"/>
  <c r="J271" i="203"/>
  <c r="I271" i="203"/>
  <c r="I268" i="203" s="1"/>
  <c r="I265" i="203" s="1"/>
  <c r="H271" i="203"/>
  <c r="H268" i="203" s="1"/>
  <c r="G271" i="203"/>
  <c r="F271" i="203"/>
  <c r="E271" i="203"/>
  <c r="P270" i="203"/>
  <c r="O270" i="203"/>
  <c r="J270" i="203"/>
  <c r="E270" i="203"/>
  <c r="O269" i="203"/>
  <c r="J269" i="203"/>
  <c r="F269" i="203"/>
  <c r="E269" i="203"/>
  <c r="P269" i="203" s="1"/>
  <c r="P268" i="203" s="1"/>
  <c r="O268" i="203"/>
  <c r="N268" i="203"/>
  <c r="M268" i="203"/>
  <c r="M265" i="203" s="1"/>
  <c r="K268" i="203"/>
  <c r="K265" i="203" s="1"/>
  <c r="J268" i="203"/>
  <c r="G268" i="203"/>
  <c r="F268" i="203"/>
  <c r="F265" i="203" s="1"/>
  <c r="E268" i="203"/>
  <c r="E265" i="203" s="1"/>
  <c r="K267" i="203"/>
  <c r="O267" i="203" s="1"/>
  <c r="E267" i="203"/>
  <c r="N266" i="203"/>
  <c r="M266" i="203"/>
  <c r="L266" i="203"/>
  <c r="K266" i="203"/>
  <c r="I266" i="203"/>
  <c r="H266" i="203"/>
  <c r="G266" i="203"/>
  <c r="F266" i="203"/>
  <c r="E266" i="203"/>
  <c r="N265" i="203"/>
  <c r="L265" i="203"/>
  <c r="H265" i="203"/>
  <c r="G265" i="203"/>
  <c r="O264" i="203"/>
  <c r="J264" i="203"/>
  <c r="P264" i="203" s="1"/>
  <c r="E264" i="203"/>
  <c r="K263" i="203"/>
  <c r="O263" i="203" s="1"/>
  <c r="J263" i="203" s="1"/>
  <c r="F263" i="203"/>
  <c r="E263" i="203"/>
  <c r="P262" i="203"/>
  <c r="O262" i="203"/>
  <c r="J262" i="203"/>
  <c r="E262" i="203"/>
  <c r="O261" i="203"/>
  <c r="J261" i="203"/>
  <c r="F261" i="203"/>
  <c r="E261" i="203"/>
  <c r="P261" i="203" s="1"/>
  <c r="O260" i="203"/>
  <c r="J260" i="203" s="1"/>
  <c r="P260" i="203" s="1"/>
  <c r="K260" i="203"/>
  <c r="E260" i="203"/>
  <c r="K259" i="203"/>
  <c r="K258" i="203" s="1"/>
  <c r="F259" i="203"/>
  <c r="F258" i="203" s="1"/>
  <c r="F257" i="203" s="1"/>
  <c r="F252" i="203" s="1"/>
  <c r="F251" i="203" s="1"/>
  <c r="E259" i="203"/>
  <c r="E258" i="203" s="1"/>
  <c r="E257" i="203" s="1"/>
  <c r="N258" i="203"/>
  <c r="M258" i="203"/>
  <c r="M257" i="203" s="1"/>
  <c r="L258" i="203"/>
  <c r="L257" i="203" s="1"/>
  <c r="I258" i="203"/>
  <c r="H258" i="203"/>
  <c r="H257" i="203" s="1"/>
  <c r="G258" i="203"/>
  <c r="N257" i="203"/>
  <c r="N252" i="203" s="1"/>
  <c r="N251" i="203" s="1"/>
  <c r="I257" i="203"/>
  <c r="G257" i="203"/>
  <c r="J256" i="203"/>
  <c r="E256" i="203"/>
  <c r="P256" i="203" s="1"/>
  <c r="P255" i="203"/>
  <c r="O255" i="203"/>
  <c r="J255" i="203" s="1"/>
  <c r="E255" i="203"/>
  <c r="O254" i="203"/>
  <c r="E254" i="203"/>
  <c r="N253" i="203"/>
  <c r="M253" i="203"/>
  <c r="L253" i="203"/>
  <c r="K253" i="203"/>
  <c r="I253" i="203"/>
  <c r="H253" i="203"/>
  <c r="G253" i="203"/>
  <c r="F253" i="203"/>
  <c r="E253" i="203"/>
  <c r="M252" i="203"/>
  <c r="M251" i="203" s="1"/>
  <c r="H252" i="203"/>
  <c r="H251" i="203" s="1"/>
  <c r="P250" i="203"/>
  <c r="O250" i="203"/>
  <c r="J250" i="203"/>
  <c r="E250" i="203"/>
  <c r="P249" i="203"/>
  <c r="O249" i="203"/>
  <c r="N249" i="203"/>
  <c r="M249" i="203"/>
  <c r="L249" i="203"/>
  <c r="K249" i="203"/>
  <c r="J249" i="203"/>
  <c r="I249" i="203"/>
  <c r="H249" i="203"/>
  <c r="G249" i="203"/>
  <c r="F249" i="203"/>
  <c r="E249" i="203"/>
  <c r="P248" i="203"/>
  <c r="O248" i="203"/>
  <c r="N248" i="203"/>
  <c r="M248" i="203"/>
  <c r="L248" i="203"/>
  <c r="K248" i="203"/>
  <c r="J248" i="203"/>
  <c r="I248" i="203"/>
  <c r="H248" i="203"/>
  <c r="G248" i="203"/>
  <c r="F248" i="203"/>
  <c r="E248" i="203"/>
  <c r="P247" i="203"/>
  <c r="O247" i="203"/>
  <c r="J247" i="203"/>
  <c r="E247" i="203"/>
  <c r="P246" i="203"/>
  <c r="O246" i="203"/>
  <c r="J246" i="203"/>
  <c r="E246" i="203"/>
  <c r="P245" i="203"/>
  <c r="O245" i="203"/>
  <c r="N245" i="203"/>
  <c r="M245" i="203"/>
  <c r="L245" i="203"/>
  <c r="L241" i="203" s="1"/>
  <c r="K245" i="203"/>
  <c r="J245" i="203"/>
  <c r="I245" i="203"/>
  <c r="H245" i="203"/>
  <c r="H241" i="203" s="1"/>
  <c r="G245" i="203"/>
  <c r="F245" i="203"/>
  <c r="E245" i="203"/>
  <c r="P244" i="203"/>
  <c r="P243" i="203" s="1"/>
  <c r="P242" i="203" s="1"/>
  <c r="K244" i="203"/>
  <c r="O244" i="203" s="1"/>
  <c r="J244" i="203"/>
  <c r="J243" i="203" s="1"/>
  <c r="E244" i="203"/>
  <c r="E243" i="203" s="1"/>
  <c r="E242" i="203" s="1"/>
  <c r="O243" i="203"/>
  <c r="O242" i="203" s="1"/>
  <c r="O241" i="203" s="1"/>
  <c r="N243" i="203"/>
  <c r="M243" i="203"/>
  <c r="M242" i="203" s="1"/>
  <c r="L243" i="203"/>
  <c r="K243" i="203"/>
  <c r="K242" i="203" s="1"/>
  <c r="K241" i="203" s="1"/>
  <c r="I243" i="203"/>
  <c r="I242" i="203" s="1"/>
  <c r="I241" i="203" s="1"/>
  <c r="H243" i="203"/>
  <c r="G243" i="203"/>
  <c r="G242" i="203" s="1"/>
  <c r="F243" i="203"/>
  <c r="N242" i="203"/>
  <c r="N241" i="203" s="1"/>
  <c r="L242" i="203"/>
  <c r="J242" i="203"/>
  <c r="J241" i="203" s="1"/>
  <c r="H242" i="203"/>
  <c r="F242" i="203"/>
  <c r="M241" i="203"/>
  <c r="G241" i="203"/>
  <c r="O240" i="203"/>
  <c r="O239" i="203" s="1"/>
  <c r="O238" i="203" s="1"/>
  <c r="J240" i="203"/>
  <c r="J239" i="203" s="1"/>
  <c r="J238" i="203" s="1"/>
  <c r="E240" i="203"/>
  <c r="N239" i="203"/>
  <c r="N238" i="203" s="1"/>
  <c r="M239" i="203"/>
  <c r="M238" i="203" s="1"/>
  <c r="L239" i="203"/>
  <c r="K239" i="203"/>
  <c r="K238" i="203" s="1"/>
  <c r="I239" i="203"/>
  <c r="I238" i="203" s="1"/>
  <c r="H239" i="203"/>
  <c r="G239" i="203"/>
  <c r="G238" i="203" s="1"/>
  <c r="F239" i="203"/>
  <c r="F238" i="203" s="1"/>
  <c r="E239" i="203"/>
  <c r="E238" i="203" s="1"/>
  <c r="L238" i="203"/>
  <c r="H238" i="203"/>
  <c r="O237" i="203"/>
  <c r="J237" i="203" s="1"/>
  <c r="E237" i="203"/>
  <c r="O236" i="203"/>
  <c r="O234" i="203" s="1"/>
  <c r="J236" i="203"/>
  <c r="J234" i="203" s="1"/>
  <c r="E236" i="203"/>
  <c r="O235" i="203"/>
  <c r="J235" i="203"/>
  <c r="F235" i="203"/>
  <c r="N234" i="203"/>
  <c r="M234" i="203"/>
  <c r="L234" i="203"/>
  <c r="K234" i="203"/>
  <c r="I234" i="203"/>
  <c r="H234" i="203"/>
  <c r="G234" i="203"/>
  <c r="P233" i="203"/>
  <c r="O233" i="203"/>
  <c r="J233" i="203"/>
  <c r="E233" i="203"/>
  <c r="P232" i="203"/>
  <c r="O232" i="203"/>
  <c r="N232" i="203"/>
  <c r="M232" i="203"/>
  <c r="L232" i="203"/>
  <c r="K232" i="203"/>
  <c r="J232" i="203"/>
  <c r="I232" i="203"/>
  <c r="H232" i="203"/>
  <c r="G232" i="203"/>
  <c r="F232" i="203"/>
  <c r="E232" i="203"/>
  <c r="P231" i="203"/>
  <c r="O231" i="203"/>
  <c r="J231" i="203"/>
  <c r="E231" i="203"/>
  <c r="O230" i="203"/>
  <c r="L230" i="203"/>
  <c r="L229" i="203" s="1"/>
  <c r="K230" i="203"/>
  <c r="J230" i="203"/>
  <c r="J229" i="203" s="1"/>
  <c r="H230" i="203"/>
  <c r="G230" i="203"/>
  <c r="G229" i="203" s="1"/>
  <c r="F230" i="203"/>
  <c r="E230" i="203"/>
  <c r="E229" i="203" s="1"/>
  <c r="O229" i="203"/>
  <c r="N229" i="203"/>
  <c r="M229" i="203"/>
  <c r="K229" i="203"/>
  <c r="I229" i="203"/>
  <c r="H229" i="203"/>
  <c r="F229" i="203"/>
  <c r="P228" i="203"/>
  <c r="P227" i="203" s="1"/>
  <c r="O228" i="203"/>
  <c r="J228" i="203" s="1"/>
  <c r="J227" i="203" s="1"/>
  <c r="E228" i="203"/>
  <c r="E227" i="203" s="1"/>
  <c r="O227" i="203"/>
  <c r="N227" i="203"/>
  <c r="M227" i="203"/>
  <c r="L227" i="203"/>
  <c r="K227" i="203"/>
  <c r="K223" i="203" s="1"/>
  <c r="I227" i="203"/>
  <c r="H227" i="203"/>
  <c r="G227" i="203"/>
  <c r="F227" i="203"/>
  <c r="O226" i="203"/>
  <c r="J226" i="203" s="1"/>
  <c r="E226" i="203"/>
  <c r="P226" i="203" s="1"/>
  <c r="O225" i="203"/>
  <c r="F225" i="203"/>
  <c r="F224" i="203" s="1"/>
  <c r="E225" i="203"/>
  <c r="N224" i="203"/>
  <c r="N223" i="203" s="1"/>
  <c r="M224" i="203"/>
  <c r="L224" i="203"/>
  <c r="K224" i="203"/>
  <c r="I224" i="203"/>
  <c r="I223" i="203" s="1"/>
  <c r="H224" i="203"/>
  <c r="G224" i="203"/>
  <c r="O222" i="203"/>
  <c r="J222" i="203"/>
  <c r="H222" i="203"/>
  <c r="H220" i="203" s="1"/>
  <c r="E222" i="203"/>
  <c r="P222" i="203" s="1"/>
  <c r="K221" i="203"/>
  <c r="O221" i="203" s="1"/>
  <c r="J221" i="203"/>
  <c r="J220" i="203" s="1"/>
  <c r="H221" i="203"/>
  <c r="E221" i="203"/>
  <c r="O220" i="203"/>
  <c r="N220" i="203"/>
  <c r="M220" i="203"/>
  <c r="M217" i="203" s="1"/>
  <c r="L220" i="203"/>
  <c r="K220" i="203"/>
  <c r="I220" i="203"/>
  <c r="I217" i="203" s="1"/>
  <c r="G220" i="203"/>
  <c r="F220" i="203"/>
  <c r="O219" i="203"/>
  <c r="J219" i="203" s="1"/>
  <c r="J218" i="203" s="1"/>
  <c r="H219" i="203"/>
  <c r="H218" i="203" s="1"/>
  <c r="H217" i="203" s="1"/>
  <c r="G219" i="203"/>
  <c r="F219" i="203"/>
  <c r="E219" i="203" s="1"/>
  <c r="E218" i="203" s="1"/>
  <c r="O218" i="203"/>
  <c r="O217" i="203" s="1"/>
  <c r="N218" i="203"/>
  <c r="M218" i="203"/>
  <c r="L218" i="203"/>
  <c r="L217" i="203" s="1"/>
  <c r="K218" i="203"/>
  <c r="K217" i="203" s="1"/>
  <c r="K216" i="203" s="1"/>
  <c r="K215" i="203" s="1"/>
  <c r="I218" i="203"/>
  <c r="G218" i="203"/>
  <c r="G217" i="203" s="1"/>
  <c r="N217" i="203"/>
  <c r="O214" i="203"/>
  <c r="J214" i="203" s="1"/>
  <c r="J213" i="203" s="1"/>
  <c r="J212" i="203" s="1"/>
  <c r="E214" i="203"/>
  <c r="N213" i="203"/>
  <c r="M213" i="203"/>
  <c r="M212" i="203" s="1"/>
  <c r="M195" i="203" s="1"/>
  <c r="M194" i="203" s="1"/>
  <c r="L213" i="203"/>
  <c r="K213" i="203"/>
  <c r="K212" i="203" s="1"/>
  <c r="I213" i="203"/>
  <c r="I212" i="203" s="1"/>
  <c r="H213" i="203"/>
  <c r="H212" i="203" s="1"/>
  <c r="G213" i="203"/>
  <c r="F213" i="203"/>
  <c r="N212" i="203"/>
  <c r="L212" i="203"/>
  <c r="G212" i="203"/>
  <c r="F212" i="203"/>
  <c r="O211" i="203"/>
  <c r="K211" i="203"/>
  <c r="E211" i="203"/>
  <c r="P210" i="203"/>
  <c r="O210" i="203"/>
  <c r="J210" i="203"/>
  <c r="E210" i="203"/>
  <c r="P209" i="203"/>
  <c r="O209" i="203"/>
  <c r="J209" i="203"/>
  <c r="E209" i="203"/>
  <c r="P208" i="203"/>
  <c r="O208" i="203"/>
  <c r="N208" i="203"/>
  <c r="N207" i="203" s="1"/>
  <c r="M208" i="203"/>
  <c r="M207" i="203" s="1"/>
  <c r="M206" i="203" s="1"/>
  <c r="L208" i="203"/>
  <c r="L207" i="203" s="1"/>
  <c r="L206" i="203" s="1"/>
  <c r="K208" i="203"/>
  <c r="J208" i="203"/>
  <c r="I208" i="203"/>
  <c r="I207" i="203" s="1"/>
  <c r="I206" i="203" s="1"/>
  <c r="H208" i="203"/>
  <c r="H207" i="203" s="1"/>
  <c r="H206" i="203" s="1"/>
  <c r="G208" i="203"/>
  <c r="F208" i="203"/>
  <c r="F207" i="203" s="1"/>
  <c r="E208" i="203"/>
  <c r="E207" i="203" s="1"/>
  <c r="E206" i="203" s="1"/>
  <c r="K207" i="203"/>
  <c r="G207" i="203"/>
  <c r="N206" i="203"/>
  <c r="K206" i="203"/>
  <c r="G206" i="203"/>
  <c r="F206" i="203"/>
  <c r="F195" i="203" s="1"/>
  <c r="F194" i="203" s="1"/>
  <c r="P205" i="203"/>
  <c r="O205" i="203"/>
  <c r="J205" i="203"/>
  <c r="E205" i="203"/>
  <c r="O204" i="203"/>
  <c r="O203" i="203" s="1"/>
  <c r="L204" i="203"/>
  <c r="J204" i="203" s="1"/>
  <c r="H204" i="203"/>
  <c r="E204" i="203"/>
  <c r="E203" i="203" s="1"/>
  <c r="E198" i="203" s="1"/>
  <c r="N203" i="203"/>
  <c r="M203" i="203"/>
  <c r="L203" i="203"/>
  <c r="K203" i="203"/>
  <c r="J203" i="203"/>
  <c r="I203" i="203"/>
  <c r="H203" i="203"/>
  <c r="G203" i="203"/>
  <c r="F203" i="203"/>
  <c r="P202" i="203"/>
  <c r="O202" i="203"/>
  <c r="J202" i="203"/>
  <c r="E202" i="203"/>
  <c r="P201" i="203"/>
  <c r="O201" i="203"/>
  <c r="L201" i="203"/>
  <c r="J201" i="203"/>
  <c r="H201" i="203"/>
  <c r="H198" i="203" s="1"/>
  <c r="H195" i="203" s="1"/>
  <c r="H194" i="203" s="1"/>
  <c r="E201" i="203"/>
  <c r="O200" i="203"/>
  <c r="J200" i="203"/>
  <c r="H200" i="203"/>
  <c r="E200" i="203"/>
  <c r="O199" i="203"/>
  <c r="H199" i="203"/>
  <c r="E199" i="203"/>
  <c r="N198" i="203"/>
  <c r="M198" i="203"/>
  <c r="L198" i="203"/>
  <c r="L195" i="203" s="1"/>
  <c r="K198" i="203"/>
  <c r="I198" i="203"/>
  <c r="G198" i="203"/>
  <c r="F198" i="203"/>
  <c r="P197" i="203"/>
  <c r="P196" i="203" s="1"/>
  <c r="O197" i="203"/>
  <c r="L197" i="203"/>
  <c r="J197" i="203"/>
  <c r="J196" i="203" s="1"/>
  <c r="H197" i="203"/>
  <c r="H196" i="203" s="1"/>
  <c r="F197" i="203"/>
  <c r="E197" i="203"/>
  <c r="O196" i="203"/>
  <c r="N196" i="203"/>
  <c r="M196" i="203"/>
  <c r="L196" i="203"/>
  <c r="K196" i="203"/>
  <c r="K195" i="203" s="1"/>
  <c r="K194" i="203" s="1"/>
  <c r="I196" i="203"/>
  <c r="G196" i="203"/>
  <c r="G195" i="203" s="1"/>
  <c r="G194" i="203" s="1"/>
  <c r="F196" i="203"/>
  <c r="E196" i="203"/>
  <c r="N195" i="203"/>
  <c r="I195" i="203"/>
  <c r="N194" i="203"/>
  <c r="I194" i="203"/>
  <c r="P192" i="203"/>
  <c r="P191" i="203" s="1"/>
  <c r="P189" i="203" s="1"/>
  <c r="P185" i="203" s="1"/>
  <c r="O192" i="203"/>
  <c r="J192" i="203"/>
  <c r="E192" i="203"/>
  <c r="O191" i="203"/>
  <c r="N191" i="203"/>
  <c r="M191" i="203"/>
  <c r="L191" i="203"/>
  <c r="K191" i="203"/>
  <c r="J191" i="203"/>
  <c r="I191" i="203"/>
  <c r="H191" i="203"/>
  <c r="G191" i="203"/>
  <c r="F191" i="203"/>
  <c r="E191" i="203"/>
  <c r="P190" i="203"/>
  <c r="O190" i="203"/>
  <c r="J190" i="203"/>
  <c r="E190" i="203"/>
  <c r="O189" i="203"/>
  <c r="N189" i="203"/>
  <c r="N185" i="203" s="1"/>
  <c r="M189" i="203"/>
  <c r="M185" i="203" s="1"/>
  <c r="L189" i="203"/>
  <c r="L185" i="203" s="1"/>
  <c r="K189" i="203"/>
  <c r="J189" i="203"/>
  <c r="I189" i="203"/>
  <c r="I185" i="203" s="1"/>
  <c r="H189" i="203"/>
  <c r="H185" i="203" s="1"/>
  <c r="G189" i="203"/>
  <c r="F189" i="203"/>
  <c r="F185" i="203" s="1"/>
  <c r="E189" i="203"/>
  <c r="E185" i="203" s="1"/>
  <c r="P188" i="203"/>
  <c r="P187" i="203" s="1"/>
  <c r="P186" i="203" s="1"/>
  <c r="O188" i="203"/>
  <c r="J188" i="203"/>
  <c r="J187" i="203" s="1"/>
  <c r="J186" i="203" s="1"/>
  <c r="O187" i="203"/>
  <c r="O186" i="203" s="1"/>
  <c r="O185" i="203" s="1"/>
  <c r="N187" i="203"/>
  <c r="M187" i="203"/>
  <c r="L187" i="203"/>
  <c r="K187" i="203"/>
  <c r="K186" i="203" s="1"/>
  <c r="K185" i="203" s="1"/>
  <c r="I187" i="203"/>
  <c r="H187" i="203"/>
  <c r="G187" i="203"/>
  <c r="F187" i="203"/>
  <c r="E187" i="203"/>
  <c r="N186" i="203"/>
  <c r="M186" i="203"/>
  <c r="L186" i="203"/>
  <c r="I186" i="203"/>
  <c r="H186" i="203"/>
  <c r="G186" i="203"/>
  <c r="G185" i="203" s="1"/>
  <c r="F186" i="203"/>
  <c r="E186" i="203"/>
  <c r="O184" i="203"/>
  <c r="J184" i="203" s="1"/>
  <c r="P184" i="203" s="1"/>
  <c r="E184" i="203"/>
  <c r="O183" i="203"/>
  <c r="K183" i="203"/>
  <c r="E183" i="203"/>
  <c r="N182" i="203"/>
  <c r="M182" i="203"/>
  <c r="L182" i="203"/>
  <c r="K182" i="203"/>
  <c r="I182" i="203"/>
  <c r="H182" i="203"/>
  <c r="G182" i="203"/>
  <c r="F182" i="203"/>
  <c r="E182" i="203"/>
  <c r="N181" i="203"/>
  <c r="M181" i="203"/>
  <c r="L181" i="203"/>
  <c r="K181" i="203"/>
  <c r="I181" i="203"/>
  <c r="H181" i="203"/>
  <c r="G181" i="203"/>
  <c r="F181" i="203"/>
  <c r="E181" i="203"/>
  <c r="K180" i="203"/>
  <c r="O180" i="203" s="1"/>
  <c r="J180" i="203" s="1"/>
  <c r="F180" i="203"/>
  <c r="O179" i="203"/>
  <c r="J179" i="203" s="1"/>
  <c r="N179" i="203"/>
  <c r="N178" i="203" s="1"/>
  <c r="L179" i="203"/>
  <c r="H179" i="203"/>
  <c r="G179" i="203"/>
  <c r="F179" i="203"/>
  <c r="E179" i="203"/>
  <c r="P179" i="203" s="1"/>
  <c r="M178" i="203"/>
  <c r="L178" i="203"/>
  <c r="K178" i="203"/>
  <c r="K140" i="203" s="1"/>
  <c r="I178" i="203"/>
  <c r="H178" i="203"/>
  <c r="G178" i="203"/>
  <c r="O177" i="203"/>
  <c r="J177" i="203" s="1"/>
  <c r="K177" i="203"/>
  <c r="F177" i="203"/>
  <c r="E177" i="203"/>
  <c r="P177" i="203" s="1"/>
  <c r="O174" i="203"/>
  <c r="J174" i="203"/>
  <c r="E174" i="203"/>
  <c r="P174" i="203" s="1"/>
  <c r="O171" i="203"/>
  <c r="J171" i="203"/>
  <c r="E171" i="203"/>
  <c r="P171" i="203" s="1"/>
  <c r="O167" i="203"/>
  <c r="J167" i="203"/>
  <c r="E167" i="203"/>
  <c r="O163" i="203"/>
  <c r="J163" i="203"/>
  <c r="J162" i="203" s="1"/>
  <c r="E163" i="203"/>
  <c r="P163" i="203" s="1"/>
  <c r="O162" i="203"/>
  <c r="N162" i="203"/>
  <c r="M162" i="203"/>
  <c r="L162" i="203"/>
  <c r="K162" i="203"/>
  <c r="I162" i="203"/>
  <c r="H162" i="203"/>
  <c r="G162" i="203"/>
  <c r="F162" i="203"/>
  <c r="O161" i="203"/>
  <c r="J161" i="203"/>
  <c r="E161" i="203"/>
  <c r="P161" i="203" s="1"/>
  <c r="O160" i="203"/>
  <c r="J160" i="203"/>
  <c r="J159" i="203" s="1"/>
  <c r="E160" i="203"/>
  <c r="O159" i="203"/>
  <c r="N159" i="203"/>
  <c r="M159" i="203"/>
  <c r="L159" i="203"/>
  <c r="K159" i="203"/>
  <c r="I159" i="203"/>
  <c r="H159" i="203"/>
  <c r="G159" i="203"/>
  <c r="F159" i="203"/>
  <c r="E159" i="203"/>
  <c r="O158" i="203"/>
  <c r="J158" i="203"/>
  <c r="E158" i="203"/>
  <c r="P158" i="203" s="1"/>
  <c r="O157" i="203"/>
  <c r="J157" i="203"/>
  <c r="E157" i="203"/>
  <c r="N156" i="203"/>
  <c r="M156" i="203"/>
  <c r="L156" i="203"/>
  <c r="K156" i="203"/>
  <c r="O156" i="203" s="1"/>
  <c r="J156" i="203"/>
  <c r="I156" i="203"/>
  <c r="H156" i="203"/>
  <c r="G156" i="203"/>
  <c r="F156" i="203"/>
  <c r="E156" i="203"/>
  <c r="O155" i="203"/>
  <c r="J155" i="203"/>
  <c r="E155" i="203"/>
  <c r="O154" i="203"/>
  <c r="J154" i="203"/>
  <c r="H154" i="203"/>
  <c r="F154" i="203"/>
  <c r="E154" i="203"/>
  <c r="O153" i="203"/>
  <c r="N153" i="203"/>
  <c r="M153" i="203"/>
  <c r="L153" i="203"/>
  <c r="K153" i="203"/>
  <c r="I153" i="203"/>
  <c r="H153" i="203"/>
  <c r="G153" i="203"/>
  <c r="F153" i="203"/>
  <c r="E153" i="203"/>
  <c r="O152" i="203"/>
  <c r="J152" i="203" s="1"/>
  <c r="H152" i="203"/>
  <c r="G152" i="203"/>
  <c r="G150" i="203" s="1"/>
  <c r="G140" i="203" s="1"/>
  <c r="E152" i="203"/>
  <c r="E150" i="203" s="1"/>
  <c r="O151" i="203"/>
  <c r="O150" i="203" s="1"/>
  <c r="N151" i="203"/>
  <c r="N150" i="203" s="1"/>
  <c r="J151" i="203"/>
  <c r="J150" i="203" s="1"/>
  <c r="H151" i="203"/>
  <c r="F151" i="203"/>
  <c r="E151" i="203"/>
  <c r="M150" i="203"/>
  <c r="L150" i="203"/>
  <c r="K150" i="203"/>
  <c r="I150" i="203"/>
  <c r="I140" i="203" s="1"/>
  <c r="I135" i="203" s="1"/>
  <c r="I134" i="203" s="1"/>
  <c r="H150" i="203"/>
  <c r="H140" i="203" s="1"/>
  <c r="F150" i="203"/>
  <c r="P149" i="203"/>
  <c r="O149" i="203"/>
  <c r="J149" i="203"/>
  <c r="E149" i="203"/>
  <c r="P148" i="203"/>
  <c r="O148" i="203"/>
  <c r="J148" i="203"/>
  <c r="E148" i="203"/>
  <c r="P147" i="203"/>
  <c r="O147" i="203"/>
  <c r="J147" i="203"/>
  <c r="E147" i="203"/>
  <c r="P146" i="203"/>
  <c r="O146" i="203"/>
  <c r="J146" i="203"/>
  <c r="E146" i="203"/>
  <c r="P145" i="203"/>
  <c r="O145" i="203"/>
  <c r="J145" i="203"/>
  <c r="E145" i="203"/>
  <c r="P144" i="203"/>
  <c r="O144" i="203"/>
  <c r="J144" i="203"/>
  <c r="E144" i="203"/>
  <c r="P143" i="203"/>
  <c r="O143" i="203"/>
  <c r="J143" i="203"/>
  <c r="E143" i="203"/>
  <c r="O142" i="203"/>
  <c r="J142" i="203"/>
  <c r="F142" i="203"/>
  <c r="F141" i="203" s="1"/>
  <c r="E142" i="203"/>
  <c r="E141" i="203" s="1"/>
  <c r="O141" i="203"/>
  <c r="N141" i="203"/>
  <c r="M141" i="203"/>
  <c r="L141" i="203"/>
  <c r="K141" i="203"/>
  <c r="J141" i="203"/>
  <c r="I141" i="203"/>
  <c r="H141" i="203"/>
  <c r="G141" i="203"/>
  <c r="N140" i="203"/>
  <c r="M140" i="203"/>
  <c r="J139" i="203"/>
  <c r="E139" i="203"/>
  <c r="P139" i="203" s="1"/>
  <c r="P138" i="203"/>
  <c r="O138" i="203"/>
  <c r="J138" i="203"/>
  <c r="E138" i="203"/>
  <c r="P137" i="203"/>
  <c r="O137" i="203"/>
  <c r="J137" i="203"/>
  <c r="E137" i="203"/>
  <c r="P136" i="203"/>
  <c r="O136" i="203"/>
  <c r="N136" i="203"/>
  <c r="M136" i="203"/>
  <c r="M135" i="203" s="1"/>
  <c r="M134" i="203" s="1"/>
  <c r="L136" i="203"/>
  <c r="K136" i="203"/>
  <c r="J136" i="203"/>
  <c r="I136" i="203"/>
  <c r="H136" i="203"/>
  <c r="G136" i="203"/>
  <c r="F136" i="203"/>
  <c r="E136" i="203"/>
  <c r="N135" i="203"/>
  <c r="N134" i="203" s="1"/>
  <c r="O133" i="203"/>
  <c r="J133" i="203"/>
  <c r="E133" i="203"/>
  <c r="P133" i="203" s="1"/>
  <c r="O132" i="203"/>
  <c r="J132" i="203"/>
  <c r="E132" i="203"/>
  <c r="O131" i="203"/>
  <c r="J131" i="203"/>
  <c r="J130" i="203" s="1"/>
  <c r="E131" i="203"/>
  <c r="P131" i="203" s="1"/>
  <c r="P130" i="203" s="1"/>
  <c r="O130" i="203"/>
  <c r="N130" i="203"/>
  <c r="M130" i="203"/>
  <c r="L130" i="203"/>
  <c r="K130" i="203"/>
  <c r="I130" i="203"/>
  <c r="H130" i="203"/>
  <c r="G130" i="203"/>
  <c r="F130" i="203"/>
  <c r="O129" i="203"/>
  <c r="J129" i="203"/>
  <c r="E129" i="203"/>
  <c r="P129" i="203" s="1"/>
  <c r="P128" i="203" s="1"/>
  <c r="O128" i="203"/>
  <c r="N128" i="203"/>
  <c r="N125" i="203" s="1"/>
  <c r="N124" i="203" s="1"/>
  <c r="M128" i="203"/>
  <c r="M125" i="203" s="1"/>
  <c r="L128" i="203"/>
  <c r="K128" i="203"/>
  <c r="J128" i="203"/>
  <c r="I128" i="203"/>
  <c r="I125" i="203" s="1"/>
  <c r="H128" i="203"/>
  <c r="G128" i="203"/>
  <c r="F128" i="203"/>
  <c r="F125" i="203" s="1"/>
  <c r="F124" i="203" s="1"/>
  <c r="K127" i="203"/>
  <c r="O127" i="203" s="1"/>
  <c r="O126" i="203" s="1"/>
  <c r="O125" i="203" s="1"/>
  <c r="O124" i="203" s="1"/>
  <c r="J127" i="203"/>
  <c r="J126" i="203" s="1"/>
  <c r="J125" i="203" s="1"/>
  <c r="E127" i="203"/>
  <c r="P127" i="203" s="1"/>
  <c r="P126" i="203" s="1"/>
  <c r="N126" i="203"/>
  <c r="M126" i="203"/>
  <c r="L126" i="203"/>
  <c r="I126" i="203"/>
  <c r="H126" i="203"/>
  <c r="G126" i="203"/>
  <c r="F126" i="203"/>
  <c r="E126" i="203"/>
  <c r="L125" i="203"/>
  <c r="H125" i="203"/>
  <c r="G125" i="203"/>
  <c r="L124" i="203"/>
  <c r="H124" i="203"/>
  <c r="G124" i="203"/>
  <c r="O123" i="203"/>
  <c r="J123" i="203" s="1"/>
  <c r="J122" i="203" s="1"/>
  <c r="E123" i="203"/>
  <c r="N122" i="203"/>
  <c r="M122" i="203"/>
  <c r="L122" i="203"/>
  <c r="K122" i="203"/>
  <c r="I122" i="203"/>
  <c r="H122" i="203"/>
  <c r="G122" i="203"/>
  <c r="F122" i="203"/>
  <c r="E122" i="203"/>
  <c r="O121" i="203"/>
  <c r="J121" i="203"/>
  <c r="P121" i="203" s="1"/>
  <c r="E121" i="203"/>
  <c r="O120" i="203"/>
  <c r="J120" i="203"/>
  <c r="P120" i="203" s="1"/>
  <c r="E120" i="203"/>
  <c r="O119" i="203"/>
  <c r="N119" i="203"/>
  <c r="M119" i="203"/>
  <c r="L119" i="203"/>
  <c r="K119" i="203"/>
  <c r="I119" i="203"/>
  <c r="H119" i="203"/>
  <c r="G119" i="203"/>
  <c r="F119" i="203"/>
  <c r="E119" i="203"/>
  <c r="O118" i="203"/>
  <c r="O117" i="203" s="1"/>
  <c r="O109" i="203" s="1"/>
  <c r="J118" i="203"/>
  <c r="J117" i="203" s="1"/>
  <c r="E118" i="203"/>
  <c r="N117" i="203"/>
  <c r="N109" i="203" s="1"/>
  <c r="M117" i="203"/>
  <c r="L117" i="203"/>
  <c r="K117" i="203"/>
  <c r="I117" i="203"/>
  <c r="H117" i="203"/>
  <c r="G117" i="203"/>
  <c r="F117" i="203"/>
  <c r="E117" i="203"/>
  <c r="O116" i="203"/>
  <c r="J116" i="203"/>
  <c r="J115" i="203" s="1"/>
  <c r="F116" i="203"/>
  <c r="E116" i="203"/>
  <c r="P116" i="203" s="1"/>
  <c r="P115" i="203" s="1"/>
  <c r="O115" i="203"/>
  <c r="N115" i="203"/>
  <c r="M115" i="203"/>
  <c r="L115" i="203"/>
  <c r="K115" i="203"/>
  <c r="K109" i="203" s="1"/>
  <c r="I115" i="203"/>
  <c r="H115" i="203"/>
  <c r="H109" i="203" s="1"/>
  <c r="H105" i="203" s="1"/>
  <c r="H104" i="203" s="1"/>
  <c r="G115" i="203"/>
  <c r="F115" i="203"/>
  <c r="E115" i="203"/>
  <c r="O114" i="203"/>
  <c r="J114" i="203" s="1"/>
  <c r="K114" i="203"/>
  <c r="F114" i="203"/>
  <c r="E114" i="203"/>
  <c r="P114" i="203" s="1"/>
  <c r="O113" i="203"/>
  <c r="J113" i="203"/>
  <c r="F113" i="203"/>
  <c r="E113" i="203" s="1"/>
  <c r="P113" i="203" s="1"/>
  <c r="O112" i="203"/>
  <c r="J112" i="203" s="1"/>
  <c r="K112" i="203"/>
  <c r="F112" i="203"/>
  <c r="E112" i="203"/>
  <c r="O111" i="203"/>
  <c r="J111" i="203"/>
  <c r="F111" i="203"/>
  <c r="E111" i="203"/>
  <c r="E109" i="203" s="1"/>
  <c r="K110" i="203"/>
  <c r="O110" i="203" s="1"/>
  <c r="J110" i="203"/>
  <c r="F110" i="203"/>
  <c r="E110" i="203"/>
  <c r="P110" i="203" s="1"/>
  <c r="M109" i="203"/>
  <c r="L109" i="203"/>
  <c r="I109" i="203"/>
  <c r="G109" i="203"/>
  <c r="O108" i="203"/>
  <c r="J108" i="203" s="1"/>
  <c r="P108" i="203" s="1"/>
  <c r="E108" i="203"/>
  <c r="P107" i="203"/>
  <c r="P106" i="203" s="1"/>
  <c r="O107" i="203"/>
  <c r="J107" i="203" s="1"/>
  <c r="E107" i="203"/>
  <c r="O106" i="203"/>
  <c r="N106" i="203"/>
  <c r="M106" i="203"/>
  <c r="L106" i="203"/>
  <c r="L105" i="203" s="1"/>
  <c r="L104" i="203" s="1"/>
  <c r="K106" i="203"/>
  <c r="I106" i="203"/>
  <c r="H106" i="203"/>
  <c r="G106" i="203"/>
  <c r="F106" i="203"/>
  <c r="E106" i="203"/>
  <c r="P103" i="203"/>
  <c r="P102" i="203" s="1"/>
  <c r="P101" i="203" s="1"/>
  <c r="O103" i="203"/>
  <c r="J103" i="203"/>
  <c r="E103" i="203"/>
  <c r="O102" i="203"/>
  <c r="N102" i="203"/>
  <c r="M102" i="203"/>
  <c r="L102" i="203"/>
  <c r="K102" i="203"/>
  <c r="J102" i="203"/>
  <c r="I102" i="203"/>
  <c r="H102" i="203"/>
  <c r="G102" i="203"/>
  <c r="F102" i="203"/>
  <c r="E102" i="203"/>
  <c r="O101" i="203"/>
  <c r="N101" i="203"/>
  <c r="M101" i="203"/>
  <c r="L101" i="203"/>
  <c r="K101" i="203"/>
  <c r="J101" i="203"/>
  <c r="I101" i="203"/>
  <c r="H101" i="203"/>
  <c r="G101" i="203"/>
  <c r="F101" i="203"/>
  <c r="E101" i="203"/>
  <c r="P100" i="203"/>
  <c r="P99" i="203" s="1"/>
  <c r="P98" i="203" s="1"/>
  <c r="O100" i="203"/>
  <c r="J100" i="203"/>
  <c r="E100" i="203"/>
  <c r="O99" i="203"/>
  <c r="N99" i="203"/>
  <c r="M99" i="203"/>
  <c r="L99" i="203"/>
  <c r="K99" i="203"/>
  <c r="J99" i="203"/>
  <c r="I99" i="203"/>
  <c r="H99" i="203"/>
  <c r="G99" i="203"/>
  <c r="F99" i="203"/>
  <c r="E99" i="203"/>
  <c r="O98" i="203"/>
  <c r="N98" i="203"/>
  <c r="M98" i="203"/>
  <c r="L98" i="203"/>
  <c r="K98" i="203"/>
  <c r="J98" i="203"/>
  <c r="I98" i="203"/>
  <c r="H98" i="203"/>
  <c r="G98" i="203"/>
  <c r="F98" i="203"/>
  <c r="E98" i="203"/>
  <c r="K97" i="203"/>
  <c r="O97" i="203" s="1"/>
  <c r="O96" i="203" s="1"/>
  <c r="E97" i="203"/>
  <c r="N96" i="203"/>
  <c r="M96" i="203"/>
  <c r="M92" i="203" s="1"/>
  <c r="L96" i="203"/>
  <c r="K96" i="203"/>
  <c r="I96" i="203"/>
  <c r="I92" i="203" s="1"/>
  <c r="H96" i="203"/>
  <c r="G96" i="203"/>
  <c r="F96" i="203"/>
  <c r="E96" i="203"/>
  <c r="E92" i="203" s="1"/>
  <c r="K95" i="203"/>
  <c r="O95" i="203" s="1"/>
  <c r="J95" i="203"/>
  <c r="J94" i="203" s="1"/>
  <c r="J93" i="203" s="1"/>
  <c r="E95" i="203"/>
  <c r="P95" i="203" s="1"/>
  <c r="P94" i="203" s="1"/>
  <c r="P93" i="203" s="1"/>
  <c r="O94" i="203"/>
  <c r="O93" i="203" s="1"/>
  <c r="O92" i="203" s="1"/>
  <c r="N94" i="203"/>
  <c r="M94" i="203"/>
  <c r="L94" i="203"/>
  <c r="K94" i="203"/>
  <c r="K93" i="203" s="1"/>
  <c r="K92" i="203" s="1"/>
  <c r="I94" i="203"/>
  <c r="H94" i="203"/>
  <c r="G94" i="203"/>
  <c r="G93" i="203" s="1"/>
  <c r="G92" i="203" s="1"/>
  <c r="F94" i="203"/>
  <c r="E94" i="203"/>
  <c r="N93" i="203"/>
  <c r="N92" i="203" s="1"/>
  <c r="M93" i="203"/>
  <c r="L93" i="203"/>
  <c r="I93" i="203"/>
  <c r="H93" i="203"/>
  <c r="F93" i="203"/>
  <c r="F92" i="203" s="1"/>
  <c r="E93" i="203"/>
  <c r="L92" i="203"/>
  <c r="H92" i="203"/>
  <c r="O91" i="203"/>
  <c r="J91" i="203"/>
  <c r="E91" i="203"/>
  <c r="P91" i="203" s="1"/>
  <c r="O90" i="203"/>
  <c r="J90" i="203"/>
  <c r="J89" i="203" s="1"/>
  <c r="E90" i="203"/>
  <c r="P90" i="203" s="1"/>
  <c r="O89" i="203"/>
  <c r="N89" i="203"/>
  <c r="M89" i="203"/>
  <c r="L89" i="203"/>
  <c r="K89" i="203"/>
  <c r="I89" i="203"/>
  <c r="H89" i="203"/>
  <c r="G89" i="203"/>
  <c r="F89" i="203"/>
  <c r="E89" i="203"/>
  <c r="O88" i="203"/>
  <c r="J88" i="203"/>
  <c r="E88" i="203"/>
  <c r="O87" i="203"/>
  <c r="O86" i="203" s="1"/>
  <c r="J87" i="203"/>
  <c r="J86" i="203" s="1"/>
  <c r="E87" i="203"/>
  <c r="P87" i="203" s="1"/>
  <c r="N86" i="203"/>
  <c r="M86" i="203"/>
  <c r="L86" i="203"/>
  <c r="K86" i="203"/>
  <c r="I86" i="203"/>
  <c r="H86" i="203"/>
  <c r="G86" i="203"/>
  <c r="F86" i="203"/>
  <c r="E86" i="203"/>
  <c r="O85" i="203"/>
  <c r="J85" i="203" s="1"/>
  <c r="E85" i="203"/>
  <c r="O84" i="203"/>
  <c r="O83" i="203" s="1"/>
  <c r="J84" i="203"/>
  <c r="E84" i="203"/>
  <c r="N83" i="203"/>
  <c r="M83" i="203"/>
  <c r="L83" i="203"/>
  <c r="K83" i="203"/>
  <c r="I83" i="203"/>
  <c r="H83" i="203"/>
  <c r="G83" i="203"/>
  <c r="F83" i="203"/>
  <c r="E83" i="203"/>
  <c r="O82" i="203"/>
  <c r="J82" i="203"/>
  <c r="P82" i="203" s="1"/>
  <c r="E82" i="203"/>
  <c r="O81" i="203"/>
  <c r="J81" i="203" s="1"/>
  <c r="J80" i="203" s="1"/>
  <c r="K81" i="203"/>
  <c r="E81" i="203"/>
  <c r="O80" i="203"/>
  <c r="N80" i="203"/>
  <c r="M80" i="203"/>
  <c r="L80" i="203"/>
  <c r="K80" i="203"/>
  <c r="I80" i="203"/>
  <c r="H80" i="203"/>
  <c r="G80" i="203"/>
  <c r="F80" i="203"/>
  <c r="E80" i="203"/>
  <c r="O79" i="203"/>
  <c r="F79" i="203"/>
  <c r="E79" i="203"/>
  <c r="O78" i="203"/>
  <c r="J78" i="203" s="1"/>
  <c r="E78" i="203"/>
  <c r="P78" i="203" s="1"/>
  <c r="N77" i="203"/>
  <c r="M77" i="203"/>
  <c r="L77" i="203"/>
  <c r="K77" i="203"/>
  <c r="I77" i="203"/>
  <c r="H77" i="203"/>
  <c r="G77" i="203"/>
  <c r="F77" i="203"/>
  <c r="E77" i="203"/>
  <c r="O76" i="203"/>
  <c r="J76" i="203" s="1"/>
  <c r="P76" i="203" s="1"/>
  <c r="E76" i="203"/>
  <c r="O75" i="203"/>
  <c r="J75" i="203" s="1"/>
  <c r="E75" i="203"/>
  <c r="P75" i="203" s="1"/>
  <c r="O73" i="203"/>
  <c r="K73" i="203"/>
  <c r="J73" i="203"/>
  <c r="E73" i="203"/>
  <c r="E71" i="203" s="1"/>
  <c r="K72" i="203"/>
  <c r="O72" i="203" s="1"/>
  <c r="O71" i="203" s="1"/>
  <c r="J71" i="203" s="1"/>
  <c r="J72" i="203"/>
  <c r="E72" i="203"/>
  <c r="P72" i="203" s="1"/>
  <c r="N71" i="203"/>
  <c r="M71" i="203"/>
  <c r="L71" i="203"/>
  <c r="I71" i="203"/>
  <c r="H71" i="203"/>
  <c r="G71" i="203"/>
  <c r="F71" i="203"/>
  <c r="O70" i="203"/>
  <c r="J70" i="203"/>
  <c r="E70" i="203"/>
  <c r="O69" i="203"/>
  <c r="O68" i="203" s="1"/>
  <c r="J68" i="203" s="1"/>
  <c r="J69" i="203"/>
  <c r="E69" i="203"/>
  <c r="P69" i="203" s="1"/>
  <c r="N68" i="203"/>
  <c r="M68" i="203"/>
  <c r="L68" i="203"/>
  <c r="K68" i="203"/>
  <c r="I68" i="203"/>
  <c r="H68" i="203"/>
  <c r="G68" i="203"/>
  <c r="F68" i="203"/>
  <c r="E68" i="203" s="1"/>
  <c r="O67" i="203"/>
  <c r="J67" i="203"/>
  <c r="H67" i="203"/>
  <c r="F67" i="203"/>
  <c r="E67" i="203"/>
  <c r="O66" i="203"/>
  <c r="J66" i="203"/>
  <c r="F66" i="203"/>
  <c r="F64" i="203" s="1"/>
  <c r="E66" i="203"/>
  <c r="E64" i="203" s="1"/>
  <c r="P64" i="203" s="1"/>
  <c r="O65" i="203"/>
  <c r="J65" i="203"/>
  <c r="J64" i="203" s="1"/>
  <c r="H65" i="203"/>
  <c r="H64" i="203" s="1"/>
  <c r="F65" i="203"/>
  <c r="E65" i="203"/>
  <c r="O64" i="203"/>
  <c r="N64" i="203"/>
  <c r="M64" i="203"/>
  <c r="L64" i="203"/>
  <c r="K64" i="203"/>
  <c r="I64" i="203"/>
  <c r="G64" i="203"/>
  <c r="O63" i="203"/>
  <c r="J63" i="203" s="1"/>
  <c r="P63" i="203" s="1"/>
  <c r="E63" i="203"/>
  <c r="O62" i="203"/>
  <c r="J62" i="203" s="1"/>
  <c r="K62" i="203"/>
  <c r="H62" i="203"/>
  <c r="G62" i="203"/>
  <c r="F62" i="203"/>
  <c r="E62" i="203" s="1"/>
  <c r="E61" i="203" s="1"/>
  <c r="N61" i="203"/>
  <c r="M61" i="203"/>
  <c r="L61" i="203"/>
  <c r="L46" i="203" s="1"/>
  <c r="L45" i="203" s="1"/>
  <c r="K61" i="203"/>
  <c r="I61" i="203"/>
  <c r="H61" i="203"/>
  <c r="G61" i="203"/>
  <c r="F61" i="203"/>
  <c r="J60" i="203"/>
  <c r="P60" i="203" s="1"/>
  <c r="F60" i="203"/>
  <c r="E60" i="203"/>
  <c r="O59" i="203"/>
  <c r="J59" i="203" s="1"/>
  <c r="K59" i="203"/>
  <c r="H59" i="203"/>
  <c r="H58" i="203" s="1"/>
  <c r="F59" i="203"/>
  <c r="E59" i="203" s="1"/>
  <c r="E58" i="203" s="1"/>
  <c r="N58" i="203"/>
  <c r="M58" i="203"/>
  <c r="L58" i="203"/>
  <c r="K58" i="203"/>
  <c r="J58" i="203"/>
  <c r="I58" i="203"/>
  <c r="G58" i="203"/>
  <c r="F58" i="203"/>
  <c r="O57" i="203"/>
  <c r="J57" i="203" s="1"/>
  <c r="H57" i="203"/>
  <c r="F57" i="203"/>
  <c r="E57" i="203"/>
  <c r="O56" i="203"/>
  <c r="J56" i="203"/>
  <c r="E56" i="203"/>
  <c r="P56" i="203" s="1"/>
  <c r="O55" i="203"/>
  <c r="N55" i="203"/>
  <c r="M55" i="203"/>
  <c r="L55" i="203"/>
  <c r="K55" i="203"/>
  <c r="J55" i="203"/>
  <c r="I55" i="203"/>
  <c r="H55" i="203"/>
  <c r="G55" i="203"/>
  <c r="F55" i="203"/>
  <c r="E55" i="203"/>
  <c r="P55" i="203" s="1"/>
  <c r="J54" i="203"/>
  <c r="F54" i="203"/>
  <c r="E54" i="203"/>
  <c r="P54" i="203" s="1"/>
  <c r="O53" i="203"/>
  <c r="J53" i="203"/>
  <c r="F53" i="203"/>
  <c r="E53" i="203" s="1"/>
  <c r="O52" i="203"/>
  <c r="N52" i="203"/>
  <c r="M52" i="203"/>
  <c r="M46" i="203" s="1"/>
  <c r="M45" i="203" s="1"/>
  <c r="M44" i="203" s="1"/>
  <c r="L52" i="203"/>
  <c r="K52" i="203"/>
  <c r="J52" i="203"/>
  <c r="I52" i="203"/>
  <c r="H52" i="203"/>
  <c r="G52" i="203"/>
  <c r="K51" i="203"/>
  <c r="O51" i="203" s="1"/>
  <c r="J51" i="203"/>
  <c r="H51" i="203"/>
  <c r="F51" i="203"/>
  <c r="E51" i="203"/>
  <c r="K50" i="203"/>
  <c r="O50" i="203" s="1"/>
  <c r="J50" i="203"/>
  <c r="P50" i="203" s="1"/>
  <c r="H50" i="203"/>
  <c r="F50" i="203"/>
  <c r="E50" i="203"/>
  <c r="P49" i="203"/>
  <c r="O49" i="203"/>
  <c r="J49" i="203" s="1"/>
  <c r="K49" i="203"/>
  <c r="H49" i="203"/>
  <c r="H48" i="203" s="1"/>
  <c r="H46" i="203" s="1"/>
  <c r="H45" i="203" s="1"/>
  <c r="H44" i="203" s="1"/>
  <c r="G49" i="203"/>
  <c r="G48" i="203" s="1"/>
  <c r="G46" i="203" s="1"/>
  <c r="G45" i="203" s="1"/>
  <c r="G44" i="203" s="1"/>
  <c r="F49" i="203"/>
  <c r="E49" i="203" s="1"/>
  <c r="E48" i="203" s="1"/>
  <c r="O48" i="203"/>
  <c r="N48" i="203"/>
  <c r="M48" i="203"/>
  <c r="L48" i="203"/>
  <c r="K48" i="203"/>
  <c r="I48" i="203"/>
  <c r="F48" i="203"/>
  <c r="O47" i="203"/>
  <c r="L47" i="203"/>
  <c r="K47" i="203"/>
  <c r="J47" i="203"/>
  <c r="H47" i="203"/>
  <c r="G47" i="203"/>
  <c r="F47" i="203"/>
  <c r="E47" i="203"/>
  <c r="I46" i="203"/>
  <c r="I45" i="203" s="1"/>
  <c r="I44" i="203" s="1"/>
  <c r="K43" i="203"/>
  <c r="F43" i="203"/>
  <c r="E43" i="203" s="1"/>
  <c r="O42" i="203"/>
  <c r="K42" i="203"/>
  <c r="E42" i="203"/>
  <c r="O41" i="203"/>
  <c r="J41" i="203" s="1"/>
  <c r="P41" i="203" s="1"/>
  <c r="E41" i="203"/>
  <c r="N40" i="203"/>
  <c r="M40" i="203"/>
  <c r="M39" i="203" s="1"/>
  <c r="L40" i="203"/>
  <c r="K40" i="203"/>
  <c r="I40" i="203"/>
  <c r="H40" i="203"/>
  <c r="H39" i="203" s="1"/>
  <c r="G40" i="203"/>
  <c r="F40" i="203"/>
  <c r="E40" i="203"/>
  <c r="N39" i="203"/>
  <c r="L39" i="203"/>
  <c r="I39" i="203"/>
  <c r="G39" i="203"/>
  <c r="F39" i="203"/>
  <c r="E39" i="203"/>
  <c r="O38" i="203"/>
  <c r="J38" i="203" s="1"/>
  <c r="J37" i="203" s="1"/>
  <c r="E38" i="203"/>
  <c r="P38" i="203" s="1"/>
  <c r="P37" i="203" s="1"/>
  <c r="O37" i="203"/>
  <c r="N37" i="203"/>
  <c r="M37" i="203"/>
  <c r="M33" i="203" s="1"/>
  <c r="L37" i="203"/>
  <c r="L33" i="203" s="1"/>
  <c r="K37" i="203"/>
  <c r="I37" i="203"/>
  <c r="I33" i="203" s="1"/>
  <c r="H37" i="203"/>
  <c r="H33" i="203" s="1"/>
  <c r="G37" i="203"/>
  <c r="F37" i="203"/>
  <c r="O36" i="203"/>
  <c r="J36" i="203" s="1"/>
  <c r="P36" i="203" s="1"/>
  <c r="E36" i="203"/>
  <c r="K35" i="203"/>
  <c r="O35" i="203" s="1"/>
  <c r="O34" i="203" s="1"/>
  <c r="O33" i="203" s="1"/>
  <c r="J35" i="203"/>
  <c r="P35" i="203" s="1"/>
  <c r="P34" i="203" s="1"/>
  <c r="F35" i="203"/>
  <c r="E35" i="203" s="1"/>
  <c r="E34" i="203" s="1"/>
  <c r="N34" i="203"/>
  <c r="N33" i="203" s="1"/>
  <c r="M34" i="203"/>
  <c r="L34" i="203"/>
  <c r="K34" i="203"/>
  <c r="I34" i="203"/>
  <c r="H34" i="203"/>
  <c r="G34" i="203"/>
  <c r="F34" i="203"/>
  <c r="F33" i="203" s="1"/>
  <c r="K33" i="203"/>
  <c r="G33" i="203"/>
  <c r="J32" i="203"/>
  <c r="E32" i="203"/>
  <c r="P32" i="203" s="1"/>
  <c r="L30" i="203"/>
  <c r="J30" i="203"/>
  <c r="E30" i="203"/>
  <c r="P30" i="203" s="1"/>
  <c r="O29" i="203"/>
  <c r="N29" i="203"/>
  <c r="N26" i="203" s="1"/>
  <c r="N22" i="203" s="1"/>
  <c r="N16" i="203" s="1"/>
  <c r="M29" i="203"/>
  <c r="L29" i="203"/>
  <c r="K29" i="203"/>
  <c r="J29" i="203"/>
  <c r="J26" i="203" s="1"/>
  <c r="J22" i="203" s="1"/>
  <c r="I29" i="203"/>
  <c r="H29" i="203"/>
  <c r="G29" i="203"/>
  <c r="F29" i="203"/>
  <c r="F26" i="203" s="1"/>
  <c r="F22" i="203" s="1"/>
  <c r="O28" i="203"/>
  <c r="J28" i="203"/>
  <c r="E28" i="203"/>
  <c r="O27" i="203"/>
  <c r="J27" i="203"/>
  <c r="E27" i="203"/>
  <c r="O26" i="203"/>
  <c r="M26" i="203"/>
  <c r="L26" i="203"/>
  <c r="K26" i="203"/>
  <c r="I26" i="203"/>
  <c r="H26" i="203"/>
  <c r="G26" i="203"/>
  <c r="J25" i="203"/>
  <c r="E25" i="203"/>
  <c r="O24" i="203"/>
  <c r="J24" i="203"/>
  <c r="E24" i="203"/>
  <c r="P24" i="203" s="1"/>
  <c r="O23" i="203"/>
  <c r="N23" i="203"/>
  <c r="M23" i="203"/>
  <c r="M22" i="203" s="1"/>
  <c r="L23" i="203"/>
  <c r="K23" i="203"/>
  <c r="J23" i="203"/>
  <c r="I23" i="203"/>
  <c r="I22" i="203" s="1"/>
  <c r="I16" i="203" s="1"/>
  <c r="H23" i="203"/>
  <c r="G23" i="203"/>
  <c r="F23" i="203"/>
  <c r="E23" i="203"/>
  <c r="O22" i="203"/>
  <c r="L22" i="203"/>
  <c r="K22" i="203"/>
  <c r="H22" i="203"/>
  <c r="G22" i="203"/>
  <c r="O21" i="203"/>
  <c r="J21" i="203" s="1"/>
  <c r="F21" i="203"/>
  <c r="F17" i="203" s="1"/>
  <c r="O20" i="203"/>
  <c r="J20" i="203"/>
  <c r="E20" i="203"/>
  <c r="O19" i="203"/>
  <c r="J19" i="203"/>
  <c r="E19" i="203"/>
  <c r="K18" i="203"/>
  <c r="O18" i="203" s="1"/>
  <c r="J18" i="203" s="1"/>
  <c r="H18" i="203"/>
  <c r="E18" i="203"/>
  <c r="N17" i="203"/>
  <c r="M17" i="203"/>
  <c r="L17" i="203"/>
  <c r="I17" i="203"/>
  <c r="H17" i="203"/>
  <c r="H16" i="203" s="1"/>
  <c r="G17" i="203"/>
  <c r="G16" i="203" s="1"/>
  <c r="L16" i="203"/>
  <c r="L15" i="203" s="1"/>
  <c r="C148" i="202"/>
  <c r="C147" i="202"/>
  <c r="C146" i="202"/>
  <c r="C145" i="202"/>
  <c r="C144" i="202"/>
  <c r="C143" i="202"/>
  <c r="C142" i="202"/>
  <c r="C141" i="202"/>
  <c r="F140" i="202"/>
  <c r="E140" i="202"/>
  <c r="D140" i="202"/>
  <c r="C140" i="202" s="1"/>
  <c r="C139" i="202"/>
  <c r="C138" i="202"/>
  <c r="C137" i="202"/>
  <c r="D136" i="202"/>
  <c r="C136" i="202"/>
  <c r="C136" i="210" s="1"/>
  <c r="C135" i="202"/>
  <c r="C135" i="210" s="1"/>
  <c r="C134" i="202"/>
  <c r="C134" i="210" s="1"/>
  <c r="C133" i="202"/>
  <c r="C132" i="202"/>
  <c r="C131" i="202"/>
  <c r="C130" i="202"/>
  <c r="C129" i="202"/>
  <c r="C128" i="202"/>
  <c r="F127" i="202"/>
  <c r="E127" i="202"/>
  <c r="C126" i="202"/>
  <c r="C125" i="202"/>
  <c r="C124" i="202"/>
  <c r="C123" i="202"/>
  <c r="C122" i="202"/>
  <c r="C121" i="202"/>
  <c r="C120" i="202"/>
  <c r="F119" i="202"/>
  <c r="E119" i="202"/>
  <c r="D119" i="202"/>
  <c r="C119" i="202" s="1"/>
  <c r="C117" i="202"/>
  <c r="C116" i="202"/>
  <c r="D115" i="202"/>
  <c r="C115" i="202" s="1"/>
  <c r="C114" i="202"/>
  <c r="D113" i="202"/>
  <c r="C113" i="202"/>
  <c r="C110" i="202"/>
  <c r="F109" i="202"/>
  <c r="F111" i="202" s="1"/>
  <c r="E109" i="202"/>
  <c r="D109" i="202"/>
  <c r="C109" i="202" s="1"/>
  <c r="C108" i="202"/>
  <c r="C107" i="202"/>
  <c r="C106" i="202"/>
  <c r="F105" i="202"/>
  <c r="E105" i="202"/>
  <c r="D105" i="202"/>
  <c r="C105" i="202"/>
  <c r="F104" i="202"/>
  <c r="E104" i="202"/>
  <c r="D104" i="202"/>
  <c r="C104" i="202"/>
  <c r="C103" i="202"/>
  <c r="C102" i="202"/>
  <c r="D101" i="202"/>
  <c r="C101" i="202"/>
  <c r="F100" i="202"/>
  <c r="E100" i="202"/>
  <c r="D100" i="202"/>
  <c r="D99" i="202" s="1"/>
  <c r="C99" i="202" s="1"/>
  <c r="C100" i="202"/>
  <c r="F99" i="202"/>
  <c r="E99" i="202"/>
  <c r="C98" i="202"/>
  <c r="C97" i="202"/>
  <c r="C96" i="202"/>
  <c r="C95" i="202"/>
  <c r="E94" i="202"/>
  <c r="C94" i="202"/>
  <c r="E93" i="202"/>
  <c r="D93" i="202"/>
  <c r="C93" i="202" s="1"/>
  <c r="C92" i="202"/>
  <c r="C91" i="202"/>
  <c r="C90" i="202"/>
  <c r="C89" i="202"/>
  <c r="F88" i="202"/>
  <c r="E88" i="202"/>
  <c r="D88" i="202"/>
  <c r="C88" i="202" s="1"/>
  <c r="C87" i="202"/>
  <c r="C86" i="202"/>
  <c r="C85" i="202"/>
  <c r="D84" i="202"/>
  <c r="C84" i="202"/>
  <c r="C83" i="202"/>
  <c r="D82" i="202"/>
  <c r="C82" i="202" s="1"/>
  <c r="C81" i="202"/>
  <c r="C80" i="202"/>
  <c r="C79" i="202"/>
  <c r="D78" i="202"/>
  <c r="C78" i="202"/>
  <c r="C76" i="202"/>
  <c r="C75" i="202"/>
  <c r="C74" i="202"/>
  <c r="C73" i="202"/>
  <c r="C72" i="202"/>
  <c r="D71" i="202"/>
  <c r="C71" i="202"/>
  <c r="C70" i="202"/>
  <c r="C69" i="202"/>
  <c r="D68" i="202"/>
  <c r="C68" i="202"/>
  <c r="D67" i="202"/>
  <c r="C67" i="202" s="1"/>
  <c r="F66" i="202"/>
  <c r="E66" i="202"/>
  <c r="C65" i="202"/>
  <c r="C64" i="202"/>
  <c r="C63" i="202"/>
  <c r="E62" i="202"/>
  <c r="D62" i="202"/>
  <c r="C62" i="202"/>
  <c r="E61" i="202"/>
  <c r="C61" i="202" s="1"/>
  <c r="C60" i="202"/>
  <c r="C59" i="202"/>
  <c r="C58" i="202"/>
  <c r="D57" i="202"/>
  <c r="C57" i="202"/>
  <c r="C56" i="202"/>
  <c r="C55" i="202"/>
  <c r="D54" i="202"/>
  <c r="C54" i="202"/>
  <c r="C53" i="202"/>
  <c r="D52" i="202"/>
  <c r="C52" i="202" s="1"/>
  <c r="C51" i="202"/>
  <c r="C50" i="202"/>
  <c r="C49" i="202"/>
  <c r="C48" i="202"/>
  <c r="C47" i="202"/>
  <c r="C46" i="202"/>
  <c r="C45" i="202"/>
  <c r="C44" i="202"/>
  <c r="C43" i="202"/>
  <c r="C42" i="202"/>
  <c r="D41" i="202"/>
  <c r="C41" i="202" s="1"/>
  <c r="C39" i="202"/>
  <c r="C37" i="202" s="1"/>
  <c r="C38" i="202"/>
  <c r="D37" i="202"/>
  <c r="C36" i="202"/>
  <c r="D35" i="202"/>
  <c r="C35" i="202"/>
  <c r="C34" i="202"/>
  <c r="D33" i="202"/>
  <c r="C33" i="202" s="1"/>
  <c r="C31" i="202"/>
  <c r="D30" i="202"/>
  <c r="C30" i="202"/>
  <c r="C29" i="202"/>
  <c r="C28" i="202"/>
  <c r="D27" i="202"/>
  <c r="C27" i="202"/>
  <c r="D26" i="202"/>
  <c r="C26" i="202"/>
  <c r="C25" i="202"/>
  <c r="D24" i="202"/>
  <c r="C24" i="202"/>
  <c r="C23" i="202"/>
  <c r="C22" i="202"/>
  <c r="C21" i="202"/>
  <c r="C20" i="202"/>
  <c r="C19" i="202"/>
  <c r="C18" i="202"/>
  <c r="D17" i="202"/>
  <c r="C17" i="202"/>
  <c r="D16" i="202"/>
  <c r="C16" i="202" s="1"/>
  <c r="F15" i="202"/>
  <c r="M37" i="167" l="1"/>
  <c r="L62" i="207"/>
  <c r="L62" i="206"/>
  <c r="O125" i="165"/>
  <c r="O126" i="207"/>
  <c r="O126" i="206"/>
  <c r="K115" i="207"/>
  <c r="K115" i="206"/>
  <c r="K264" i="207"/>
  <c r="K264" i="206"/>
  <c r="F156" i="207"/>
  <c r="F156" i="206"/>
  <c r="K46" i="207"/>
  <c r="K46" i="206"/>
  <c r="M52" i="207"/>
  <c r="M52" i="206"/>
  <c r="F113" i="207"/>
  <c r="F113" i="206"/>
  <c r="F125" i="207"/>
  <c r="F125" i="206"/>
  <c r="K125" i="207"/>
  <c r="K125" i="206"/>
  <c r="F295" i="207"/>
  <c r="F295" i="206"/>
  <c r="K334" i="207"/>
  <c r="K334" i="206"/>
  <c r="H184" i="207"/>
  <c r="H184" i="206"/>
  <c r="F185" i="207"/>
  <c r="F185" i="206"/>
  <c r="J376" i="207"/>
  <c r="J376" i="206"/>
  <c r="I327" i="167"/>
  <c r="G327" i="167" s="1"/>
  <c r="P376" i="165"/>
  <c r="K39" i="207"/>
  <c r="K39" i="206"/>
  <c r="M50" i="207"/>
  <c r="M50" i="206"/>
  <c r="I125" i="207"/>
  <c r="I125" i="206"/>
  <c r="K366" i="207"/>
  <c r="K366" i="206"/>
  <c r="F65" i="207"/>
  <c r="F65" i="206"/>
  <c r="K100" i="207"/>
  <c r="K100" i="206"/>
  <c r="L52" i="207"/>
  <c r="L52" i="206"/>
  <c r="F114" i="207"/>
  <c r="F114" i="206"/>
  <c r="G125" i="207"/>
  <c r="G125" i="206"/>
  <c r="L125" i="207"/>
  <c r="L125" i="206"/>
  <c r="K113" i="207"/>
  <c r="K113" i="206"/>
  <c r="F303" i="207"/>
  <c r="F303" i="206"/>
  <c r="K335" i="207"/>
  <c r="K335" i="206"/>
  <c r="F349" i="207"/>
  <c r="F349" i="206"/>
  <c r="K184" i="207"/>
  <c r="K184" i="206"/>
  <c r="E193" i="207"/>
  <c r="E193" i="206"/>
  <c r="F46" i="207"/>
  <c r="F46" i="206"/>
  <c r="N125" i="207"/>
  <c r="N125" i="206"/>
  <c r="K182" i="207"/>
  <c r="K182" i="206"/>
  <c r="O91" i="207"/>
  <c r="O91" i="206"/>
  <c r="F21" i="207"/>
  <c r="F21" i="206"/>
  <c r="K38" i="207"/>
  <c r="K38" i="206"/>
  <c r="K84" i="207"/>
  <c r="K84" i="206"/>
  <c r="K90" i="207"/>
  <c r="K90" i="206"/>
  <c r="L50" i="207"/>
  <c r="L50" i="206"/>
  <c r="M62" i="207"/>
  <c r="M62" i="206"/>
  <c r="E125" i="165"/>
  <c r="E126" i="207"/>
  <c r="E126" i="206"/>
  <c r="H125" i="207"/>
  <c r="H125" i="206"/>
  <c r="M125" i="207"/>
  <c r="M125" i="206"/>
  <c r="K136" i="207"/>
  <c r="K136" i="206"/>
  <c r="K300" i="207"/>
  <c r="K300" i="206"/>
  <c r="F264" i="207"/>
  <c r="F264" i="206"/>
  <c r="F281" i="207"/>
  <c r="F281" i="206"/>
  <c r="K326" i="207"/>
  <c r="K326" i="206"/>
  <c r="K410" i="207"/>
  <c r="K410" i="206"/>
  <c r="F182" i="207"/>
  <c r="F182" i="206"/>
  <c r="F118" i="202"/>
  <c r="F127" i="210"/>
  <c r="E118" i="202"/>
  <c r="E127" i="210"/>
  <c r="H123" i="167"/>
  <c r="J126" i="165"/>
  <c r="O52" i="165"/>
  <c r="F150" i="205"/>
  <c r="J150" i="205" s="1"/>
  <c r="D16" i="205"/>
  <c r="D67" i="205"/>
  <c r="C99" i="205"/>
  <c r="D119" i="205"/>
  <c r="D127" i="205"/>
  <c r="C127" i="205" s="1"/>
  <c r="F15" i="204"/>
  <c r="J72" i="204"/>
  <c r="O71" i="204"/>
  <c r="J83" i="204"/>
  <c r="P84" i="204"/>
  <c r="P83" i="204" s="1"/>
  <c r="I15" i="204"/>
  <c r="E17" i="204"/>
  <c r="E16" i="204" s="1"/>
  <c r="P21" i="204"/>
  <c r="J52" i="204"/>
  <c r="P53" i="204"/>
  <c r="P52" i="204" s="1"/>
  <c r="J119" i="204"/>
  <c r="F185" i="204"/>
  <c r="H16" i="204"/>
  <c r="J42" i="204"/>
  <c r="J40" i="204" s="1"/>
  <c r="J39" i="204" s="1"/>
  <c r="O40" i="204"/>
  <c r="O39" i="204" s="1"/>
  <c r="J49" i="204"/>
  <c r="J48" i="204" s="1"/>
  <c r="O48" i="204"/>
  <c r="E52" i="204"/>
  <c r="P54" i="204"/>
  <c r="P66" i="204"/>
  <c r="E64" i="204"/>
  <c r="P64" i="204" s="1"/>
  <c r="P87" i="204"/>
  <c r="P86" i="204" s="1"/>
  <c r="J86" i="204"/>
  <c r="J92" i="204"/>
  <c r="O109" i="204"/>
  <c r="P162" i="204"/>
  <c r="E196" i="204"/>
  <c r="J198" i="204"/>
  <c r="P18" i="204"/>
  <c r="P17" i="204" s="1"/>
  <c r="J17" i="204"/>
  <c r="J29" i="204"/>
  <c r="P30" i="204"/>
  <c r="N15" i="204"/>
  <c r="J71" i="204"/>
  <c r="P71" i="204" s="1"/>
  <c r="P23" i="204"/>
  <c r="P67" i="204"/>
  <c r="P142" i="204"/>
  <c r="P141" i="204" s="1"/>
  <c r="E141" i="204"/>
  <c r="E140" i="204" s="1"/>
  <c r="E135" i="204" s="1"/>
  <c r="J185" i="204"/>
  <c r="M423" i="204"/>
  <c r="M15" i="204"/>
  <c r="K16" i="204"/>
  <c r="G16" i="204"/>
  <c r="N45" i="204"/>
  <c r="N44" i="204" s="1"/>
  <c r="P50" i="204"/>
  <c r="E48" i="204"/>
  <c r="P48" i="204" s="1"/>
  <c r="P51" i="204"/>
  <c r="J55" i="204"/>
  <c r="P55" i="204" s="1"/>
  <c r="P56" i="204"/>
  <c r="P72" i="204"/>
  <c r="J125" i="204"/>
  <c r="J124" i="204" s="1"/>
  <c r="P136" i="204"/>
  <c r="N135" i="204"/>
  <c r="N134" i="204" s="1"/>
  <c r="P233" i="204"/>
  <c r="P232" i="204" s="1"/>
  <c r="J232" i="204"/>
  <c r="J154" i="204"/>
  <c r="O153" i="204"/>
  <c r="P189" i="204"/>
  <c r="P185" i="204" s="1"/>
  <c r="P222" i="204"/>
  <c r="P220" i="204" s="1"/>
  <c r="P347" i="204"/>
  <c r="P346" i="204" s="1"/>
  <c r="P345" i="204" s="1"/>
  <c r="J346" i="204"/>
  <c r="J345" i="204" s="1"/>
  <c r="O35" i="204"/>
  <c r="P43" i="204"/>
  <c r="F48" i="204"/>
  <c r="F46" i="204" s="1"/>
  <c r="F45" i="204" s="1"/>
  <c r="F44" i="204" s="1"/>
  <c r="K126" i="204"/>
  <c r="K125" i="204" s="1"/>
  <c r="K124" i="204" s="1"/>
  <c r="K105" i="204" s="1"/>
  <c r="K104" i="204" s="1"/>
  <c r="E128" i="204"/>
  <c r="E125" i="204" s="1"/>
  <c r="F141" i="204"/>
  <c r="F140" i="204" s="1"/>
  <c r="F135" i="204" s="1"/>
  <c r="F134" i="204" s="1"/>
  <c r="M195" i="204"/>
  <c r="M194" i="204" s="1"/>
  <c r="P201" i="204"/>
  <c r="E217" i="204"/>
  <c r="E216" i="204" s="1"/>
  <c r="M216" i="204"/>
  <c r="M215" i="204" s="1"/>
  <c r="O227" i="204"/>
  <c r="P228" i="204"/>
  <c r="P227" i="204" s="1"/>
  <c r="O232" i="204"/>
  <c r="O234" i="204"/>
  <c r="H275" i="204"/>
  <c r="H274" i="204"/>
  <c r="H252" i="204" s="1"/>
  <c r="H251" i="204" s="1"/>
  <c r="L275" i="204"/>
  <c r="L274" i="204"/>
  <c r="P305" i="204"/>
  <c r="P302" i="204" s="1"/>
  <c r="E302" i="204"/>
  <c r="E299" i="204" s="1"/>
  <c r="E293" i="204" s="1"/>
  <c r="O17" i="204"/>
  <c r="L46" i="204"/>
  <c r="L45" i="204" s="1"/>
  <c r="O47" i="204"/>
  <c r="O46" i="204" s="1"/>
  <c r="O45" i="204" s="1"/>
  <c r="O44" i="204" s="1"/>
  <c r="K48" i="204"/>
  <c r="K46" i="204" s="1"/>
  <c r="K45" i="204" s="1"/>
  <c r="K44" i="204" s="1"/>
  <c r="F64" i="204"/>
  <c r="J81" i="204"/>
  <c r="J80" i="204" s="1"/>
  <c r="P91" i="204"/>
  <c r="P89" i="204" s="1"/>
  <c r="K94" i="204"/>
  <c r="K93" i="204" s="1"/>
  <c r="K92" i="204" s="1"/>
  <c r="E96" i="204"/>
  <c r="E92" i="204" s="1"/>
  <c r="O106" i="204"/>
  <c r="O105" i="204" s="1"/>
  <c r="O104" i="204" s="1"/>
  <c r="P110" i="204"/>
  <c r="P111" i="204"/>
  <c r="P116" i="204"/>
  <c r="P115" i="204" s="1"/>
  <c r="P121" i="204"/>
  <c r="J122" i="204"/>
  <c r="P127" i="204"/>
  <c r="P126" i="204" s="1"/>
  <c r="L140" i="204"/>
  <c r="L135" i="204" s="1"/>
  <c r="P152" i="204"/>
  <c r="P177" i="204"/>
  <c r="O180" i="204"/>
  <c r="K182" i="204"/>
  <c r="K181" i="204" s="1"/>
  <c r="P184" i="204"/>
  <c r="E182" i="204"/>
  <c r="E181" i="204" s="1"/>
  <c r="P190" i="204"/>
  <c r="I195" i="204"/>
  <c r="I194" i="204" s="1"/>
  <c r="J197" i="204"/>
  <c r="J196" i="204" s="1"/>
  <c r="L196" i="204"/>
  <c r="H198" i="204"/>
  <c r="P203" i="204"/>
  <c r="O213" i="204"/>
  <c r="O212" i="204" s="1"/>
  <c r="O195" i="204" s="1"/>
  <c r="O194" i="204" s="1"/>
  <c r="P214" i="204"/>
  <c r="P213" i="204" s="1"/>
  <c r="P212" i="204" s="1"/>
  <c r="L215" i="204"/>
  <c r="G223" i="204"/>
  <c r="G216" i="204" s="1"/>
  <c r="G215" i="204" s="1"/>
  <c r="J229" i="204"/>
  <c r="F241" i="204"/>
  <c r="L252" i="204"/>
  <c r="O260" i="204"/>
  <c r="J297" i="204"/>
  <c r="J296" i="204" s="1"/>
  <c r="P298" i="204"/>
  <c r="P297" i="204" s="1"/>
  <c r="P296" i="204" s="1"/>
  <c r="J308" i="204"/>
  <c r="J307" i="204" s="1"/>
  <c r="J306" i="204" s="1"/>
  <c r="O307" i="204"/>
  <c r="O306" i="204" s="1"/>
  <c r="J313" i="204"/>
  <c r="O312" i="204"/>
  <c r="O311" i="204" s="1"/>
  <c r="L314" i="204"/>
  <c r="K325" i="204"/>
  <c r="K315" i="204" s="1"/>
  <c r="K314" i="204" s="1"/>
  <c r="O353" i="204"/>
  <c r="O349" i="204" s="1"/>
  <c r="O348" i="204" s="1"/>
  <c r="G397" i="204"/>
  <c r="G396" i="204" s="1"/>
  <c r="J407" i="204"/>
  <c r="J406" i="204" s="1"/>
  <c r="J405" i="204" s="1"/>
  <c r="P125" i="204"/>
  <c r="P124" i="204" s="1"/>
  <c r="O150" i="204"/>
  <c r="J151" i="204"/>
  <c r="O207" i="204"/>
  <c r="O206" i="204" s="1"/>
  <c r="J211" i="204"/>
  <c r="L279" i="204"/>
  <c r="L29" i="204"/>
  <c r="L26" i="204" s="1"/>
  <c r="L22" i="204" s="1"/>
  <c r="L16" i="204" s="1"/>
  <c r="J89" i="204"/>
  <c r="J106" i="204"/>
  <c r="O126" i="204"/>
  <c r="O125" i="204" s="1"/>
  <c r="O124" i="204" s="1"/>
  <c r="H195" i="204"/>
  <c r="H194" i="204" s="1"/>
  <c r="P205" i="204"/>
  <c r="N216" i="204"/>
  <c r="N215" i="204" s="1"/>
  <c r="P219" i="204"/>
  <c r="P218" i="204" s="1"/>
  <c r="F223" i="204"/>
  <c r="J234" i="204"/>
  <c r="J239" i="204"/>
  <c r="J238" i="204" s="1"/>
  <c r="P274" i="204"/>
  <c r="J282" i="204"/>
  <c r="O281" i="204"/>
  <c r="J287" i="204"/>
  <c r="O320" i="204"/>
  <c r="J321" i="204"/>
  <c r="J320" i="204" s="1"/>
  <c r="O325" i="204"/>
  <c r="P329" i="204"/>
  <c r="P328" i="204" s="1"/>
  <c r="P326" i="204" s="1"/>
  <c r="E328" i="204"/>
  <c r="E326" i="204" s="1"/>
  <c r="N368" i="204"/>
  <c r="N367" i="204" s="1"/>
  <c r="P95" i="204"/>
  <c r="P94" i="204" s="1"/>
  <c r="P93" i="204" s="1"/>
  <c r="P92" i="204" s="1"/>
  <c r="G105" i="204"/>
  <c r="G104" i="204" s="1"/>
  <c r="P112" i="204"/>
  <c r="P113" i="204"/>
  <c r="F109" i="204"/>
  <c r="F105" i="204" s="1"/>
  <c r="F104" i="204" s="1"/>
  <c r="J117" i="204"/>
  <c r="J109" i="204" s="1"/>
  <c r="N109" i="204"/>
  <c r="N105" i="204" s="1"/>
  <c r="N104" i="204" s="1"/>
  <c r="P120" i="204"/>
  <c r="E130" i="204"/>
  <c r="H135" i="204"/>
  <c r="H134" i="204" s="1"/>
  <c r="J156" i="204"/>
  <c r="P156" i="204" s="1"/>
  <c r="K140" i="204"/>
  <c r="K135" i="204" s="1"/>
  <c r="K134" i="204" s="1"/>
  <c r="O159" i="204"/>
  <c r="P160" i="204"/>
  <c r="P159" i="204" s="1"/>
  <c r="J162" i="204"/>
  <c r="P183" i="204"/>
  <c r="P182" i="204" s="1"/>
  <c r="P181" i="204" s="1"/>
  <c r="J201" i="204"/>
  <c r="L198" i="204"/>
  <c r="E198" i="204"/>
  <c r="F218" i="204"/>
  <c r="F217" i="204" s="1"/>
  <c r="F216" i="204" s="1"/>
  <c r="F215" i="204" s="1"/>
  <c r="I216" i="204"/>
  <c r="I215" i="204" s="1"/>
  <c r="J225" i="204"/>
  <c r="O224" i="204"/>
  <c r="O223" i="204" s="1"/>
  <c r="O216" i="204" s="1"/>
  <c r="J244" i="204"/>
  <c r="J243" i="204" s="1"/>
  <c r="J242" i="204" s="1"/>
  <c r="J247" i="204"/>
  <c r="J245" i="204" s="1"/>
  <c r="O245" i="204"/>
  <c r="O241" i="204" s="1"/>
  <c r="E252" i="204"/>
  <c r="I252" i="204"/>
  <c r="I251" i="204" s="1"/>
  <c r="P259" i="204"/>
  <c r="P272" i="204"/>
  <c r="P271" i="204" s="1"/>
  <c r="I280" i="204"/>
  <c r="I279" i="204" s="1"/>
  <c r="O295" i="204"/>
  <c r="K294" i="204"/>
  <c r="E310" i="204"/>
  <c r="P310" i="204" s="1"/>
  <c r="F307" i="204"/>
  <c r="F306" i="204" s="1"/>
  <c r="P317" i="204"/>
  <c r="P316" i="204" s="1"/>
  <c r="O323" i="204"/>
  <c r="O322" i="204" s="1"/>
  <c r="O315" i="204" s="1"/>
  <c r="J324" i="204"/>
  <c r="J323" i="204" s="1"/>
  <c r="J322" i="204" s="1"/>
  <c r="P235" i="204"/>
  <c r="P234" i="204" s="1"/>
  <c r="P247" i="204"/>
  <c r="P245" i="204" s="1"/>
  <c r="P256" i="204"/>
  <c r="P253" i="204" s="1"/>
  <c r="P270" i="204"/>
  <c r="E286" i="204"/>
  <c r="E285" i="204" s="1"/>
  <c r="E280" i="204" s="1"/>
  <c r="E288" i="204"/>
  <c r="F286" i="204"/>
  <c r="F285" i="204" s="1"/>
  <c r="F280" i="204" s="1"/>
  <c r="F279" i="204" s="1"/>
  <c r="K299" i="204"/>
  <c r="O300" i="204"/>
  <c r="P321" i="204"/>
  <c r="P320" i="204" s="1"/>
  <c r="J328" i="204"/>
  <c r="J326" i="204" s="1"/>
  <c r="J325" i="204" s="1"/>
  <c r="P338" i="204"/>
  <c r="P335" i="204" s="1"/>
  <c r="P334" i="204" s="1"/>
  <c r="E335" i="204"/>
  <c r="E334" i="204" s="1"/>
  <c r="P341" i="204"/>
  <c r="P246" i="204"/>
  <c r="P250" i="204"/>
  <c r="P249" i="204" s="1"/>
  <c r="P248" i="204" s="1"/>
  <c r="P269" i="204"/>
  <c r="P268" i="204" s="1"/>
  <c r="P265" i="204" s="1"/>
  <c r="E268" i="204"/>
  <c r="E265" i="204" s="1"/>
  <c r="G280" i="204"/>
  <c r="G279" i="204" s="1"/>
  <c r="O288" i="204"/>
  <c r="J288" i="204" s="1"/>
  <c r="P288" i="204" s="1"/>
  <c r="K286" i="204"/>
  <c r="K285" i="204" s="1"/>
  <c r="P301" i="204"/>
  <c r="E307" i="204"/>
  <c r="E306" i="204" s="1"/>
  <c r="P331" i="204"/>
  <c r="F340" i="204"/>
  <c r="F339" i="204" s="1"/>
  <c r="J341" i="204"/>
  <c r="N340" i="204"/>
  <c r="N339" i="204" s="1"/>
  <c r="L349" i="204"/>
  <c r="L348" i="204" s="1"/>
  <c r="F315" i="204"/>
  <c r="F314" i="204" s="1"/>
  <c r="N315" i="204"/>
  <c r="N314" i="204" s="1"/>
  <c r="P327" i="204"/>
  <c r="J340" i="204"/>
  <c r="P387" i="204"/>
  <c r="O403" i="204"/>
  <c r="O400" i="204" s="1"/>
  <c r="O397" i="204" s="1"/>
  <c r="J404" i="204"/>
  <c r="E416" i="204"/>
  <c r="F415" i="204"/>
  <c r="F413" i="204" s="1"/>
  <c r="I293" i="204"/>
  <c r="M293" i="204"/>
  <c r="M280" i="204" s="1"/>
  <c r="M279" i="204" s="1"/>
  <c r="P324" i="204"/>
  <c r="P323" i="204" s="1"/>
  <c r="P322" i="204" s="1"/>
  <c r="H354" i="204"/>
  <c r="H353" i="204" s="1"/>
  <c r="H349" i="204" s="1"/>
  <c r="H348" i="204" s="1"/>
  <c r="J361" i="204"/>
  <c r="O360" i="204"/>
  <c r="J368" i="204"/>
  <c r="J367" i="204" s="1"/>
  <c r="J369" i="204"/>
  <c r="K368" i="204"/>
  <c r="K367" i="204" s="1"/>
  <c r="E374" i="204"/>
  <c r="E371" i="204" s="1"/>
  <c r="I368" i="204"/>
  <c r="I367" i="204" s="1"/>
  <c r="M368" i="204"/>
  <c r="M367" i="204" s="1"/>
  <c r="P382" i="204"/>
  <c r="P381" i="204" s="1"/>
  <c r="P380" i="204" s="1"/>
  <c r="P385" i="204"/>
  <c r="P384" i="204" s="1"/>
  <c r="P383" i="204" s="1"/>
  <c r="E384" i="204"/>
  <c r="E383" i="204" s="1"/>
  <c r="E387" i="204"/>
  <c r="E386" i="204" s="1"/>
  <c r="M387" i="204"/>
  <c r="M386" i="204" s="1"/>
  <c r="P395" i="204"/>
  <c r="P394" i="204" s="1"/>
  <c r="E402" i="204"/>
  <c r="F401" i="204"/>
  <c r="F400" i="204" s="1"/>
  <c r="K406" i="204"/>
  <c r="K405" i="204" s="1"/>
  <c r="P414" i="204"/>
  <c r="P422" i="204"/>
  <c r="P421" i="204" s="1"/>
  <c r="P420" i="204" s="1"/>
  <c r="E421" i="204"/>
  <c r="E420" i="204" s="1"/>
  <c r="M434" i="204"/>
  <c r="P419" i="204"/>
  <c r="P418" i="204" s="1"/>
  <c r="P417" i="204" s="1"/>
  <c r="P375" i="204"/>
  <c r="P379" i="204"/>
  <c r="P378" i="204" s="1"/>
  <c r="F397" i="204"/>
  <c r="F396" i="204" s="1"/>
  <c r="N397" i="204"/>
  <c r="N396" i="204" s="1"/>
  <c r="F406" i="204"/>
  <c r="F405" i="204" s="1"/>
  <c r="N406" i="204"/>
  <c r="N405" i="204" s="1"/>
  <c r="E425" i="204"/>
  <c r="H15" i="203"/>
  <c r="I15" i="203"/>
  <c r="M16" i="203"/>
  <c r="P33" i="203"/>
  <c r="J83" i="203"/>
  <c r="N15" i="203"/>
  <c r="E46" i="203"/>
  <c r="E45" i="203" s="1"/>
  <c r="P53" i="203"/>
  <c r="P52" i="203" s="1"/>
  <c r="E52" i="203"/>
  <c r="L44" i="203"/>
  <c r="L194" i="203"/>
  <c r="P18" i="203"/>
  <c r="J17" i="203"/>
  <c r="J124" i="203"/>
  <c r="F16" i="203"/>
  <c r="O40" i="203"/>
  <c r="J42" i="203"/>
  <c r="P42" i="203" s="1"/>
  <c r="P40" i="203" s="1"/>
  <c r="O182" i="203"/>
  <c r="O181" i="203" s="1"/>
  <c r="J183" i="203"/>
  <c r="J182" i="203" s="1"/>
  <c r="J181" i="203" s="1"/>
  <c r="P28" i="203"/>
  <c r="O58" i="203"/>
  <c r="O46" i="203" s="1"/>
  <c r="O45" i="203" s="1"/>
  <c r="G105" i="203"/>
  <c r="G104" i="203" s="1"/>
  <c r="G15" i="203"/>
  <c r="P47" i="203"/>
  <c r="P57" i="203"/>
  <c r="P66" i="203"/>
  <c r="P86" i="203"/>
  <c r="P152" i="203"/>
  <c r="E310" i="203"/>
  <c r="F307" i="203"/>
  <c r="F306" i="203" s="1"/>
  <c r="P25" i="203"/>
  <c r="P23" i="203" s="1"/>
  <c r="J34" i="203"/>
  <c r="J33" i="203" s="1"/>
  <c r="N46" i="203"/>
  <c r="N45" i="203" s="1"/>
  <c r="N44" i="203" s="1"/>
  <c r="J79" i="203"/>
  <c r="P79" i="203" s="1"/>
  <c r="O77" i="203"/>
  <c r="J77" i="203" s="1"/>
  <c r="P77" i="203" s="1"/>
  <c r="P89" i="203"/>
  <c r="F109" i="203"/>
  <c r="F105" i="203" s="1"/>
  <c r="F104" i="203" s="1"/>
  <c r="E130" i="203"/>
  <c r="H135" i="203"/>
  <c r="H134" i="203" s="1"/>
  <c r="P142" i="203"/>
  <c r="P141" i="203" s="1"/>
  <c r="P156" i="203"/>
  <c r="E287" i="203"/>
  <c r="E286" i="203" s="1"/>
  <c r="E285" i="203" s="1"/>
  <c r="F286" i="203"/>
  <c r="F285" i="203" s="1"/>
  <c r="F280" i="203" s="1"/>
  <c r="F279" i="203" s="1"/>
  <c r="P19" i="203"/>
  <c r="P27" i="203"/>
  <c r="E37" i="203"/>
  <c r="E33" i="203" s="1"/>
  <c r="P58" i="203"/>
  <c r="P59" i="203"/>
  <c r="P62" i="203"/>
  <c r="P68" i="203"/>
  <c r="P81" i="203"/>
  <c r="P80" i="203" s="1"/>
  <c r="P85" i="203"/>
  <c r="P119" i="203"/>
  <c r="P123" i="203"/>
  <c r="P122" i="203" s="1"/>
  <c r="P125" i="203"/>
  <c r="P124" i="203" s="1"/>
  <c r="P151" i="203"/>
  <c r="P150" i="203" s="1"/>
  <c r="P155" i="203"/>
  <c r="J178" i="203"/>
  <c r="J140" i="203" s="1"/>
  <c r="P183" i="203"/>
  <c r="P182" i="203" s="1"/>
  <c r="P181" i="203" s="1"/>
  <c r="J185" i="203"/>
  <c r="J199" i="203"/>
  <c r="J198" i="203" s="1"/>
  <c r="O198" i="203"/>
  <c r="P204" i="203"/>
  <c r="P203" i="203" s="1"/>
  <c r="J40" i="203"/>
  <c r="K39" i="203"/>
  <c r="O43" i="203"/>
  <c r="J43" i="203" s="1"/>
  <c r="P43" i="203" s="1"/>
  <c r="P111" i="203"/>
  <c r="K135" i="203"/>
  <c r="K134" i="203" s="1"/>
  <c r="P199" i="203"/>
  <c r="P20" i="203"/>
  <c r="F52" i="203"/>
  <c r="F46" i="203" s="1"/>
  <c r="F45" i="203" s="1"/>
  <c r="F44" i="203" s="1"/>
  <c r="J61" i="203"/>
  <c r="P61" i="203" s="1"/>
  <c r="P67" i="203"/>
  <c r="P112" i="203"/>
  <c r="N105" i="203"/>
  <c r="N104" i="203" s="1"/>
  <c r="O122" i="203"/>
  <c r="O105" i="203" s="1"/>
  <c r="O104" i="203" s="1"/>
  <c r="G135" i="203"/>
  <c r="G134" i="203" s="1"/>
  <c r="E162" i="203"/>
  <c r="H216" i="203"/>
  <c r="H215" i="203" s="1"/>
  <c r="J254" i="203"/>
  <c r="O253" i="203"/>
  <c r="K17" i="203"/>
  <c r="K16" i="203" s="1"/>
  <c r="O17" i="203"/>
  <c r="E21" i="203"/>
  <c r="P21" i="203" s="1"/>
  <c r="E29" i="203"/>
  <c r="J48" i="203"/>
  <c r="P48" i="203" s="1"/>
  <c r="P51" i="203"/>
  <c r="O61" i="203"/>
  <c r="P65" i="203"/>
  <c r="P70" i="203"/>
  <c r="K71" i="203"/>
  <c r="K46" i="203" s="1"/>
  <c r="K45" i="203" s="1"/>
  <c r="K44" i="203" s="1"/>
  <c r="P71" i="203"/>
  <c r="P73" i="203"/>
  <c r="P84" i="203"/>
  <c r="P83" i="203" s="1"/>
  <c r="P88" i="203"/>
  <c r="J97" i="203"/>
  <c r="J106" i="203"/>
  <c r="P118" i="203"/>
  <c r="P117" i="203" s="1"/>
  <c r="P109" i="203" s="1"/>
  <c r="P105" i="203" s="1"/>
  <c r="J119" i="203"/>
  <c r="J109" i="203" s="1"/>
  <c r="K126" i="203"/>
  <c r="K125" i="203" s="1"/>
  <c r="K124" i="203" s="1"/>
  <c r="K105" i="203" s="1"/>
  <c r="K104" i="203" s="1"/>
  <c r="E128" i="203"/>
  <c r="E125" i="203" s="1"/>
  <c r="E124" i="203" s="1"/>
  <c r="E105" i="203" s="1"/>
  <c r="E104" i="203" s="1"/>
  <c r="I124" i="203"/>
  <c r="I105" i="203" s="1"/>
  <c r="I104" i="203" s="1"/>
  <c r="M124" i="203"/>
  <c r="M105" i="203" s="1"/>
  <c r="M104" i="203" s="1"/>
  <c r="P132" i="203"/>
  <c r="L140" i="203"/>
  <c r="L135" i="203" s="1"/>
  <c r="O140" i="203"/>
  <c r="O135" i="203" s="1"/>
  <c r="O134" i="203" s="1"/>
  <c r="P154" i="203"/>
  <c r="P153" i="203" s="1"/>
  <c r="J153" i="203"/>
  <c r="P157" i="203"/>
  <c r="P160" i="203"/>
  <c r="P159" i="203" s="1"/>
  <c r="P167" i="203"/>
  <c r="P162" i="203" s="1"/>
  <c r="O178" i="203"/>
  <c r="E180" i="203"/>
  <c r="F178" i="203"/>
  <c r="F140" i="203" s="1"/>
  <c r="F135" i="203" s="1"/>
  <c r="F134" i="203" s="1"/>
  <c r="P200" i="203"/>
  <c r="E224" i="203"/>
  <c r="P230" i="203"/>
  <c r="P229" i="203" s="1"/>
  <c r="E235" i="203"/>
  <c r="F234" i="203"/>
  <c r="P324" i="203"/>
  <c r="P323" i="203" s="1"/>
  <c r="P322" i="203" s="1"/>
  <c r="E323" i="203"/>
  <c r="E322" i="203" s="1"/>
  <c r="J217" i="203"/>
  <c r="P241" i="203"/>
  <c r="G275" i="203"/>
  <c r="G274" i="203" s="1"/>
  <c r="G252" i="203" s="1"/>
  <c r="G251" i="203" s="1"/>
  <c r="L275" i="203"/>
  <c r="L274" i="203"/>
  <c r="L252" i="203" s="1"/>
  <c r="P282" i="203"/>
  <c r="P281" i="203" s="1"/>
  <c r="J281" i="203"/>
  <c r="E419" i="203"/>
  <c r="E418" i="203" s="1"/>
  <c r="E417" i="203" s="1"/>
  <c r="F418" i="203"/>
  <c r="F417" i="203" s="1"/>
  <c r="F413" i="203" s="1"/>
  <c r="F406" i="203" s="1"/>
  <c r="F405" i="203" s="1"/>
  <c r="P214" i="203"/>
  <c r="P213" i="203" s="1"/>
  <c r="P212" i="203" s="1"/>
  <c r="E213" i="203"/>
  <c r="E212" i="203" s="1"/>
  <c r="E195" i="203" s="1"/>
  <c r="N216" i="203"/>
  <c r="N215" i="203" s="1"/>
  <c r="L216" i="203"/>
  <c r="H223" i="203"/>
  <c r="M223" i="203"/>
  <c r="M216" i="203" s="1"/>
  <c r="M215" i="203" s="1"/>
  <c r="E241" i="203"/>
  <c r="E252" i="203"/>
  <c r="I252" i="203"/>
  <c r="I251" i="203" s="1"/>
  <c r="J276" i="203"/>
  <c r="O281" i="203"/>
  <c r="L339" i="203"/>
  <c r="L223" i="203"/>
  <c r="F223" i="203"/>
  <c r="O207" i="203"/>
  <c r="O206" i="203" s="1"/>
  <c r="J211" i="203"/>
  <c r="P211" i="203" s="1"/>
  <c r="P207" i="203" s="1"/>
  <c r="P206" i="203" s="1"/>
  <c r="I216" i="203"/>
  <c r="I215" i="203" s="1"/>
  <c r="F241" i="203"/>
  <c r="P263" i="203"/>
  <c r="O266" i="203"/>
  <c r="J267" i="203"/>
  <c r="J266" i="203" s="1"/>
  <c r="J265" i="203"/>
  <c r="O265" i="203"/>
  <c r="H280" i="203"/>
  <c r="H279" i="203" s="1"/>
  <c r="P313" i="203"/>
  <c r="P312" i="203" s="1"/>
  <c r="P311" i="203" s="1"/>
  <c r="J312" i="203"/>
  <c r="J311" i="203" s="1"/>
  <c r="J316" i="203"/>
  <c r="P321" i="203"/>
  <c r="P320" i="203" s="1"/>
  <c r="E320" i="203"/>
  <c r="K326" i="203"/>
  <c r="K325" i="203" s="1"/>
  <c r="K315" i="203" s="1"/>
  <c r="K314" i="203" s="1"/>
  <c r="O332" i="203"/>
  <c r="J332" i="203" s="1"/>
  <c r="J408" i="203"/>
  <c r="J407" i="203" s="1"/>
  <c r="O407" i="203"/>
  <c r="O406" i="203" s="1"/>
  <c r="O405" i="203" s="1"/>
  <c r="G223" i="203"/>
  <c r="G216" i="203" s="1"/>
  <c r="N280" i="203"/>
  <c r="N279" i="203" s="1"/>
  <c r="P287" i="203"/>
  <c r="P286" i="203" s="1"/>
  <c r="P318" i="203"/>
  <c r="P316" i="203" s="1"/>
  <c r="J347" i="203"/>
  <c r="O346" i="203"/>
  <c r="O345" i="203" s="1"/>
  <c r="I353" i="203"/>
  <c r="I349" i="203" s="1"/>
  <c r="I348" i="203" s="1"/>
  <c r="H371" i="203"/>
  <c r="H368" i="203" s="1"/>
  <c r="H367" i="203" s="1"/>
  <c r="O403" i="203"/>
  <c r="J404" i="203"/>
  <c r="J403" i="203" s="1"/>
  <c r="J400" i="203" s="1"/>
  <c r="O213" i="203"/>
  <c r="O212" i="203" s="1"/>
  <c r="O195" i="203" s="1"/>
  <c r="P219" i="203"/>
  <c r="P218" i="203" s="1"/>
  <c r="P221" i="203"/>
  <c r="P220" i="203" s="1"/>
  <c r="J225" i="203"/>
  <c r="J224" i="203" s="1"/>
  <c r="J223" i="203" s="1"/>
  <c r="O224" i="203"/>
  <c r="O223" i="203" s="1"/>
  <c r="O216" i="203" s="1"/>
  <c r="O215" i="203" s="1"/>
  <c r="P237" i="203"/>
  <c r="K257" i="203"/>
  <c r="K252" i="203" s="1"/>
  <c r="K251" i="203" s="1"/>
  <c r="J286" i="203"/>
  <c r="J285" i="203" s="1"/>
  <c r="O298" i="203"/>
  <c r="P303" i="203"/>
  <c r="P302" i="203" s="1"/>
  <c r="P299" i="203" s="1"/>
  <c r="J302" i="203"/>
  <c r="J299" i="203" s="1"/>
  <c r="J307" i="203"/>
  <c r="J306" i="203" s="1"/>
  <c r="E316" i="203"/>
  <c r="I315" i="203"/>
  <c r="I314" i="203" s="1"/>
  <c r="M315" i="203"/>
  <c r="M314" i="203" s="1"/>
  <c r="E339" i="203"/>
  <c r="L367" i="203"/>
  <c r="P385" i="203"/>
  <c r="P384" i="203" s="1"/>
  <c r="P383" i="203" s="1"/>
  <c r="E384" i="203"/>
  <c r="E383" i="203" s="1"/>
  <c r="J388" i="203"/>
  <c r="P390" i="203"/>
  <c r="P388" i="203" s="1"/>
  <c r="L396" i="203"/>
  <c r="N406" i="203"/>
  <c r="N405" i="203" s="1"/>
  <c r="F218" i="203"/>
  <c r="F217" i="203" s="1"/>
  <c r="F216" i="203" s="1"/>
  <c r="F215" i="203" s="1"/>
  <c r="E220" i="203"/>
  <c r="E217" i="203" s="1"/>
  <c r="P236" i="203"/>
  <c r="P240" i="203"/>
  <c r="P239" i="203" s="1"/>
  <c r="P238" i="203" s="1"/>
  <c r="O259" i="203"/>
  <c r="K275" i="203"/>
  <c r="K274" i="203" s="1"/>
  <c r="O277" i="203"/>
  <c r="P278" i="203"/>
  <c r="P277" i="203" s="1"/>
  <c r="L279" i="203"/>
  <c r="O286" i="203"/>
  <c r="O285" i="203" s="1"/>
  <c r="P290" i="203"/>
  <c r="P291" i="203"/>
  <c r="P309" i="203"/>
  <c r="H315" i="203"/>
  <c r="H314" i="203" s="1"/>
  <c r="L315" i="203"/>
  <c r="O328" i="203"/>
  <c r="O326" i="203" s="1"/>
  <c r="O325" i="203" s="1"/>
  <c r="O315" i="203" s="1"/>
  <c r="O314" i="203" s="1"/>
  <c r="J329" i="203"/>
  <c r="P332" i="203"/>
  <c r="G340" i="203"/>
  <c r="G339" i="203" s="1"/>
  <c r="G349" i="203"/>
  <c r="G348" i="203" s="1"/>
  <c r="J358" i="203"/>
  <c r="O357" i="203"/>
  <c r="O354" i="203" s="1"/>
  <c r="O353" i="203" s="1"/>
  <c r="O349" i="203" s="1"/>
  <c r="O348" i="203" s="1"/>
  <c r="J373" i="203"/>
  <c r="O372" i="203"/>
  <c r="O371" i="203" s="1"/>
  <c r="O368" i="203" s="1"/>
  <c r="J395" i="203"/>
  <c r="O394" i="203"/>
  <c r="O387" i="203" s="1"/>
  <c r="O386" i="203" s="1"/>
  <c r="P419" i="203"/>
  <c r="P418" i="203" s="1"/>
  <c r="P417" i="203" s="1"/>
  <c r="J341" i="203"/>
  <c r="P361" i="203"/>
  <c r="P360" i="203" s="1"/>
  <c r="P364" i="203"/>
  <c r="P363" i="203" s="1"/>
  <c r="P362" i="203" s="1"/>
  <c r="E363" i="203"/>
  <c r="E362" i="203" s="1"/>
  <c r="J392" i="203"/>
  <c r="J391" i="203" s="1"/>
  <c r="P393" i="203"/>
  <c r="P392" i="203" s="1"/>
  <c r="P391" i="203" s="1"/>
  <c r="O400" i="203"/>
  <c r="O397" i="203" s="1"/>
  <c r="K406" i="203"/>
  <c r="K405" i="203" s="1"/>
  <c r="J418" i="203"/>
  <c r="J417" i="203" s="1"/>
  <c r="J413" i="203" s="1"/>
  <c r="K340" i="203"/>
  <c r="K339" i="203" s="1"/>
  <c r="O341" i="203"/>
  <c r="O340" i="203" s="1"/>
  <c r="O339" i="203" s="1"/>
  <c r="P342" i="203"/>
  <c r="P341" i="203" s="1"/>
  <c r="P352" i="203"/>
  <c r="P350" i="203" s="1"/>
  <c r="P356" i="203"/>
  <c r="P355" i="203" s="1"/>
  <c r="E355" i="203"/>
  <c r="E354" i="203" s="1"/>
  <c r="E353" i="203" s="1"/>
  <c r="E349" i="203" s="1"/>
  <c r="J361" i="203"/>
  <c r="J360" i="203" s="1"/>
  <c r="O360" i="203"/>
  <c r="P370" i="203"/>
  <c r="P369" i="203" s="1"/>
  <c r="G371" i="203"/>
  <c r="G368" i="203" s="1"/>
  <c r="G367" i="203" s="1"/>
  <c r="I368" i="203"/>
  <c r="I367" i="203" s="1"/>
  <c r="I387" i="203"/>
  <c r="I386" i="203" s="1"/>
  <c r="E402" i="203"/>
  <c r="F401" i="203"/>
  <c r="F400" i="203" s="1"/>
  <c r="F397" i="203" s="1"/>
  <c r="F396" i="203" s="1"/>
  <c r="P404" i="203"/>
  <c r="P403" i="203" s="1"/>
  <c r="P422" i="203"/>
  <c r="P421" i="203" s="1"/>
  <c r="P420" i="203" s="1"/>
  <c r="E421" i="203"/>
  <c r="E420" i="203" s="1"/>
  <c r="P375" i="203"/>
  <c r="P379" i="203"/>
  <c r="P378" i="203" s="1"/>
  <c r="P374" i="203" s="1"/>
  <c r="L387" i="203"/>
  <c r="L386" i="203" s="1"/>
  <c r="P399" i="203"/>
  <c r="P398" i="203" s="1"/>
  <c r="P408" i="203"/>
  <c r="P407" i="203" s="1"/>
  <c r="P412" i="203"/>
  <c r="P411" i="203" s="1"/>
  <c r="P410" i="203" s="1"/>
  <c r="E416" i="203"/>
  <c r="E374" i="203"/>
  <c r="E371" i="203" s="1"/>
  <c r="P382" i="203"/>
  <c r="P381" i="203" s="1"/>
  <c r="P380" i="203" s="1"/>
  <c r="H387" i="203"/>
  <c r="H386" i="203" s="1"/>
  <c r="E425" i="203"/>
  <c r="E15" i="202"/>
  <c r="E111" i="202" s="1"/>
  <c r="D32" i="202"/>
  <c r="D40" i="202"/>
  <c r="C40" i="202" s="1"/>
  <c r="D77" i="202"/>
  <c r="C77" i="202" s="1"/>
  <c r="D127" i="202"/>
  <c r="D118" i="202" s="1"/>
  <c r="D118" i="210" s="1"/>
  <c r="D112" i="210" s="1"/>
  <c r="J21" i="184"/>
  <c r="O125" i="207" l="1"/>
  <c r="O125" i="206"/>
  <c r="E125" i="207"/>
  <c r="E125" i="206"/>
  <c r="J126" i="207"/>
  <c r="J126" i="206"/>
  <c r="P376" i="207"/>
  <c r="P376" i="206"/>
  <c r="O52" i="206"/>
  <c r="O52" i="207"/>
  <c r="D150" i="210"/>
  <c r="E112" i="202"/>
  <c r="E149" i="202" s="1"/>
  <c r="I149" i="202" s="1"/>
  <c r="E118" i="210"/>
  <c r="E112" i="210" s="1"/>
  <c r="E150" i="210" s="1"/>
  <c r="I150" i="210" s="1"/>
  <c r="C127" i="202"/>
  <c r="C127" i="210" s="1"/>
  <c r="D127" i="210"/>
  <c r="F112" i="202"/>
  <c r="F149" i="202" s="1"/>
  <c r="J149" i="202" s="1"/>
  <c r="F118" i="210"/>
  <c r="F112" i="210" s="1"/>
  <c r="F150" i="210" s="1"/>
  <c r="J150" i="210" s="1"/>
  <c r="J125" i="165"/>
  <c r="I123" i="167"/>
  <c r="G123" i="167" s="1"/>
  <c r="P126" i="165"/>
  <c r="D118" i="205"/>
  <c r="C119" i="205"/>
  <c r="D66" i="205"/>
  <c r="C67" i="205"/>
  <c r="D15" i="205"/>
  <c r="C15" i="205" s="1"/>
  <c r="C16" i="205"/>
  <c r="L15" i="204"/>
  <c r="L134" i="204"/>
  <c r="E134" i="204"/>
  <c r="O396" i="204"/>
  <c r="J397" i="204"/>
  <c r="J396" i="204" s="1"/>
  <c r="K280" i="204"/>
  <c r="K279" i="204" s="1"/>
  <c r="E279" i="204"/>
  <c r="O215" i="204"/>
  <c r="J216" i="204"/>
  <c r="J215" i="204" s="1"/>
  <c r="O314" i="204"/>
  <c r="J315" i="204"/>
  <c r="J314" i="204" s="1"/>
  <c r="E401" i="204"/>
  <c r="E400" i="204" s="1"/>
  <c r="E397" i="204" s="1"/>
  <c r="P402" i="204"/>
  <c r="P401" i="204" s="1"/>
  <c r="P325" i="204"/>
  <c r="J281" i="204"/>
  <c r="P282" i="204"/>
  <c r="P281" i="204" s="1"/>
  <c r="L251" i="204"/>
  <c r="J252" i="204"/>
  <c r="J251" i="204" s="1"/>
  <c r="J26" i="204"/>
  <c r="J22" i="204" s="1"/>
  <c r="P29" i="204"/>
  <c r="P26" i="204" s="1"/>
  <c r="J339" i="204"/>
  <c r="P340" i="204"/>
  <c r="P308" i="204"/>
  <c r="P307" i="204" s="1"/>
  <c r="P306" i="204" s="1"/>
  <c r="J45" i="204"/>
  <c r="J44" i="204" s="1"/>
  <c r="L44" i="204"/>
  <c r="G423" i="204"/>
  <c r="G434" i="204" s="1"/>
  <c r="G15" i="204"/>
  <c r="P22" i="204"/>
  <c r="N423" i="204"/>
  <c r="N434" i="204" s="1"/>
  <c r="J360" i="204"/>
  <c r="J353" i="204" s="1"/>
  <c r="J349" i="204" s="1"/>
  <c r="P361" i="204"/>
  <c r="P360" i="204" s="1"/>
  <c r="P353" i="204" s="1"/>
  <c r="J403" i="204"/>
  <c r="J400" i="204" s="1"/>
  <c r="P404" i="204"/>
  <c r="P403" i="204" s="1"/>
  <c r="K293" i="204"/>
  <c r="J224" i="204"/>
  <c r="J223" i="204" s="1"/>
  <c r="P225" i="204"/>
  <c r="P224" i="204" s="1"/>
  <c r="P223" i="204" s="1"/>
  <c r="P119" i="204"/>
  <c r="J286" i="204"/>
  <c r="J285" i="204" s="1"/>
  <c r="P287" i="204"/>
  <c r="P286" i="204" s="1"/>
  <c r="P285" i="204" s="1"/>
  <c r="J105" i="204"/>
  <c r="J104" i="204" s="1"/>
  <c r="J312" i="204"/>
  <c r="J311" i="204" s="1"/>
  <c r="P313" i="204"/>
  <c r="P312" i="204" s="1"/>
  <c r="P311" i="204" s="1"/>
  <c r="J180" i="204"/>
  <c r="O178" i="204"/>
  <c r="O140" i="204" s="1"/>
  <c r="O135" i="204" s="1"/>
  <c r="K423" i="204"/>
  <c r="K15" i="204"/>
  <c r="P42" i="204"/>
  <c r="P40" i="204" s="1"/>
  <c r="P39" i="204" s="1"/>
  <c r="E46" i="204"/>
  <c r="E45" i="204" s="1"/>
  <c r="E195" i="204"/>
  <c r="Q425" i="204"/>
  <c r="P416" i="204"/>
  <c r="P415" i="204" s="1"/>
  <c r="P413" i="204" s="1"/>
  <c r="P406" i="204" s="1"/>
  <c r="E415" i="204"/>
  <c r="E413" i="204" s="1"/>
  <c r="E406" i="204" s="1"/>
  <c r="E405" i="204" s="1"/>
  <c r="P386" i="204"/>
  <c r="Q387" i="204"/>
  <c r="J300" i="204"/>
  <c r="O299" i="204"/>
  <c r="P241" i="204"/>
  <c r="E368" i="204"/>
  <c r="E251" i="204"/>
  <c r="O286" i="204"/>
  <c r="O285" i="204" s="1"/>
  <c r="P217" i="204"/>
  <c r="J150" i="204"/>
  <c r="P151" i="204"/>
  <c r="P150" i="204" s="1"/>
  <c r="P198" i="204"/>
  <c r="P109" i="204"/>
  <c r="P105" i="204" s="1"/>
  <c r="J47" i="204"/>
  <c r="I423" i="204"/>
  <c r="I434" i="204" s="1"/>
  <c r="P374" i="204"/>
  <c r="P371" i="204" s="1"/>
  <c r="O294" i="204"/>
  <c r="J295" i="204"/>
  <c r="J241" i="204"/>
  <c r="E325" i="204"/>
  <c r="E315" i="204" s="1"/>
  <c r="J207" i="204"/>
  <c r="J206" i="204" s="1"/>
  <c r="P211" i="204"/>
  <c r="P207" i="204" s="1"/>
  <c r="P206" i="204" s="1"/>
  <c r="J260" i="204"/>
  <c r="O258" i="204"/>
  <c r="O257" i="204" s="1"/>
  <c r="O252" i="204" s="1"/>
  <c r="O251" i="204" s="1"/>
  <c r="P244" i="204"/>
  <c r="P243" i="204" s="1"/>
  <c r="P242" i="204" s="1"/>
  <c r="L195" i="204"/>
  <c r="E215" i="204"/>
  <c r="E124" i="204"/>
  <c r="E105" i="204" s="1"/>
  <c r="E104" i="204" s="1"/>
  <c r="J35" i="204"/>
  <c r="O34" i="204"/>
  <c r="O33" i="204" s="1"/>
  <c r="O16" i="204" s="1"/>
  <c r="P154" i="204"/>
  <c r="P153" i="204" s="1"/>
  <c r="J153" i="204"/>
  <c r="P197" i="204"/>
  <c r="P196" i="204" s="1"/>
  <c r="P49" i="204"/>
  <c r="H423" i="204"/>
  <c r="H15" i="204"/>
  <c r="E423" i="204"/>
  <c r="E15" i="204"/>
  <c r="P81" i="204"/>
  <c r="P80" i="204" s="1"/>
  <c r="F423" i="204"/>
  <c r="F434" i="204" s="1"/>
  <c r="E348" i="203"/>
  <c r="E216" i="203"/>
  <c r="P104" i="203"/>
  <c r="Q105" i="203"/>
  <c r="O367" i="203"/>
  <c r="J368" i="203"/>
  <c r="J367" i="203" s="1"/>
  <c r="G215" i="203"/>
  <c r="G423" i="203"/>
  <c r="G434" i="203" s="1"/>
  <c r="E194" i="203"/>
  <c r="O396" i="203"/>
  <c r="J397" i="203"/>
  <c r="J396" i="203" s="1"/>
  <c r="P387" i="203"/>
  <c r="O194" i="203"/>
  <c r="J195" i="203"/>
  <c r="J194" i="203" s="1"/>
  <c r="L251" i="203"/>
  <c r="P307" i="203"/>
  <c r="P306" i="203" s="1"/>
  <c r="L134" i="203"/>
  <c r="J135" i="203"/>
  <c r="J134" i="203" s="1"/>
  <c r="L423" i="203"/>
  <c r="L434" i="203" s="1"/>
  <c r="O44" i="203"/>
  <c r="J45" i="203"/>
  <c r="J44" i="203" s="1"/>
  <c r="P39" i="203"/>
  <c r="P285" i="203"/>
  <c r="E307" i="203"/>
  <c r="E306" i="203" s="1"/>
  <c r="P310" i="203"/>
  <c r="O39" i="203"/>
  <c r="O16" i="203" s="1"/>
  <c r="P45" i="203"/>
  <c r="E44" i="203"/>
  <c r="J394" i="203"/>
  <c r="P395" i="203"/>
  <c r="P394" i="203" s="1"/>
  <c r="J357" i="203"/>
  <c r="J354" i="203" s="1"/>
  <c r="J353" i="203" s="1"/>
  <c r="J349" i="203" s="1"/>
  <c r="J348" i="203" s="1"/>
  <c r="P358" i="203"/>
  <c r="P357" i="203" s="1"/>
  <c r="P354" i="203" s="1"/>
  <c r="P353" i="203" s="1"/>
  <c r="E315" i="203"/>
  <c r="J298" i="203"/>
  <c r="O297" i="203"/>
  <c r="O296" i="203" s="1"/>
  <c r="O293" i="203" s="1"/>
  <c r="J340" i="203"/>
  <c r="P267" i="203"/>
  <c r="P266" i="203" s="1"/>
  <c r="P265" i="203" s="1"/>
  <c r="P225" i="203"/>
  <c r="P224" i="203" s="1"/>
  <c r="P223" i="203" s="1"/>
  <c r="E178" i="203"/>
  <c r="E140" i="203" s="1"/>
  <c r="E135" i="203" s="1"/>
  <c r="P180" i="203"/>
  <c r="P178" i="203" s="1"/>
  <c r="J105" i="203"/>
  <c r="J104" i="203" s="1"/>
  <c r="K423" i="203"/>
  <c r="K15" i="203"/>
  <c r="P198" i="203"/>
  <c r="E280" i="203"/>
  <c r="F423" i="203"/>
  <c r="F434" i="203" s="1"/>
  <c r="F15" i="203"/>
  <c r="L314" i="203"/>
  <c r="J315" i="203"/>
  <c r="J314" i="203" s="1"/>
  <c r="J346" i="203"/>
  <c r="J345" i="203" s="1"/>
  <c r="P347" i="203"/>
  <c r="P346" i="203" s="1"/>
  <c r="P345" i="203" s="1"/>
  <c r="P140" i="203"/>
  <c r="I423" i="203"/>
  <c r="I434" i="203" s="1"/>
  <c r="P406" i="203"/>
  <c r="E401" i="203"/>
  <c r="E400" i="203" s="1"/>
  <c r="E397" i="203" s="1"/>
  <c r="P402" i="203"/>
  <c r="P401" i="203" s="1"/>
  <c r="P400" i="203" s="1"/>
  <c r="P416" i="203"/>
  <c r="P415" i="203" s="1"/>
  <c r="P413" i="203" s="1"/>
  <c r="E415" i="203"/>
  <c r="E413" i="203" s="1"/>
  <c r="E406" i="203" s="1"/>
  <c r="E405" i="203" s="1"/>
  <c r="J328" i="203"/>
  <c r="J326" i="203" s="1"/>
  <c r="J325" i="203" s="1"/>
  <c r="P329" i="203"/>
  <c r="P328" i="203" s="1"/>
  <c r="P326" i="203" s="1"/>
  <c r="P325" i="203" s="1"/>
  <c r="J387" i="203"/>
  <c r="J386" i="203" s="1"/>
  <c r="P217" i="203"/>
  <c r="O280" i="203"/>
  <c r="P235" i="203"/>
  <c r="P234" i="203" s="1"/>
  <c r="E234" i="203"/>
  <c r="J96" i="203"/>
  <c r="J92" i="203" s="1"/>
  <c r="P97" i="203"/>
  <c r="P96" i="203" s="1"/>
  <c r="P92" i="203" s="1"/>
  <c r="P29" i="203"/>
  <c r="P26" i="203" s="1"/>
  <c r="P22" i="203" s="1"/>
  <c r="E26" i="203"/>
  <c r="E22" i="203" s="1"/>
  <c r="J39" i="203"/>
  <c r="E17" i="203"/>
  <c r="J46" i="203"/>
  <c r="N423" i="203"/>
  <c r="N434" i="203" s="1"/>
  <c r="M423" i="203"/>
  <c r="M434" i="203" s="1"/>
  <c r="M15" i="203"/>
  <c r="J259" i="203"/>
  <c r="O258" i="203"/>
  <c r="O257" i="203" s="1"/>
  <c r="J275" i="203"/>
  <c r="J274" i="203" s="1"/>
  <c r="P276" i="203"/>
  <c r="P275" i="203" s="1"/>
  <c r="P274" i="203" s="1"/>
  <c r="E223" i="203"/>
  <c r="P46" i="203"/>
  <c r="Q425" i="203"/>
  <c r="E368" i="203"/>
  <c r="J372" i="203"/>
  <c r="J371" i="203" s="1"/>
  <c r="P373" i="203"/>
  <c r="P372" i="203" s="1"/>
  <c r="P371" i="203" s="1"/>
  <c r="J406" i="203"/>
  <c r="J405" i="203" s="1"/>
  <c r="O275" i="203"/>
  <c r="O274" i="203" s="1"/>
  <c r="O252" i="203" s="1"/>
  <c r="E251" i="203"/>
  <c r="J216" i="203"/>
  <c r="J215" i="203" s="1"/>
  <c r="L215" i="203"/>
  <c r="J207" i="203"/>
  <c r="J206" i="203" s="1"/>
  <c r="J253" i="203"/>
  <c r="P254" i="203"/>
  <c r="P253" i="203" s="1"/>
  <c r="P17" i="203"/>
  <c r="H423" i="203"/>
  <c r="C118" i="202"/>
  <c r="C118" i="210" s="1"/>
  <c r="D112" i="202"/>
  <c r="C112" i="202" s="1"/>
  <c r="D66" i="202"/>
  <c r="D15" i="202"/>
  <c r="C15" i="202" s="1"/>
  <c r="C32" i="202"/>
  <c r="C18" i="188"/>
  <c r="J125" i="207" l="1"/>
  <c r="J125" i="206"/>
  <c r="P126" i="207"/>
  <c r="P126" i="206"/>
  <c r="C150" i="210"/>
  <c r="H150" i="210"/>
  <c r="C112" i="210"/>
  <c r="P125" i="165"/>
  <c r="C66" i="205"/>
  <c r="D111" i="205"/>
  <c r="D112" i="205"/>
  <c r="C112" i="205" s="1"/>
  <c r="C118" i="205"/>
  <c r="O134" i="204"/>
  <c r="J135" i="204"/>
  <c r="Q406" i="204"/>
  <c r="P405" i="204"/>
  <c r="O15" i="204"/>
  <c r="J16" i="204"/>
  <c r="P140" i="204"/>
  <c r="J178" i="204"/>
  <c r="P180" i="204"/>
  <c r="P178" i="204" s="1"/>
  <c r="J46" i="204"/>
  <c r="P47" i="204"/>
  <c r="P46" i="204" s="1"/>
  <c r="E194" i="204"/>
  <c r="P400" i="204"/>
  <c r="P216" i="204"/>
  <c r="O293" i="204"/>
  <c r="O280" i="204" s="1"/>
  <c r="P104" i="204"/>
  <c r="Q105" i="204"/>
  <c r="E367" i="204"/>
  <c r="P368" i="204"/>
  <c r="J299" i="204"/>
  <c r="P300" i="204"/>
  <c r="P299" i="204" s="1"/>
  <c r="E44" i="204"/>
  <c r="P45" i="204"/>
  <c r="E396" i="204"/>
  <c r="P397" i="204"/>
  <c r="E437" i="204"/>
  <c r="E435" i="204"/>
  <c r="F437" i="204"/>
  <c r="F435" i="204"/>
  <c r="J34" i="204"/>
  <c r="J33" i="204" s="1"/>
  <c r="P35" i="204"/>
  <c r="P34" i="204" s="1"/>
  <c r="P33" i="204" s="1"/>
  <c r="L194" i="204"/>
  <c r="J195" i="204"/>
  <c r="J194" i="204" s="1"/>
  <c r="E434" i="204"/>
  <c r="J294" i="204"/>
  <c r="J293" i="204" s="1"/>
  <c r="P295" i="204"/>
  <c r="P294" i="204" s="1"/>
  <c r="P293" i="204" s="1"/>
  <c r="J140" i="204"/>
  <c r="P252" i="204"/>
  <c r="K437" i="204"/>
  <c r="K434" i="204"/>
  <c r="H436" i="204"/>
  <c r="H434" i="204"/>
  <c r="P260" i="204"/>
  <c r="P258" i="204" s="1"/>
  <c r="P257" i="204" s="1"/>
  <c r="J258" i="204"/>
  <c r="J257" i="204" s="1"/>
  <c r="P315" i="204"/>
  <c r="E314" i="204"/>
  <c r="P349" i="204"/>
  <c r="J348" i="204"/>
  <c r="Q340" i="204"/>
  <c r="P339" i="204"/>
  <c r="L423" i="204"/>
  <c r="L434" i="204" s="1"/>
  <c r="P135" i="203"/>
  <c r="E134" i="203"/>
  <c r="O251" i="203"/>
  <c r="J252" i="203"/>
  <c r="O423" i="203"/>
  <c r="O15" i="203"/>
  <c r="J16" i="203"/>
  <c r="P349" i="203"/>
  <c r="Q406" i="203"/>
  <c r="P405" i="203"/>
  <c r="K437" i="203"/>
  <c r="K434" i="203"/>
  <c r="P298" i="203"/>
  <c r="P297" i="203" s="1"/>
  <c r="P296" i="203" s="1"/>
  <c r="P293" i="203" s="1"/>
  <c r="J297" i="203"/>
  <c r="J296" i="203" s="1"/>
  <c r="J293" i="203" s="1"/>
  <c r="P44" i="203"/>
  <c r="Q45" i="203"/>
  <c r="P386" i="203"/>
  <c r="Q387" i="203"/>
  <c r="E215" i="203"/>
  <c r="P216" i="203"/>
  <c r="H434" i="203"/>
  <c r="H436" i="203"/>
  <c r="E279" i="203"/>
  <c r="P280" i="203"/>
  <c r="E314" i="203"/>
  <c r="P315" i="203"/>
  <c r="P368" i="203"/>
  <c r="E367" i="203"/>
  <c r="E16" i="203"/>
  <c r="J339" i="203"/>
  <c r="P340" i="203"/>
  <c r="J258" i="203"/>
  <c r="J257" i="203" s="1"/>
  <c r="P259" i="203"/>
  <c r="P258" i="203" s="1"/>
  <c r="P257" i="203" s="1"/>
  <c r="O279" i="203"/>
  <c r="J280" i="203"/>
  <c r="J279" i="203" s="1"/>
  <c r="E396" i="203"/>
  <c r="P397" i="203"/>
  <c r="P195" i="203"/>
  <c r="C66" i="202"/>
  <c r="D111" i="202"/>
  <c r="F26" i="172"/>
  <c r="G52" i="165"/>
  <c r="P125" i="206" l="1"/>
  <c r="P125" i="207"/>
  <c r="G52" i="207"/>
  <c r="G52" i="206"/>
  <c r="G151" i="210"/>
  <c r="G150" i="210"/>
  <c r="C111" i="205"/>
  <c r="D150" i="205"/>
  <c r="P314" i="204"/>
  <c r="Q315" i="204"/>
  <c r="Q216" i="204"/>
  <c r="P215" i="204"/>
  <c r="Q397" i="204"/>
  <c r="P396" i="204"/>
  <c r="P195" i="204"/>
  <c r="J134" i="204"/>
  <c r="P135" i="204"/>
  <c r="J15" i="204"/>
  <c r="P16" i="204"/>
  <c r="Q349" i="204"/>
  <c r="P348" i="204"/>
  <c r="P251" i="204"/>
  <c r="Q252" i="204"/>
  <c r="P44" i="204"/>
  <c r="Q45" i="204"/>
  <c r="Q368" i="204"/>
  <c r="P367" i="204"/>
  <c r="O279" i="204"/>
  <c r="J280" i="204"/>
  <c r="J423" i="204" s="1"/>
  <c r="O423" i="204"/>
  <c r="Q340" i="203"/>
  <c r="P339" i="203"/>
  <c r="P367" i="203"/>
  <c r="Q368" i="203"/>
  <c r="J423" i="203"/>
  <c r="J15" i="203"/>
  <c r="Q195" i="203"/>
  <c r="P194" i="203"/>
  <c r="Q315" i="203"/>
  <c r="P314" i="203"/>
  <c r="Q280" i="203"/>
  <c r="P279" i="203"/>
  <c r="P215" i="203"/>
  <c r="Q216" i="203"/>
  <c r="Q349" i="203"/>
  <c r="P348" i="203"/>
  <c r="J251" i="203"/>
  <c r="P252" i="203"/>
  <c r="Q397" i="203"/>
  <c r="P396" i="203"/>
  <c r="E423" i="203"/>
  <c r="E15" i="203"/>
  <c r="P16" i="203"/>
  <c r="O437" i="203"/>
  <c r="O434" i="203"/>
  <c r="P134" i="203"/>
  <c r="Q135" i="203"/>
  <c r="C111" i="202"/>
  <c r="D149" i="202"/>
  <c r="J38" i="184"/>
  <c r="J27" i="107"/>
  <c r="I27" i="107"/>
  <c r="H27" i="107"/>
  <c r="G27" i="107"/>
  <c r="F27" i="107"/>
  <c r="F25" i="107"/>
  <c r="N28" i="107"/>
  <c r="N27" i="107" s="1"/>
  <c r="L28" i="107"/>
  <c r="P28" i="107" s="1"/>
  <c r="P27" i="107" s="1"/>
  <c r="K28" i="107"/>
  <c r="M28" i="107" s="1"/>
  <c r="Q28" i="107" s="1"/>
  <c r="Q27" i="107" s="1"/>
  <c r="G26" i="107"/>
  <c r="H26" i="107"/>
  <c r="P26" i="107" s="1"/>
  <c r="J48" i="167"/>
  <c r="M45" i="167" s="1"/>
  <c r="I48" i="167"/>
  <c r="I84" i="184"/>
  <c r="I83" i="184"/>
  <c r="I82" i="184"/>
  <c r="I81" i="184"/>
  <c r="I74" i="184"/>
  <c r="H252" i="167"/>
  <c r="F293" i="165"/>
  <c r="F293" i="207" l="1"/>
  <c r="F293" i="206"/>
  <c r="C150" i="205"/>
  <c r="H150" i="205"/>
  <c r="J437" i="204"/>
  <c r="J434" i="204"/>
  <c r="O437" i="204"/>
  <c r="O434" i="204"/>
  <c r="Q16" i="204"/>
  <c r="P15" i="204"/>
  <c r="Q195" i="204"/>
  <c r="P194" i="204"/>
  <c r="J279" i="204"/>
  <c r="P280" i="204"/>
  <c r="P134" i="204"/>
  <c r="Q135" i="204"/>
  <c r="Q252" i="203"/>
  <c r="P251" i="203"/>
  <c r="P423" i="203"/>
  <c r="Q16" i="203"/>
  <c r="P15" i="203"/>
  <c r="E437" i="203"/>
  <c r="E435" i="203"/>
  <c r="F437" i="203"/>
  <c r="P435" i="203"/>
  <c r="F435" i="203"/>
  <c r="E434" i="203"/>
  <c r="J437" i="203"/>
  <c r="J434" i="203"/>
  <c r="C149" i="202"/>
  <c r="H149" i="202"/>
  <c r="K27" i="107"/>
  <c r="L27" i="107"/>
  <c r="M27" i="107"/>
  <c r="F24" i="107"/>
  <c r="O28" i="107"/>
  <c r="O27" i="107" s="1"/>
  <c r="J64" i="184"/>
  <c r="J55" i="184" s="1"/>
  <c r="K305" i="165"/>
  <c r="K303" i="165"/>
  <c r="I48" i="184"/>
  <c r="K48" i="184" s="1"/>
  <c r="K293" i="165"/>
  <c r="H254" i="167"/>
  <c r="J236" i="167"/>
  <c r="I236" i="167"/>
  <c r="K272" i="165"/>
  <c r="K268" i="165"/>
  <c r="H238" i="167"/>
  <c r="F274" i="165"/>
  <c r="F268" i="165"/>
  <c r="F274" i="207" l="1"/>
  <c r="F274" i="206"/>
  <c r="K305" i="207"/>
  <c r="K305" i="206"/>
  <c r="K303" i="207"/>
  <c r="K303" i="206"/>
  <c r="K268" i="207"/>
  <c r="K268" i="206"/>
  <c r="F268" i="207"/>
  <c r="F268" i="206"/>
  <c r="K272" i="207"/>
  <c r="K272" i="206"/>
  <c r="K293" i="207"/>
  <c r="K293" i="206"/>
  <c r="G151" i="205"/>
  <c r="G150" i="205"/>
  <c r="P279" i="204"/>
  <c r="Q280" i="204"/>
  <c r="P423" i="204"/>
  <c r="Q423" i="203"/>
  <c r="P434" i="203"/>
  <c r="G150" i="202"/>
  <c r="G149" i="202"/>
  <c r="Q423" i="204" l="1"/>
  <c r="P434" i="204"/>
  <c r="P435" i="204"/>
  <c r="I64" i="184"/>
  <c r="I63" i="184"/>
  <c r="I26" i="184"/>
  <c r="I27" i="184"/>
  <c r="I55" i="184" l="1"/>
  <c r="I22" i="184"/>
  <c r="J25" i="184"/>
  <c r="I25" i="184" s="1"/>
  <c r="K25" i="184" s="1"/>
  <c r="I24" i="184"/>
  <c r="I21" i="184"/>
  <c r="K21" i="184" s="1"/>
  <c r="H20" i="184"/>
  <c r="I20" i="184" l="1"/>
  <c r="J20" i="184"/>
  <c r="F54" i="165"/>
  <c r="F53" i="165"/>
  <c r="K50" i="165"/>
  <c r="J98" i="167"/>
  <c r="J97" i="167"/>
  <c r="E91" i="165"/>
  <c r="O90" i="165"/>
  <c r="E90" i="165"/>
  <c r="N89" i="165"/>
  <c r="M89" i="165"/>
  <c r="L89" i="165"/>
  <c r="K89" i="165"/>
  <c r="I89" i="165"/>
  <c r="H89" i="165"/>
  <c r="G89" i="165"/>
  <c r="F89" i="165"/>
  <c r="K53" i="165"/>
  <c r="G65" i="165"/>
  <c r="G50" i="165"/>
  <c r="G65" i="207" l="1"/>
  <c r="G65" i="206"/>
  <c r="H89" i="207"/>
  <c r="H89" i="206"/>
  <c r="M89" i="207"/>
  <c r="M89" i="206"/>
  <c r="E91" i="207"/>
  <c r="E91" i="206"/>
  <c r="F53" i="207"/>
  <c r="F53" i="206"/>
  <c r="K53" i="207"/>
  <c r="K53" i="206"/>
  <c r="I89" i="207"/>
  <c r="I89" i="206"/>
  <c r="N89" i="207"/>
  <c r="N89" i="206"/>
  <c r="F54" i="207"/>
  <c r="F54" i="206"/>
  <c r="F89" i="207"/>
  <c r="F89" i="206"/>
  <c r="K89" i="207"/>
  <c r="K89" i="206"/>
  <c r="E90" i="207"/>
  <c r="E90" i="206"/>
  <c r="G50" i="207"/>
  <c r="G50" i="206"/>
  <c r="G89" i="207"/>
  <c r="G89" i="206"/>
  <c r="L89" i="207"/>
  <c r="L89" i="206"/>
  <c r="O90" i="207"/>
  <c r="O90" i="206"/>
  <c r="O50" i="165"/>
  <c r="K50" i="207"/>
  <c r="K50" i="206"/>
  <c r="H98" i="167"/>
  <c r="H97" i="167"/>
  <c r="J91" i="165"/>
  <c r="O89" i="165"/>
  <c r="J90" i="165"/>
  <c r="E89" i="165"/>
  <c r="H30" i="184"/>
  <c r="J33" i="184"/>
  <c r="I33" i="184" s="1"/>
  <c r="I30" i="184" s="1"/>
  <c r="J90" i="207" l="1"/>
  <c r="J90" i="206"/>
  <c r="O89" i="207"/>
  <c r="O89" i="206"/>
  <c r="J91" i="207"/>
  <c r="J91" i="206"/>
  <c r="E89" i="207"/>
  <c r="E89" i="206"/>
  <c r="O50" i="207"/>
  <c r="O50" i="206"/>
  <c r="I98" i="167"/>
  <c r="G98" i="167" s="1"/>
  <c r="P91" i="165"/>
  <c r="P90" i="165"/>
  <c r="I97" i="167"/>
  <c r="G97" i="167" s="1"/>
  <c r="J30" i="184"/>
  <c r="J89" i="165"/>
  <c r="K132" i="165"/>
  <c r="F240" i="165"/>
  <c r="K188" i="165"/>
  <c r="P91" i="207" l="1"/>
  <c r="P91" i="206"/>
  <c r="K188" i="207"/>
  <c r="K188" i="206"/>
  <c r="J89" i="207"/>
  <c r="J89" i="206"/>
  <c r="F240" i="207"/>
  <c r="F240" i="206"/>
  <c r="K132" i="207"/>
  <c r="K132" i="206"/>
  <c r="P90" i="207"/>
  <c r="P90" i="206"/>
  <c r="P89" i="165"/>
  <c r="K185" i="165"/>
  <c r="F147" i="165"/>
  <c r="K185" i="207" l="1"/>
  <c r="K185" i="206"/>
  <c r="P89" i="207"/>
  <c r="P89" i="206"/>
  <c r="F147" i="207"/>
  <c r="F147" i="206"/>
  <c r="J39" i="184"/>
  <c r="I39" i="184" s="1"/>
  <c r="I38" i="184" l="1"/>
  <c r="K38" i="184" l="1"/>
  <c r="G184" i="165"/>
  <c r="H159" i="165"/>
  <c r="I120" i="184"/>
  <c r="I110" i="184"/>
  <c r="J109" i="184"/>
  <c r="I109" i="184" s="1"/>
  <c r="I108" i="184"/>
  <c r="J107" i="184"/>
  <c r="J101" i="184" s="1"/>
  <c r="H350" i="167"/>
  <c r="K408" i="165"/>
  <c r="F408" i="165"/>
  <c r="H159" i="207" l="1"/>
  <c r="H159" i="206"/>
  <c r="F408" i="207"/>
  <c r="F408" i="206"/>
  <c r="K408" i="207"/>
  <c r="K408" i="206"/>
  <c r="G184" i="207"/>
  <c r="G184" i="206"/>
  <c r="I107" i="184"/>
  <c r="M331" i="167"/>
  <c r="H330" i="167"/>
  <c r="G330" i="167" s="1"/>
  <c r="H331" i="167"/>
  <c r="F381" i="165"/>
  <c r="H26" i="167"/>
  <c r="H25" i="167"/>
  <c r="F381" i="207" l="1"/>
  <c r="F381" i="206"/>
  <c r="F119" i="165"/>
  <c r="F116" i="165"/>
  <c r="F115" i="165"/>
  <c r="G28" i="167"/>
  <c r="F116" i="207" l="1"/>
  <c r="F116" i="206"/>
  <c r="F119" i="207"/>
  <c r="F119" i="206"/>
  <c r="F115" i="207"/>
  <c r="F115" i="206"/>
  <c r="D29" i="170"/>
  <c r="D14" i="170"/>
  <c r="D71" i="188"/>
  <c r="C87" i="188"/>
  <c r="C76" i="188"/>
  <c r="C75" i="188"/>
  <c r="C28" i="188"/>
  <c r="D27" i="188"/>
  <c r="D17" i="188"/>
  <c r="C23" i="188"/>
  <c r="C22" i="188"/>
  <c r="C71" i="188" l="1"/>
  <c r="N431" i="165"/>
  <c r="O209" i="165"/>
  <c r="L209" i="165"/>
  <c r="O202" i="165"/>
  <c r="L202" i="165"/>
  <c r="O206" i="165"/>
  <c r="L206" i="165"/>
  <c r="H209" i="165"/>
  <c r="H206" i="165"/>
  <c r="H205" i="165"/>
  <c r="H204" i="165"/>
  <c r="H202" i="165"/>
  <c r="J46" i="184"/>
  <c r="H46" i="184"/>
  <c r="I46" i="184"/>
  <c r="O235" i="165"/>
  <c r="L235" i="165"/>
  <c r="H235" i="165"/>
  <c r="G235" i="165"/>
  <c r="H227" i="165"/>
  <c r="H226" i="165"/>
  <c r="D101" i="170"/>
  <c r="L33" i="165"/>
  <c r="H18" i="165"/>
  <c r="O88" i="165"/>
  <c r="O60" i="165"/>
  <c r="K62" i="165"/>
  <c r="K54" i="165"/>
  <c r="F60" i="165"/>
  <c r="F70" i="165"/>
  <c r="F68" i="165"/>
  <c r="H70" i="165"/>
  <c r="H68" i="165"/>
  <c r="H65" i="165"/>
  <c r="H60" i="165"/>
  <c r="H54" i="165"/>
  <c r="H53" i="165"/>
  <c r="H52" i="165"/>
  <c r="H50" i="165"/>
  <c r="F69" i="165"/>
  <c r="F63" i="165"/>
  <c r="F57" i="165"/>
  <c r="L184" i="165"/>
  <c r="L184" i="207" l="1"/>
  <c r="L184" i="206"/>
  <c r="H50" i="206"/>
  <c r="H50" i="207"/>
  <c r="H60" i="207"/>
  <c r="H60" i="206"/>
  <c r="F68" i="207"/>
  <c r="F68" i="206"/>
  <c r="O62" i="165"/>
  <c r="K62" i="207"/>
  <c r="K62" i="206"/>
  <c r="L33" i="207"/>
  <c r="L33" i="206"/>
  <c r="G235" i="207"/>
  <c r="G235" i="206"/>
  <c r="H204" i="207"/>
  <c r="H204" i="206"/>
  <c r="L206" i="207"/>
  <c r="L206" i="206"/>
  <c r="L209" i="207"/>
  <c r="L209" i="206"/>
  <c r="F63" i="207"/>
  <c r="F63" i="206"/>
  <c r="F57" i="207"/>
  <c r="F57" i="206"/>
  <c r="H52" i="207"/>
  <c r="H52" i="206"/>
  <c r="H65" i="207"/>
  <c r="H65" i="206"/>
  <c r="F70" i="207"/>
  <c r="F70" i="206"/>
  <c r="H235" i="207"/>
  <c r="H235" i="206"/>
  <c r="H205" i="207"/>
  <c r="H205" i="206"/>
  <c r="O206" i="207"/>
  <c r="O206" i="206"/>
  <c r="O209" i="207"/>
  <c r="O209" i="206"/>
  <c r="H68" i="207"/>
  <c r="H68" i="206"/>
  <c r="F60" i="207"/>
  <c r="F60" i="206"/>
  <c r="O88" i="207"/>
  <c r="O88" i="206"/>
  <c r="H226" i="207"/>
  <c r="H226" i="206"/>
  <c r="L235" i="207"/>
  <c r="L235" i="206"/>
  <c r="H206" i="207"/>
  <c r="H206" i="206"/>
  <c r="L202" i="207"/>
  <c r="L202" i="206"/>
  <c r="H53" i="207"/>
  <c r="H53" i="206"/>
  <c r="F69" i="207"/>
  <c r="F69" i="206"/>
  <c r="H54" i="207"/>
  <c r="H54" i="206"/>
  <c r="H70" i="207"/>
  <c r="H70" i="206"/>
  <c r="K54" i="206"/>
  <c r="K54" i="207"/>
  <c r="H18" i="207"/>
  <c r="H18" i="206"/>
  <c r="H227" i="207"/>
  <c r="H227" i="206"/>
  <c r="O235" i="207"/>
  <c r="O235" i="206"/>
  <c r="H202" i="207"/>
  <c r="H202" i="206"/>
  <c r="H209" i="207"/>
  <c r="H209" i="206"/>
  <c r="O202" i="207"/>
  <c r="O202" i="206"/>
  <c r="O60" i="207"/>
  <c r="O60" i="206"/>
  <c r="O156" i="165"/>
  <c r="N156" i="165"/>
  <c r="O184" i="165"/>
  <c r="N184" i="165"/>
  <c r="O184" i="207" l="1"/>
  <c r="O184" i="206"/>
  <c r="N156" i="207"/>
  <c r="N156" i="206"/>
  <c r="O156" i="207"/>
  <c r="O156" i="206"/>
  <c r="N184" i="207"/>
  <c r="N184" i="206"/>
  <c r="O62" i="207"/>
  <c r="O62" i="206"/>
  <c r="H157" i="165"/>
  <c r="G157" i="165"/>
  <c r="D21" i="172"/>
  <c r="J357" i="167"/>
  <c r="I26" i="107"/>
  <c r="I25" i="107" s="1"/>
  <c r="I24" i="107" s="1"/>
  <c r="G136" i="167"/>
  <c r="G157" i="207" l="1"/>
  <c r="G157" i="206"/>
  <c r="H157" i="207"/>
  <c r="H157" i="206"/>
  <c r="O408" i="165"/>
  <c r="O408" i="207" l="1"/>
  <c r="O408" i="206"/>
  <c r="O399" i="165"/>
  <c r="L399" i="165"/>
  <c r="M257" i="167"/>
  <c r="I119" i="184"/>
  <c r="I101" i="184" s="1"/>
  <c r="L399" i="207" l="1"/>
  <c r="L399" i="206"/>
  <c r="O399" i="207"/>
  <c r="O399" i="206"/>
  <c r="K119" i="184"/>
  <c r="J282" i="167"/>
  <c r="H314" i="165" l="1"/>
  <c r="J239" i="167"/>
  <c r="J235" i="167"/>
  <c r="G236" i="167"/>
  <c r="J243" i="167"/>
  <c r="O281" i="165"/>
  <c r="E281" i="165"/>
  <c r="M238" i="167"/>
  <c r="J232" i="167"/>
  <c r="G233" i="167"/>
  <c r="O281" i="207" l="1"/>
  <c r="O281" i="206"/>
  <c r="H314" i="207"/>
  <c r="H314" i="206"/>
  <c r="E281" i="207"/>
  <c r="E281" i="206"/>
  <c r="H243" i="167"/>
  <c r="J281" i="165"/>
  <c r="J281" i="207" l="1"/>
  <c r="J281" i="206"/>
  <c r="I243" i="167"/>
  <c r="G243" i="167" s="1"/>
  <c r="P281" i="165"/>
  <c r="P281" i="207" l="1"/>
  <c r="P281" i="206"/>
  <c r="K63" i="184"/>
  <c r="G109" i="167" l="1"/>
  <c r="K26" i="184" l="1"/>
  <c r="K110" i="184" l="1"/>
  <c r="K109" i="184"/>
  <c r="K108" i="184"/>
  <c r="K107" i="184"/>
  <c r="J56" i="184"/>
  <c r="G237" i="167"/>
  <c r="H332" i="167"/>
  <c r="J85" i="184" l="1"/>
  <c r="G284" i="167"/>
  <c r="O318" i="165" l="1"/>
  <c r="J318" i="165" s="1"/>
  <c r="J317" i="165" s="1"/>
  <c r="J316" i="165" s="1"/>
  <c r="E318" i="165"/>
  <c r="N317" i="165"/>
  <c r="M317" i="165"/>
  <c r="M316" i="165" s="1"/>
  <c r="L317" i="165"/>
  <c r="L316" i="165" s="1"/>
  <c r="K317" i="165"/>
  <c r="K316" i="165" s="1"/>
  <c r="I317" i="165"/>
  <c r="I316" i="165" s="1"/>
  <c r="H317" i="165"/>
  <c r="H316" i="165" s="1"/>
  <c r="G317" i="165"/>
  <c r="G316" i="165" s="1"/>
  <c r="F317" i="165"/>
  <c r="F316" i="165" s="1"/>
  <c r="N316" i="165"/>
  <c r="F109" i="188"/>
  <c r="D109" i="188"/>
  <c r="D105" i="188"/>
  <c r="D104" i="188" l="1"/>
  <c r="O317" i="165"/>
  <c r="O316" i="165" s="1"/>
  <c r="E99" i="170"/>
  <c r="P318" i="165"/>
  <c r="P317" i="165" s="1"/>
  <c r="P316" i="165" s="1"/>
  <c r="E317" i="165"/>
  <c r="E316" i="165" s="1"/>
  <c r="C53" i="172" l="1"/>
  <c r="C52" i="172" s="1"/>
  <c r="C51" i="172"/>
  <c r="C50" i="172" s="1"/>
  <c r="F52" i="172"/>
  <c r="E52" i="172"/>
  <c r="F50" i="172"/>
  <c r="E50" i="172"/>
  <c r="D50" i="172"/>
  <c r="D23" i="172"/>
  <c r="F21" i="172"/>
  <c r="E21" i="172"/>
  <c r="F23" i="172"/>
  <c r="E23" i="172"/>
  <c r="F20" i="172" l="1"/>
  <c r="E49" i="172"/>
  <c r="D20" i="172"/>
  <c r="C22" i="172"/>
  <c r="C21" i="172" s="1"/>
  <c r="C20" i="172" s="1"/>
  <c r="F49" i="172"/>
  <c r="D52" i="172"/>
  <c r="D49" i="172" s="1"/>
  <c r="C49" i="172"/>
  <c r="E20" i="172"/>
  <c r="C24" i="172"/>
  <c r="C23" i="172" s="1"/>
  <c r="J113" i="184"/>
  <c r="J115" i="184"/>
  <c r="J102" i="184"/>
  <c r="I102" i="184" s="1"/>
  <c r="H104" i="184"/>
  <c r="J104" i="184"/>
  <c r="I104" i="184" s="1"/>
  <c r="G300" i="167"/>
  <c r="J96" i="167"/>
  <c r="F86" i="165"/>
  <c r="G86" i="165"/>
  <c r="H86" i="165"/>
  <c r="I86" i="165"/>
  <c r="L86" i="165"/>
  <c r="M86" i="165"/>
  <c r="N86" i="165"/>
  <c r="E88" i="165"/>
  <c r="O87" i="165"/>
  <c r="E87" i="165"/>
  <c r="I23" i="184"/>
  <c r="K27" i="184"/>
  <c r="N86" i="207" l="1"/>
  <c r="N86" i="206"/>
  <c r="H86" i="207"/>
  <c r="H86" i="206"/>
  <c r="I86" i="207"/>
  <c r="I86" i="206"/>
  <c r="E87" i="207"/>
  <c r="E87" i="206"/>
  <c r="M86" i="207"/>
  <c r="M86" i="206"/>
  <c r="G86" i="207"/>
  <c r="G86" i="206"/>
  <c r="E88" i="207"/>
  <c r="E88" i="206"/>
  <c r="O87" i="207"/>
  <c r="O87" i="206"/>
  <c r="L86" i="207"/>
  <c r="L86" i="206"/>
  <c r="F86" i="207"/>
  <c r="F86" i="206"/>
  <c r="K23" i="184"/>
  <c r="K22" i="184"/>
  <c r="O86" i="165"/>
  <c r="H96" i="167"/>
  <c r="K86" i="165"/>
  <c r="E86" i="165"/>
  <c r="H95" i="167"/>
  <c r="J87" i="165"/>
  <c r="J88" i="165"/>
  <c r="J95" i="167"/>
  <c r="O86" i="207" l="1"/>
  <c r="O86" i="206"/>
  <c r="P87" i="165"/>
  <c r="J87" i="207"/>
  <c r="J87" i="206"/>
  <c r="E86" i="207"/>
  <c r="E86" i="206"/>
  <c r="P88" i="165"/>
  <c r="J88" i="207"/>
  <c r="J88" i="206"/>
  <c r="K86" i="207"/>
  <c r="K86" i="206"/>
  <c r="J86" i="165"/>
  <c r="I96" i="167"/>
  <c r="G96" i="167" s="1"/>
  <c r="I95" i="167"/>
  <c r="G95" i="167" s="1"/>
  <c r="P86" i="165"/>
  <c r="K39" i="184"/>
  <c r="G224" i="167"/>
  <c r="J96" i="184"/>
  <c r="J94" i="184"/>
  <c r="J93" i="184"/>
  <c r="J92" i="184"/>
  <c r="H75" i="184"/>
  <c r="J75" i="184"/>
  <c r="J73" i="184"/>
  <c r="J69" i="184"/>
  <c r="P87" i="207" l="1"/>
  <c r="P87" i="206"/>
  <c r="P88" i="207"/>
  <c r="P88" i="206"/>
  <c r="P86" i="207"/>
  <c r="P86" i="206"/>
  <c r="J86" i="207"/>
  <c r="J86" i="206"/>
  <c r="G266" i="167"/>
  <c r="G265" i="167"/>
  <c r="E214" i="165" l="1"/>
  <c r="E214" i="207" l="1"/>
  <c r="E214" i="206"/>
  <c r="G255" i="167"/>
  <c r="J315" i="167" l="1"/>
  <c r="G287" i="167"/>
  <c r="G57" i="167"/>
  <c r="K216" i="165" l="1"/>
  <c r="G37" i="167" l="1"/>
  <c r="J226" i="167" l="1"/>
  <c r="I226" i="167"/>
  <c r="H226" i="167"/>
  <c r="F266" i="165"/>
  <c r="F266" i="207" l="1"/>
  <c r="F266" i="206"/>
  <c r="G234" i="167"/>
  <c r="E55" i="172"/>
  <c r="J34" i="184"/>
  <c r="J150" i="167" l="1"/>
  <c r="G151" i="167"/>
  <c r="H358" i="167"/>
  <c r="J358" i="167"/>
  <c r="J354" i="167" s="1"/>
  <c r="I358" i="167"/>
  <c r="K96" i="184"/>
  <c r="K95" i="184"/>
  <c r="K94" i="184"/>
  <c r="K93" i="184"/>
  <c r="K92" i="184"/>
  <c r="J91" i="184"/>
  <c r="J78" i="184"/>
  <c r="J77" i="184"/>
  <c r="J76" i="184"/>
  <c r="I56" i="184"/>
  <c r="K56" i="184" s="1"/>
  <c r="G274" i="167"/>
  <c r="O294" i="165"/>
  <c r="E294" i="165"/>
  <c r="N291" i="165"/>
  <c r="M291" i="165"/>
  <c r="L291" i="165"/>
  <c r="K291" i="165"/>
  <c r="I291" i="165"/>
  <c r="H291" i="165"/>
  <c r="G291" i="165"/>
  <c r="F291" i="165"/>
  <c r="G240" i="167"/>
  <c r="G230" i="167"/>
  <c r="J227" i="167"/>
  <c r="G226" i="167"/>
  <c r="I69" i="184"/>
  <c r="K69" i="184" s="1"/>
  <c r="G52" i="167"/>
  <c r="D88" i="170"/>
  <c r="G27" i="167"/>
  <c r="M32" i="167"/>
  <c r="G32" i="167"/>
  <c r="O30" i="165"/>
  <c r="E30" i="165"/>
  <c r="H291" i="207" l="1"/>
  <c r="H291" i="206"/>
  <c r="M291" i="207"/>
  <c r="M291" i="206"/>
  <c r="I291" i="207"/>
  <c r="I291" i="206"/>
  <c r="N291" i="207"/>
  <c r="N291" i="206"/>
  <c r="E30" i="207"/>
  <c r="E30" i="206"/>
  <c r="K291" i="207"/>
  <c r="K291" i="206"/>
  <c r="E294" i="207"/>
  <c r="E294" i="206"/>
  <c r="O30" i="207"/>
  <c r="O30" i="206"/>
  <c r="G291" i="207"/>
  <c r="G291" i="206"/>
  <c r="L291" i="207"/>
  <c r="L291" i="206"/>
  <c r="O294" i="207"/>
  <c r="O294" i="206"/>
  <c r="F291" i="206"/>
  <c r="F291" i="207"/>
  <c r="J294" i="165"/>
  <c r="H253" i="167"/>
  <c r="G253" i="167" s="1"/>
  <c r="K32" i="167"/>
  <c r="J30" i="165"/>
  <c r="G358" i="167"/>
  <c r="J30" i="207" l="1"/>
  <c r="J30" i="206"/>
  <c r="P294" i="165"/>
  <c r="J294" i="207"/>
  <c r="J294" i="206"/>
  <c r="P30" i="165"/>
  <c r="L32" i="167"/>
  <c r="G21" i="167"/>
  <c r="P294" i="207" l="1"/>
  <c r="P294" i="206"/>
  <c r="P30" i="207"/>
  <c r="P30" i="206"/>
  <c r="J94" i="167"/>
  <c r="J93" i="167"/>
  <c r="C149" i="188" l="1"/>
  <c r="D115" i="188"/>
  <c r="C108" i="188"/>
  <c r="F105" i="188"/>
  <c r="E105" i="188"/>
  <c r="C115" i="188" l="1"/>
  <c r="G299" i="167" l="1"/>
  <c r="G294" i="167"/>
  <c r="J118" i="184"/>
  <c r="H106" i="184"/>
  <c r="H105" i="184"/>
  <c r="J114" i="184"/>
  <c r="J103" i="184"/>
  <c r="J106" i="184"/>
  <c r="I106" i="184" s="1"/>
  <c r="J105" i="184"/>
  <c r="I105" i="184" s="1"/>
  <c r="G295" i="167" l="1"/>
  <c r="N83" i="165" l="1"/>
  <c r="M83" i="165"/>
  <c r="L83" i="165"/>
  <c r="K83" i="165"/>
  <c r="I83" i="165"/>
  <c r="H83" i="165"/>
  <c r="G83" i="165"/>
  <c r="F83" i="165"/>
  <c r="O85" i="165"/>
  <c r="E85" i="165"/>
  <c r="O84" i="165"/>
  <c r="E84" i="165"/>
  <c r="K83" i="207" l="1"/>
  <c r="K83" i="206"/>
  <c r="G83" i="207"/>
  <c r="G83" i="206"/>
  <c r="L83" i="207"/>
  <c r="L83" i="206"/>
  <c r="F83" i="207"/>
  <c r="F83" i="206"/>
  <c r="O84" i="207"/>
  <c r="O84" i="206"/>
  <c r="E85" i="207"/>
  <c r="E85" i="206"/>
  <c r="H83" i="207"/>
  <c r="H83" i="206"/>
  <c r="M83" i="207"/>
  <c r="M83" i="206"/>
  <c r="E84" i="207"/>
  <c r="E84" i="206"/>
  <c r="O85" i="207"/>
  <c r="O85" i="206"/>
  <c r="I83" i="207"/>
  <c r="I83" i="206"/>
  <c r="N83" i="207"/>
  <c r="N83" i="206"/>
  <c r="H94" i="167"/>
  <c r="H93" i="167"/>
  <c r="E83" i="165"/>
  <c r="J85" i="165"/>
  <c r="J84" i="165"/>
  <c r="O83" i="165"/>
  <c r="E83" i="207" l="1"/>
  <c r="E83" i="206"/>
  <c r="O83" i="207"/>
  <c r="O83" i="206"/>
  <c r="P85" i="165"/>
  <c r="J85" i="207"/>
  <c r="J85" i="206"/>
  <c r="J84" i="207"/>
  <c r="J84" i="206"/>
  <c r="P84" i="165"/>
  <c r="J83" i="165"/>
  <c r="I93" i="167"/>
  <c r="G93" i="167" s="1"/>
  <c r="I94" i="167"/>
  <c r="G94" i="167" s="1"/>
  <c r="J322" i="167"/>
  <c r="J182" i="167"/>
  <c r="G200" i="167"/>
  <c r="G183" i="167"/>
  <c r="G178" i="167"/>
  <c r="J177" i="167"/>
  <c r="G149" i="167"/>
  <c r="G164" i="167"/>
  <c r="J115" i="167"/>
  <c r="G116" i="167"/>
  <c r="G112" i="167"/>
  <c r="J83" i="207" l="1"/>
  <c r="J83" i="206"/>
  <c r="P84" i="207"/>
  <c r="P84" i="206"/>
  <c r="P83" i="165"/>
  <c r="P85" i="207"/>
  <c r="P85" i="206"/>
  <c r="D82" i="170"/>
  <c r="J148" i="167"/>
  <c r="J199" i="167"/>
  <c r="P83" i="207" l="1"/>
  <c r="P83" i="206"/>
  <c r="D89" i="170"/>
  <c r="G65" i="167"/>
  <c r="J111" i="167" l="1"/>
  <c r="J208" i="167"/>
  <c r="O238" i="165"/>
  <c r="E238" i="165"/>
  <c r="N237" i="165"/>
  <c r="M237" i="165"/>
  <c r="L237" i="165"/>
  <c r="K237" i="165"/>
  <c r="I237" i="165"/>
  <c r="H237" i="165"/>
  <c r="G237" i="165"/>
  <c r="F237" i="165"/>
  <c r="I237" i="207" l="1"/>
  <c r="I237" i="206"/>
  <c r="O238" i="207"/>
  <c r="O238" i="206"/>
  <c r="F237" i="207"/>
  <c r="F237" i="206"/>
  <c r="K237" i="207"/>
  <c r="K237" i="206"/>
  <c r="E238" i="207"/>
  <c r="E238" i="206"/>
  <c r="G237" i="207"/>
  <c r="G237" i="206"/>
  <c r="L237" i="207"/>
  <c r="L237" i="206"/>
  <c r="H237" i="207"/>
  <c r="H237" i="206"/>
  <c r="M237" i="207"/>
  <c r="M237" i="206"/>
  <c r="N237" i="207"/>
  <c r="N237" i="206"/>
  <c r="O237" i="165"/>
  <c r="J238" i="165"/>
  <c r="H208" i="167"/>
  <c r="E237" i="165"/>
  <c r="J159" i="184"/>
  <c r="J133" i="197"/>
  <c r="I159" i="184"/>
  <c r="I133" i="197"/>
  <c r="H159" i="184"/>
  <c r="H133" i="197"/>
  <c r="G159" i="184"/>
  <c r="G142" i="108"/>
  <c r="G133" i="197"/>
  <c r="C148" i="188"/>
  <c r="D138" i="184"/>
  <c r="D121" i="108"/>
  <c r="D112" i="197"/>
  <c r="J87" i="184"/>
  <c r="I87" i="184" s="1"/>
  <c r="E237" i="207" l="1"/>
  <c r="E237" i="206"/>
  <c r="J238" i="207"/>
  <c r="J238" i="206"/>
  <c r="O237" i="207"/>
  <c r="O237" i="206"/>
  <c r="P238" i="165"/>
  <c r="J237" i="165"/>
  <c r="I208" i="167"/>
  <c r="G208" i="167" s="1"/>
  <c r="J237" i="207" l="1"/>
  <c r="J237" i="206"/>
  <c r="P238" i="207"/>
  <c r="P238" i="206"/>
  <c r="P237" i="165"/>
  <c r="O26" i="107"/>
  <c r="N26" i="107"/>
  <c r="M26" i="107"/>
  <c r="Q26" i="107" s="1"/>
  <c r="L25" i="107"/>
  <c r="K25" i="107"/>
  <c r="J25" i="107"/>
  <c r="I23" i="107"/>
  <c r="I22" i="107" s="1"/>
  <c r="I21" i="107" s="1"/>
  <c r="H25" i="107"/>
  <c r="G25" i="107"/>
  <c r="P25" i="107"/>
  <c r="P24" i="107" s="1"/>
  <c r="F23" i="107"/>
  <c r="F22" i="107" s="1"/>
  <c r="F21" i="107" s="1"/>
  <c r="F20" i="107" s="1"/>
  <c r="P237" i="207" l="1"/>
  <c r="P237" i="206"/>
  <c r="L24" i="107"/>
  <c r="L23" i="107" s="1"/>
  <c r="L22" i="107" s="1"/>
  <c r="L21" i="107" s="1"/>
  <c r="L20" i="107" s="1"/>
  <c r="J24" i="107"/>
  <c r="J23" i="107" s="1"/>
  <c r="J22" i="107" s="1"/>
  <c r="J21" i="107" s="1"/>
  <c r="J20" i="107" s="1"/>
  <c r="G24" i="107"/>
  <c r="G23" i="107" s="1"/>
  <c r="G22" i="107" s="1"/>
  <c r="G21" i="107" s="1"/>
  <c r="G20" i="107" s="1"/>
  <c r="H24" i="107"/>
  <c r="H23" i="107" s="1"/>
  <c r="H22" i="107" s="1"/>
  <c r="H21" i="107" s="1"/>
  <c r="H20" i="107" s="1"/>
  <c r="K24" i="107"/>
  <c r="K23" i="107" s="1"/>
  <c r="K22" i="107" s="1"/>
  <c r="K21" i="107" s="1"/>
  <c r="K20" i="107" s="1"/>
  <c r="M25" i="107"/>
  <c r="Q25" i="107" s="1"/>
  <c r="N25" i="107"/>
  <c r="P23" i="107"/>
  <c r="P22" i="107" s="1"/>
  <c r="P21" i="107" s="1"/>
  <c r="P20" i="107" s="1"/>
  <c r="O25" i="107"/>
  <c r="J276" i="167"/>
  <c r="I276" i="167"/>
  <c r="J271" i="167"/>
  <c r="I271" i="167"/>
  <c r="O24" i="107" l="1"/>
  <c r="O23" i="107" s="1"/>
  <c r="O22" i="107" s="1"/>
  <c r="O21" i="107" s="1"/>
  <c r="O20" i="107" s="1"/>
  <c r="Q24" i="107"/>
  <c r="Q23" i="107" s="1"/>
  <c r="Q22" i="107" s="1"/>
  <c r="Q21" i="107" s="1"/>
  <c r="Q20" i="107" s="1"/>
  <c r="N24" i="107"/>
  <c r="N23" i="107" s="1"/>
  <c r="N22" i="107" s="1"/>
  <c r="N21" i="107" s="1"/>
  <c r="N20" i="107" s="1"/>
  <c r="M24" i="107"/>
  <c r="M23" i="107" s="1"/>
  <c r="M22" i="107" s="1"/>
  <c r="M21" i="107" s="1"/>
  <c r="M20" i="107" s="1"/>
  <c r="M275" i="167"/>
  <c r="I20" i="107"/>
  <c r="G264" i="167"/>
  <c r="J155" i="167" l="1"/>
  <c r="M155" i="167" s="1"/>
  <c r="G157" i="167"/>
  <c r="G168" i="167" l="1"/>
  <c r="I118" i="184" l="1"/>
  <c r="I116" i="184"/>
  <c r="I114" i="184"/>
  <c r="L118" i="184"/>
  <c r="L116" i="184"/>
  <c r="L114" i="184"/>
  <c r="L106" i="184"/>
  <c r="L105" i="184"/>
  <c r="K106" i="184" l="1"/>
  <c r="K105" i="184"/>
  <c r="L104" i="184" l="1"/>
  <c r="L113" i="184"/>
  <c r="I113" i="184"/>
  <c r="D16" i="170" l="1"/>
  <c r="D113" i="188"/>
  <c r="C114" i="188"/>
  <c r="C113" i="188" l="1"/>
  <c r="I91" i="184"/>
  <c r="K91" i="184" s="1"/>
  <c r="I90" i="184"/>
  <c r="G167" i="167"/>
  <c r="J214" i="167" l="1"/>
  <c r="O251" i="165"/>
  <c r="E251" i="165"/>
  <c r="N250" i="165"/>
  <c r="M250" i="165"/>
  <c r="L250" i="165"/>
  <c r="K250" i="165"/>
  <c r="I250" i="165"/>
  <c r="H250" i="165"/>
  <c r="G250" i="165"/>
  <c r="F250" i="165"/>
  <c r="K249" i="165"/>
  <c r="G323" i="167"/>
  <c r="O371" i="165"/>
  <c r="E371" i="165"/>
  <c r="N370" i="165"/>
  <c r="M370" i="165"/>
  <c r="L370" i="165"/>
  <c r="K370" i="165"/>
  <c r="I370" i="165"/>
  <c r="H370" i="165"/>
  <c r="G370" i="165"/>
  <c r="F370" i="165"/>
  <c r="H214" i="167" l="1"/>
  <c r="J251" i="165"/>
  <c r="E80" i="170"/>
  <c r="E370" i="165"/>
  <c r="O370" i="165"/>
  <c r="J371" i="165"/>
  <c r="G55" i="167"/>
  <c r="P251" i="165" l="1"/>
  <c r="J370" i="165"/>
  <c r="I214" i="167"/>
  <c r="G214" i="167" s="1"/>
  <c r="P371" i="165"/>
  <c r="P370" i="165" l="1"/>
  <c r="G267" i="167" l="1"/>
  <c r="G276" i="167"/>
  <c r="G275" i="167"/>
  <c r="G273" i="167"/>
  <c r="G272" i="167"/>
  <c r="G271" i="167"/>
  <c r="G252" i="167"/>
  <c r="G270" i="167"/>
  <c r="G269" i="167"/>
  <c r="G268" i="167"/>
  <c r="I67" i="184"/>
  <c r="K67" i="184" s="1"/>
  <c r="I71" i="184"/>
  <c r="K87" i="184"/>
  <c r="I86" i="184"/>
  <c r="K86" i="184" s="1"/>
  <c r="I85" i="184"/>
  <c r="K85" i="184" s="1"/>
  <c r="J80" i="184"/>
  <c r="J79" i="184"/>
  <c r="M222" i="167"/>
  <c r="G53" i="167"/>
  <c r="I73" i="184" l="1"/>
  <c r="K71" i="184"/>
  <c r="J172" i="167" l="1"/>
  <c r="E195" i="165"/>
  <c r="E195" i="207" l="1"/>
  <c r="E195" i="206"/>
  <c r="H172" i="167"/>
  <c r="M163" i="167"/>
  <c r="O195" i="165"/>
  <c r="O195" i="207" l="1"/>
  <c r="O195" i="206"/>
  <c r="J195" i="165"/>
  <c r="M320" i="167"/>
  <c r="J195" i="207" l="1"/>
  <c r="J195" i="206"/>
  <c r="I172" i="167"/>
  <c r="G172" i="167" s="1"/>
  <c r="P195" i="165"/>
  <c r="J186" i="167"/>
  <c r="P195" i="207" l="1"/>
  <c r="P195" i="206"/>
  <c r="J346" i="167"/>
  <c r="F20" i="197"/>
  <c r="Q393" i="203" l="1"/>
  <c r="Q393" i="204"/>
  <c r="K161" i="197"/>
  <c r="D96" i="170" l="1"/>
  <c r="O401" i="165"/>
  <c r="J326" i="167"/>
  <c r="O375" i="165"/>
  <c r="E375" i="165"/>
  <c r="J338" i="167"/>
  <c r="O388" i="165"/>
  <c r="E388" i="165"/>
  <c r="N387" i="165"/>
  <c r="M387" i="165"/>
  <c r="L387" i="165"/>
  <c r="K387" i="165"/>
  <c r="I387" i="165"/>
  <c r="H387" i="165"/>
  <c r="G387" i="165"/>
  <c r="F387" i="165"/>
  <c r="N386" i="165"/>
  <c r="J334" i="167"/>
  <c r="O383" i="165"/>
  <c r="E383" i="165"/>
  <c r="F387" i="207" l="1"/>
  <c r="F387" i="206"/>
  <c r="O374" i="165"/>
  <c r="O375" i="207"/>
  <c r="O375" i="206"/>
  <c r="G387" i="207"/>
  <c r="G387" i="206"/>
  <c r="L387" i="207"/>
  <c r="L387" i="206"/>
  <c r="O388" i="207"/>
  <c r="O388" i="206"/>
  <c r="E388" i="207"/>
  <c r="E388" i="206"/>
  <c r="M387" i="207"/>
  <c r="M387" i="206"/>
  <c r="E383" i="207"/>
  <c r="E383" i="206"/>
  <c r="K387" i="207"/>
  <c r="K387" i="206"/>
  <c r="O383" i="207"/>
  <c r="O383" i="206"/>
  <c r="H387" i="207"/>
  <c r="H387" i="206"/>
  <c r="N386" i="207"/>
  <c r="N386" i="206"/>
  <c r="I387" i="207"/>
  <c r="I387" i="206"/>
  <c r="N387" i="207"/>
  <c r="N387" i="206"/>
  <c r="E374" i="165"/>
  <c r="E375" i="207"/>
  <c r="E375" i="206"/>
  <c r="M386" i="165"/>
  <c r="L386" i="165"/>
  <c r="F386" i="165"/>
  <c r="G386" i="165"/>
  <c r="H386" i="165"/>
  <c r="I386" i="165"/>
  <c r="J375" i="165"/>
  <c r="H326" i="167"/>
  <c r="K386" i="165"/>
  <c r="J388" i="165"/>
  <c r="E387" i="165"/>
  <c r="J383" i="165"/>
  <c r="H334" i="167"/>
  <c r="H338" i="167"/>
  <c r="O387" i="165"/>
  <c r="E387" i="207" l="1"/>
  <c r="E387" i="206"/>
  <c r="J374" i="165"/>
  <c r="J375" i="207"/>
  <c r="J375" i="206"/>
  <c r="F386" i="207"/>
  <c r="F386" i="206"/>
  <c r="O374" i="207"/>
  <c r="O374" i="206"/>
  <c r="G386" i="207"/>
  <c r="G386" i="206"/>
  <c r="O387" i="207"/>
  <c r="O387" i="206"/>
  <c r="J388" i="207"/>
  <c r="J388" i="206"/>
  <c r="I386" i="207"/>
  <c r="I386" i="206"/>
  <c r="L386" i="207"/>
  <c r="L386" i="206"/>
  <c r="E374" i="207"/>
  <c r="E374" i="206"/>
  <c r="J383" i="207"/>
  <c r="J383" i="206"/>
  <c r="K386" i="207"/>
  <c r="K386" i="206"/>
  <c r="H386" i="207"/>
  <c r="H386" i="206"/>
  <c r="M386" i="207"/>
  <c r="M386" i="206"/>
  <c r="P375" i="165"/>
  <c r="I338" i="167"/>
  <c r="G338" i="167" s="1"/>
  <c r="P383" i="165"/>
  <c r="I326" i="167"/>
  <c r="G326" i="167" s="1"/>
  <c r="O386" i="165"/>
  <c r="J387" i="165"/>
  <c r="P388" i="165"/>
  <c r="E386" i="165"/>
  <c r="I334" i="167"/>
  <c r="G334" i="167" s="1"/>
  <c r="P383" i="207" l="1"/>
  <c r="P383" i="206"/>
  <c r="P388" i="207"/>
  <c r="P388" i="206"/>
  <c r="J374" i="207"/>
  <c r="J374" i="206"/>
  <c r="J387" i="207"/>
  <c r="J387" i="206"/>
  <c r="O386" i="207"/>
  <c r="O386" i="206"/>
  <c r="P374" i="165"/>
  <c r="P375" i="207"/>
  <c r="P375" i="206"/>
  <c r="E386" i="207"/>
  <c r="E386" i="206"/>
  <c r="P387" i="165"/>
  <c r="J386" i="165"/>
  <c r="P387" i="207" l="1"/>
  <c r="P387" i="206"/>
  <c r="P374" i="207"/>
  <c r="P374" i="206"/>
  <c r="J386" i="207"/>
  <c r="J386" i="206"/>
  <c r="P386" i="165"/>
  <c r="K118" i="184"/>
  <c r="L117" i="184"/>
  <c r="K116" i="184"/>
  <c r="K114" i="184"/>
  <c r="K113" i="184"/>
  <c r="J112" i="184"/>
  <c r="P386" i="207" l="1"/>
  <c r="P386" i="206"/>
  <c r="L115" i="184"/>
  <c r="I115" i="184"/>
  <c r="K115" i="184" s="1"/>
  <c r="K111" i="184"/>
  <c r="I112" i="184"/>
  <c r="K112" i="184" s="1"/>
  <c r="L112" i="184"/>
  <c r="K120" i="184"/>
  <c r="L120" i="184"/>
  <c r="L103" i="184"/>
  <c r="I103" i="184"/>
  <c r="K117" i="184"/>
  <c r="K104" i="184"/>
  <c r="K103" i="184" l="1"/>
  <c r="I80" i="184"/>
  <c r="K80" i="184" s="1"/>
  <c r="I79" i="184"/>
  <c r="K79" i="184" s="1"/>
  <c r="I78" i="184"/>
  <c r="I77" i="184"/>
  <c r="I76" i="184"/>
  <c r="I75" i="184"/>
  <c r="L48" i="184"/>
  <c r="I47" i="184"/>
  <c r="K47" i="184" s="1"/>
  <c r="I34" i="184"/>
  <c r="D83" i="170" l="1"/>
  <c r="D87" i="170"/>
  <c r="C134" i="188" l="1"/>
  <c r="D141" i="188" l="1"/>
  <c r="G108" i="167" l="1"/>
  <c r="J193" i="167" l="1"/>
  <c r="O215" i="165"/>
  <c r="E215" i="165"/>
  <c r="E264" i="165"/>
  <c r="O269" i="165"/>
  <c r="E269" i="165"/>
  <c r="J310" i="167"/>
  <c r="N346" i="165"/>
  <c r="M346" i="165"/>
  <c r="L346" i="165"/>
  <c r="K346" i="165"/>
  <c r="I346" i="165"/>
  <c r="G346" i="165"/>
  <c r="F346" i="165"/>
  <c r="O349" i="165"/>
  <c r="E349" i="165"/>
  <c r="G346" i="207" l="1"/>
  <c r="G345" i="207" s="1"/>
  <c r="G344" i="207" s="1"/>
  <c r="G346" i="206"/>
  <c r="G345" i="206" s="1"/>
  <c r="G344" i="206" s="1"/>
  <c r="E349" i="207"/>
  <c r="E349" i="206"/>
  <c r="I346" i="207"/>
  <c r="I345" i="207" s="1"/>
  <c r="I344" i="207" s="1"/>
  <c r="I346" i="206"/>
  <c r="I345" i="206" s="1"/>
  <c r="I344" i="206" s="1"/>
  <c r="N346" i="207"/>
  <c r="N345" i="207" s="1"/>
  <c r="N344" i="207" s="1"/>
  <c r="N346" i="206"/>
  <c r="N345" i="206" s="1"/>
  <c r="N344" i="206" s="1"/>
  <c r="E264" i="207"/>
  <c r="E264" i="206"/>
  <c r="O349" i="207"/>
  <c r="O349" i="206"/>
  <c r="K346" i="207"/>
  <c r="K345" i="207" s="1"/>
  <c r="K344" i="207" s="1"/>
  <c r="K346" i="206"/>
  <c r="K345" i="206" s="1"/>
  <c r="K344" i="206" s="1"/>
  <c r="F346" i="207"/>
  <c r="F345" i="207" s="1"/>
  <c r="F344" i="207" s="1"/>
  <c r="F346" i="206"/>
  <c r="F345" i="206" s="1"/>
  <c r="F344" i="206" s="1"/>
  <c r="L346" i="207"/>
  <c r="L345" i="207" s="1"/>
  <c r="L346" i="206"/>
  <c r="L345" i="206" s="1"/>
  <c r="E269" i="207"/>
  <c r="E269" i="206"/>
  <c r="M346" i="207"/>
  <c r="M345" i="207" s="1"/>
  <c r="M344" i="207" s="1"/>
  <c r="M346" i="206"/>
  <c r="M345" i="206" s="1"/>
  <c r="M344" i="206" s="1"/>
  <c r="O269" i="207"/>
  <c r="O269" i="206"/>
  <c r="H232" i="167"/>
  <c r="K222" i="167"/>
  <c r="J215" i="165"/>
  <c r="J349" i="165"/>
  <c r="J269" i="165"/>
  <c r="H193" i="167"/>
  <c r="H310" i="167"/>
  <c r="J269" i="207" l="1"/>
  <c r="J269" i="206"/>
  <c r="P349" i="165"/>
  <c r="J349" i="207"/>
  <c r="J349" i="206"/>
  <c r="L344" i="206"/>
  <c r="L344" i="207"/>
  <c r="P269" i="165"/>
  <c r="I232" i="167"/>
  <c r="G232" i="167" s="1"/>
  <c r="P215" i="165"/>
  <c r="I310" i="167"/>
  <c r="G310" i="167" s="1"/>
  <c r="I193" i="167"/>
  <c r="G193" i="167" s="1"/>
  <c r="J110" i="167"/>
  <c r="O111" i="165"/>
  <c r="E111" i="165"/>
  <c r="N109" i="165"/>
  <c r="M109" i="165"/>
  <c r="L109" i="165"/>
  <c r="K109" i="165"/>
  <c r="I109" i="165"/>
  <c r="G109" i="165"/>
  <c r="F109" i="165"/>
  <c r="J127" i="167"/>
  <c r="N135" i="165"/>
  <c r="M135" i="165"/>
  <c r="L135" i="165"/>
  <c r="I135" i="165"/>
  <c r="H135" i="165"/>
  <c r="G135" i="165"/>
  <c r="F135" i="165"/>
  <c r="O136" i="165"/>
  <c r="E136" i="165"/>
  <c r="O136" i="207" l="1"/>
  <c r="O136" i="206"/>
  <c r="F135" i="207"/>
  <c r="F135" i="206"/>
  <c r="L135" i="207"/>
  <c r="L135" i="206"/>
  <c r="F109" i="207"/>
  <c r="F109" i="206"/>
  <c r="L109" i="207"/>
  <c r="L109" i="206"/>
  <c r="O111" i="207"/>
  <c r="O111" i="206"/>
  <c r="G135" i="207"/>
  <c r="G135" i="206"/>
  <c r="M135" i="207"/>
  <c r="M135" i="206"/>
  <c r="G109" i="207"/>
  <c r="G109" i="206"/>
  <c r="M109" i="207"/>
  <c r="M109" i="206"/>
  <c r="P349" i="207"/>
  <c r="P349" i="206"/>
  <c r="E136" i="207"/>
  <c r="E136" i="206"/>
  <c r="H135" i="207"/>
  <c r="H135" i="206"/>
  <c r="N135" i="207"/>
  <c r="N135" i="206"/>
  <c r="I109" i="207"/>
  <c r="I109" i="206"/>
  <c r="N109" i="207"/>
  <c r="N109" i="206"/>
  <c r="P269" i="207"/>
  <c r="P269" i="206"/>
  <c r="I135" i="207"/>
  <c r="I135" i="206"/>
  <c r="K109" i="207"/>
  <c r="K109" i="206"/>
  <c r="E111" i="207"/>
  <c r="E111" i="206"/>
  <c r="H109" i="165"/>
  <c r="H110" i="167"/>
  <c r="J111" i="165"/>
  <c r="J136" i="165"/>
  <c r="K135" i="165"/>
  <c r="O135" i="165"/>
  <c r="E135" i="165"/>
  <c r="H127" i="167"/>
  <c r="J136" i="207" l="1"/>
  <c r="J136" i="206"/>
  <c r="J111" i="207"/>
  <c r="J111" i="206"/>
  <c r="O135" i="207"/>
  <c r="O135" i="206"/>
  <c r="E135" i="207"/>
  <c r="E135" i="206"/>
  <c r="K135" i="207"/>
  <c r="K135" i="206"/>
  <c r="H109" i="207"/>
  <c r="H109" i="206"/>
  <c r="I110" i="167"/>
  <c r="G110" i="167" s="1"/>
  <c r="I127" i="167"/>
  <c r="G127" i="167" s="1"/>
  <c r="J135" i="165"/>
  <c r="P111" i="165"/>
  <c r="P136" i="165"/>
  <c r="G76" i="167"/>
  <c r="J73" i="167"/>
  <c r="M73" i="167" s="1"/>
  <c r="G74" i="167"/>
  <c r="G66" i="167"/>
  <c r="G62" i="167"/>
  <c r="J75" i="167"/>
  <c r="M75" i="167" s="1"/>
  <c r="P136" i="207" l="1"/>
  <c r="P136" i="206"/>
  <c r="P111" i="207"/>
  <c r="P111" i="206"/>
  <c r="J135" i="207"/>
  <c r="J135" i="206"/>
  <c r="P135" i="165"/>
  <c r="M102" i="167"/>
  <c r="G101" i="167"/>
  <c r="G22" i="167"/>
  <c r="P135" i="207" l="1"/>
  <c r="P135" i="206"/>
  <c r="F51" i="165"/>
  <c r="F51" i="207" l="1"/>
  <c r="F51" i="206"/>
  <c r="G345" i="167"/>
  <c r="O400" i="165" l="1"/>
  <c r="N400" i="165"/>
  <c r="M400" i="165"/>
  <c r="L400" i="165"/>
  <c r="K400" i="165"/>
  <c r="I400" i="165"/>
  <c r="H400" i="165"/>
  <c r="G400" i="165"/>
  <c r="F400" i="165"/>
  <c r="E401" i="165"/>
  <c r="E81" i="170" l="1"/>
  <c r="E400" i="165"/>
  <c r="H346" i="167"/>
  <c r="J401" i="165"/>
  <c r="I346" i="167" s="1"/>
  <c r="I341" i="167" l="1"/>
  <c r="E95" i="170"/>
  <c r="J400" i="165"/>
  <c r="P401" i="165"/>
  <c r="D21" i="108"/>
  <c r="G346" i="167" l="1"/>
  <c r="P400" i="165"/>
  <c r="E94" i="170"/>
  <c r="H346" i="165"/>
  <c r="J290" i="167"/>
  <c r="O326" i="165"/>
  <c r="E326" i="165"/>
  <c r="N325" i="165"/>
  <c r="M325" i="165"/>
  <c r="L325" i="165"/>
  <c r="K325" i="165"/>
  <c r="I325" i="165"/>
  <c r="H325" i="165"/>
  <c r="G325" i="165"/>
  <c r="G321" i="167"/>
  <c r="H346" i="207" l="1"/>
  <c r="H345" i="207" s="1"/>
  <c r="H344" i="207" s="1"/>
  <c r="H346" i="206"/>
  <c r="H345" i="206" s="1"/>
  <c r="H344" i="206" s="1"/>
  <c r="K325" i="207"/>
  <c r="K325" i="206"/>
  <c r="E326" i="207"/>
  <c r="E326" i="206"/>
  <c r="G325" i="207"/>
  <c r="G325" i="206"/>
  <c r="L325" i="207"/>
  <c r="L325" i="206"/>
  <c r="O326" i="207"/>
  <c r="O326" i="206"/>
  <c r="I325" i="207"/>
  <c r="I325" i="206"/>
  <c r="N325" i="207"/>
  <c r="N325" i="206"/>
  <c r="H325" i="207"/>
  <c r="H325" i="206"/>
  <c r="M325" i="207"/>
  <c r="M325" i="206"/>
  <c r="H290" i="167"/>
  <c r="J326" i="165"/>
  <c r="O325" i="165"/>
  <c r="E325" i="165"/>
  <c r="F325" i="165"/>
  <c r="E325" i="207" l="1"/>
  <c r="E325" i="206"/>
  <c r="O325" i="207"/>
  <c r="O325" i="206"/>
  <c r="J326" i="207"/>
  <c r="J326" i="206"/>
  <c r="F325" i="207"/>
  <c r="F325" i="206"/>
  <c r="P326" i="165"/>
  <c r="J325" i="165"/>
  <c r="I290" i="167"/>
  <c r="G290" i="167" s="1"/>
  <c r="K117" i="165"/>
  <c r="F117" i="165"/>
  <c r="K117" i="207" l="1"/>
  <c r="K117" i="206"/>
  <c r="F117" i="207"/>
  <c r="F117" i="206"/>
  <c r="J325" i="207"/>
  <c r="J325" i="206"/>
  <c r="P326" i="207"/>
  <c r="P326" i="206"/>
  <c r="P325" i="165"/>
  <c r="J100" i="167"/>
  <c r="N92" i="165"/>
  <c r="M92" i="165"/>
  <c r="L92" i="165"/>
  <c r="K92" i="165"/>
  <c r="I92" i="165"/>
  <c r="H92" i="165"/>
  <c r="G92" i="165"/>
  <c r="F92" i="165"/>
  <c r="O94" i="165"/>
  <c r="E94" i="165"/>
  <c r="E94" i="207" l="1"/>
  <c r="E94" i="206"/>
  <c r="H92" i="207"/>
  <c r="H92" i="206"/>
  <c r="M92" i="207"/>
  <c r="M92" i="206"/>
  <c r="O94" i="207"/>
  <c r="O94" i="206"/>
  <c r="I92" i="207"/>
  <c r="I92" i="206"/>
  <c r="N92" i="207"/>
  <c r="N92" i="206"/>
  <c r="K92" i="207"/>
  <c r="K92" i="206"/>
  <c r="F92" i="207"/>
  <c r="F92" i="206"/>
  <c r="G92" i="207"/>
  <c r="G92" i="206"/>
  <c r="L92" i="207"/>
  <c r="L92" i="206"/>
  <c r="P325" i="207"/>
  <c r="P325" i="206"/>
  <c r="H100" i="167"/>
  <c r="J94" i="165"/>
  <c r="J94" i="207" l="1"/>
  <c r="J94" i="206"/>
  <c r="P94" i="165"/>
  <c r="I100" i="167"/>
  <c r="G100" i="167" s="1"/>
  <c r="J244" i="167"/>
  <c r="O283" i="165"/>
  <c r="J283" i="165" s="1"/>
  <c r="J282" i="165" s="1"/>
  <c r="J280" i="165" s="1"/>
  <c r="E283" i="165"/>
  <c r="H244" i="167" s="1"/>
  <c r="N282" i="165"/>
  <c r="M282" i="165"/>
  <c r="L282" i="165"/>
  <c r="K282" i="165"/>
  <c r="K280" i="165" s="1"/>
  <c r="I282" i="165"/>
  <c r="H282" i="165"/>
  <c r="G282" i="165"/>
  <c r="F282" i="165"/>
  <c r="D33" i="108"/>
  <c r="K280" i="207" l="1"/>
  <c r="K280" i="206"/>
  <c r="P94" i="207"/>
  <c r="P94" i="206"/>
  <c r="J280" i="207"/>
  <c r="J280" i="206"/>
  <c r="J279" i="165"/>
  <c r="K279" i="165"/>
  <c r="F280" i="165"/>
  <c r="G280" i="165"/>
  <c r="L280" i="165"/>
  <c r="H280" i="165"/>
  <c r="M280" i="165"/>
  <c r="I280" i="165"/>
  <c r="N280" i="165"/>
  <c r="I244" i="167"/>
  <c r="G244" i="167" s="1"/>
  <c r="P283" i="165"/>
  <c r="P282" i="165" s="1"/>
  <c r="P280" i="165" s="1"/>
  <c r="E282" i="165"/>
  <c r="E280" i="165" s="1"/>
  <c r="O282" i="165"/>
  <c r="O280" i="165" s="1"/>
  <c r="I52" i="184"/>
  <c r="H52" i="184"/>
  <c r="H280" i="207" l="1"/>
  <c r="H280" i="206"/>
  <c r="K279" i="207"/>
  <c r="K279" i="206"/>
  <c r="O280" i="207"/>
  <c r="O280" i="206"/>
  <c r="N280" i="207"/>
  <c r="N280" i="206"/>
  <c r="L280" i="207"/>
  <c r="L280" i="206"/>
  <c r="J279" i="207"/>
  <c r="J279" i="206"/>
  <c r="E280" i="207"/>
  <c r="E280" i="206"/>
  <c r="I280" i="207"/>
  <c r="I280" i="206"/>
  <c r="G280" i="207"/>
  <c r="G280" i="206"/>
  <c r="P280" i="207"/>
  <c r="P280" i="206"/>
  <c r="M280" i="207"/>
  <c r="M280" i="206"/>
  <c r="F280" i="207"/>
  <c r="F280" i="206"/>
  <c r="O279" i="165"/>
  <c r="H279" i="165"/>
  <c r="E279" i="165"/>
  <c r="I279" i="165"/>
  <c r="L279" i="165"/>
  <c r="N279" i="165"/>
  <c r="G279" i="165"/>
  <c r="P279" i="165"/>
  <c r="M279" i="165"/>
  <c r="F279" i="165"/>
  <c r="O277" i="165"/>
  <c r="N279" i="207" l="1"/>
  <c r="N279" i="206"/>
  <c r="H279" i="207"/>
  <c r="H279" i="206"/>
  <c r="M279" i="207"/>
  <c r="M279" i="206"/>
  <c r="O279" i="207"/>
  <c r="O279" i="206"/>
  <c r="P279" i="207"/>
  <c r="P279" i="206"/>
  <c r="I279" i="207"/>
  <c r="I279" i="206"/>
  <c r="O277" i="207"/>
  <c r="O277" i="206"/>
  <c r="G279" i="207"/>
  <c r="G279" i="206"/>
  <c r="E279" i="207"/>
  <c r="E279" i="206"/>
  <c r="F279" i="207"/>
  <c r="F279" i="206"/>
  <c r="L279" i="207"/>
  <c r="L279" i="206"/>
  <c r="G25" i="167"/>
  <c r="M40" i="167" l="1"/>
  <c r="G41" i="167" l="1"/>
  <c r="J28" i="184"/>
  <c r="J43" i="184" l="1"/>
  <c r="J104" i="167" l="1"/>
  <c r="N102" i="165"/>
  <c r="M102" i="165"/>
  <c r="L102" i="165"/>
  <c r="K102" i="165"/>
  <c r="I102" i="165"/>
  <c r="H102" i="165"/>
  <c r="G102" i="165"/>
  <c r="F102" i="165"/>
  <c r="O103" i="165"/>
  <c r="E103" i="165"/>
  <c r="N101" i="165" l="1"/>
  <c r="G101" i="165"/>
  <c r="K101" i="165"/>
  <c r="L101" i="165"/>
  <c r="F101" i="165"/>
  <c r="E102" i="165"/>
  <c r="H101" i="165"/>
  <c r="O102" i="165"/>
  <c r="I101" i="165"/>
  <c r="M101" i="165"/>
  <c r="H104" i="167"/>
  <c r="J103" i="165"/>
  <c r="E101" i="165" l="1"/>
  <c r="O101" i="165"/>
  <c r="J102" i="165"/>
  <c r="I104" i="167"/>
  <c r="G104" i="167" s="1"/>
  <c r="P103" i="165"/>
  <c r="P102" i="165" l="1"/>
  <c r="J101" i="165"/>
  <c r="N368" i="165"/>
  <c r="M368" i="165"/>
  <c r="L368" i="165"/>
  <c r="K368" i="165"/>
  <c r="I368" i="165"/>
  <c r="H368" i="165"/>
  <c r="G368" i="165"/>
  <c r="F368" i="165"/>
  <c r="O369" i="165"/>
  <c r="E369" i="165"/>
  <c r="M368" i="207" l="1"/>
  <c r="M368" i="206"/>
  <c r="O369" i="207"/>
  <c r="O369" i="206"/>
  <c r="I368" i="207"/>
  <c r="I368" i="206"/>
  <c r="N368" i="207"/>
  <c r="N368" i="206"/>
  <c r="F368" i="207"/>
  <c r="F368" i="206"/>
  <c r="K368" i="207"/>
  <c r="K368" i="206"/>
  <c r="E369" i="207"/>
  <c r="E369" i="206"/>
  <c r="H368" i="207"/>
  <c r="H368" i="206"/>
  <c r="G368" i="207"/>
  <c r="G368" i="206"/>
  <c r="L368" i="207"/>
  <c r="L368" i="206"/>
  <c r="H322" i="167"/>
  <c r="J369" i="165"/>
  <c r="L367" i="165"/>
  <c r="I367" i="165"/>
  <c r="N367" i="165"/>
  <c r="F367" i="165"/>
  <c r="K367" i="165"/>
  <c r="G367" i="165"/>
  <c r="E368" i="165"/>
  <c r="H367" i="165"/>
  <c r="M367" i="165"/>
  <c r="P101" i="165"/>
  <c r="O368" i="165"/>
  <c r="P369" i="165"/>
  <c r="D26" i="170"/>
  <c r="C117" i="188"/>
  <c r="H367" i="207" l="1"/>
  <c r="H367" i="206"/>
  <c r="E368" i="207"/>
  <c r="E368" i="206"/>
  <c r="G367" i="207"/>
  <c r="G367" i="206"/>
  <c r="I367" i="207"/>
  <c r="I367" i="206"/>
  <c r="F367" i="207"/>
  <c r="F367" i="206"/>
  <c r="O368" i="207"/>
  <c r="O368" i="206"/>
  <c r="M367" i="207"/>
  <c r="M367" i="206"/>
  <c r="K367" i="207"/>
  <c r="K367" i="206"/>
  <c r="L367" i="207"/>
  <c r="L367" i="206"/>
  <c r="P369" i="207"/>
  <c r="P369" i="206"/>
  <c r="J369" i="207"/>
  <c r="J369" i="206"/>
  <c r="N367" i="207"/>
  <c r="N367" i="206"/>
  <c r="I322" i="167"/>
  <c r="G322" i="167" s="1"/>
  <c r="P368" i="165"/>
  <c r="O367" i="165"/>
  <c r="E367" i="165"/>
  <c r="J368" i="165"/>
  <c r="J88" i="184"/>
  <c r="J97" i="184"/>
  <c r="J89" i="184"/>
  <c r="J57" i="184"/>
  <c r="J52" i="184"/>
  <c r="E367" i="207" l="1"/>
  <c r="E367" i="206"/>
  <c r="J368" i="207"/>
  <c r="J368" i="206"/>
  <c r="O367" i="207"/>
  <c r="O367" i="206"/>
  <c r="P368" i="207"/>
  <c r="P368" i="206"/>
  <c r="J367" i="165"/>
  <c r="P367" i="165"/>
  <c r="H224" i="165"/>
  <c r="G224" i="165"/>
  <c r="F224" i="165"/>
  <c r="E159" i="165"/>
  <c r="O159" i="165"/>
  <c r="G50" i="167"/>
  <c r="G314" i="167"/>
  <c r="F37" i="165"/>
  <c r="N37" i="165"/>
  <c r="M37" i="165"/>
  <c r="L37" i="165"/>
  <c r="K37" i="165"/>
  <c r="I37" i="165"/>
  <c r="H37" i="165"/>
  <c r="G37" i="165"/>
  <c r="O38" i="165"/>
  <c r="E38" i="165"/>
  <c r="K37" i="167" s="1"/>
  <c r="H37" i="207" l="1"/>
  <c r="H37" i="206"/>
  <c r="M37" i="207"/>
  <c r="M37" i="206"/>
  <c r="G224" i="207"/>
  <c r="G224" i="206"/>
  <c r="I37" i="207"/>
  <c r="I37" i="206"/>
  <c r="N37" i="207"/>
  <c r="N37" i="206"/>
  <c r="O159" i="207"/>
  <c r="O159" i="206"/>
  <c r="H224" i="207"/>
  <c r="H224" i="206"/>
  <c r="K37" i="207"/>
  <c r="K37" i="206"/>
  <c r="P367" i="207"/>
  <c r="P367" i="206"/>
  <c r="O38" i="207"/>
  <c r="O38" i="206"/>
  <c r="G37" i="207"/>
  <c r="G37" i="206"/>
  <c r="L37" i="207"/>
  <c r="L37" i="206"/>
  <c r="F224" i="207"/>
  <c r="F224" i="206"/>
  <c r="J367" i="207"/>
  <c r="J367" i="206"/>
  <c r="E159" i="207"/>
  <c r="E159" i="206"/>
  <c r="F37" i="206"/>
  <c r="F37" i="207"/>
  <c r="E38" i="207"/>
  <c r="E38" i="206"/>
  <c r="H150" i="167"/>
  <c r="J159" i="165"/>
  <c r="J38" i="165"/>
  <c r="G39" i="167"/>
  <c r="J159" i="207" l="1"/>
  <c r="J159" i="206"/>
  <c r="J38" i="207"/>
  <c r="J38" i="206"/>
  <c r="L37" i="167"/>
  <c r="I150" i="167"/>
  <c r="G150" i="167" s="1"/>
  <c r="P38" i="165"/>
  <c r="P159" i="165"/>
  <c r="P159" i="206" l="1"/>
  <c r="P159" i="207"/>
  <c r="P38" i="206"/>
  <c r="P38" i="207"/>
  <c r="D37" i="188"/>
  <c r="C39" i="188"/>
  <c r="D55" i="172" l="1"/>
  <c r="G351" i="167" l="1"/>
  <c r="F425" i="165" l="1"/>
  <c r="N417" i="165"/>
  <c r="M417" i="165"/>
  <c r="L417" i="165"/>
  <c r="K417" i="165"/>
  <c r="I417" i="165"/>
  <c r="H417" i="165"/>
  <c r="G417" i="165"/>
  <c r="F417" i="165"/>
  <c r="O418" i="165"/>
  <c r="E418" i="165"/>
  <c r="I417" i="207" l="1"/>
  <c r="I417" i="206"/>
  <c r="F417" i="207"/>
  <c r="F417" i="206"/>
  <c r="G417" i="207"/>
  <c r="G417" i="206"/>
  <c r="L417" i="207"/>
  <c r="L417" i="206"/>
  <c r="O418" i="207"/>
  <c r="O418" i="206"/>
  <c r="N417" i="207"/>
  <c r="N417" i="206"/>
  <c r="K417" i="207"/>
  <c r="K417" i="206"/>
  <c r="E418" i="207"/>
  <c r="E418" i="206"/>
  <c r="H417" i="207"/>
  <c r="H417" i="206"/>
  <c r="M417" i="207"/>
  <c r="M417" i="206"/>
  <c r="G416" i="165"/>
  <c r="H416" i="165"/>
  <c r="M416" i="165"/>
  <c r="E417" i="165"/>
  <c r="I416" i="165"/>
  <c r="N416" i="165"/>
  <c r="J418" i="165"/>
  <c r="F416" i="165"/>
  <c r="K416" i="165"/>
  <c r="L416" i="165"/>
  <c r="O417" i="165"/>
  <c r="N416" i="207" l="1"/>
  <c r="N416" i="206"/>
  <c r="I416" i="207"/>
  <c r="I416" i="206"/>
  <c r="F416" i="207"/>
  <c r="F416" i="206"/>
  <c r="E417" i="207"/>
  <c r="E417" i="206"/>
  <c r="L416" i="207"/>
  <c r="L416" i="206"/>
  <c r="H416" i="207"/>
  <c r="H416" i="206"/>
  <c r="K416" i="207"/>
  <c r="K416" i="206"/>
  <c r="G416" i="207"/>
  <c r="G416" i="206"/>
  <c r="O417" i="207"/>
  <c r="O417" i="206"/>
  <c r="J418" i="207"/>
  <c r="J418" i="206"/>
  <c r="M416" i="207"/>
  <c r="M416" i="206"/>
  <c r="O416" i="165"/>
  <c r="J417" i="165"/>
  <c r="E416" i="165"/>
  <c r="P418" i="165"/>
  <c r="E416" i="207" l="1"/>
  <c r="E416" i="206"/>
  <c r="J417" i="207"/>
  <c r="J417" i="206"/>
  <c r="P418" i="207"/>
  <c r="P418" i="206"/>
  <c r="O416" i="207"/>
  <c r="O416" i="206"/>
  <c r="P417" i="165"/>
  <c r="J416" i="165"/>
  <c r="J160" i="167"/>
  <c r="O182" i="165"/>
  <c r="E182" i="165"/>
  <c r="J124" i="167"/>
  <c r="F127" i="165"/>
  <c r="G127" i="165"/>
  <c r="H127" i="165"/>
  <c r="I127" i="165"/>
  <c r="K127" i="165"/>
  <c r="L127" i="165"/>
  <c r="M127" i="165"/>
  <c r="N127" i="165"/>
  <c r="O128" i="165"/>
  <c r="E128" i="165"/>
  <c r="N127" i="207" l="1"/>
  <c r="N127" i="206"/>
  <c r="J416" i="207"/>
  <c r="J416" i="206"/>
  <c r="M127" i="207"/>
  <c r="M127" i="206"/>
  <c r="E128" i="207"/>
  <c r="E128" i="206"/>
  <c r="L127" i="207"/>
  <c r="L127" i="206"/>
  <c r="G127" i="207"/>
  <c r="G127" i="206"/>
  <c r="O182" i="207"/>
  <c r="O182" i="206"/>
  <c r="I127" i="207"/>
  <c r="I127" i="206"/>
  <c r="H127" i="207"/>
  <c r="H127" i="206"/>
  <c r="E182" i="207"/>
  <c r="E182" i="206"/>
  <c r="P417" i="207"/>
  <c r="P417" i="206"/>
  <c r="O128" i="207"/>
  <c r="O128" i="206"/>
  <c r="K127" i="207"/>
  <c r="K127" i="206"/>
  <c r="F127" i="207"/>
  <c r="F127" i="206"/>
  <c r="H160" i="167"/>
  <c r="E127" i="165"/>
  <c r="J182" i="165"/>
  <c r="J128" i="165"/>
  <c r="P416" i="165"/>
  <c r="H124" i="167"/>
  <c r="O127" i="165"/>
  <c r="J128" i="207" l="1"/>
  <c r="J128" i="206"/>
  <c r="J182" i="207"/>
  <c r="J182" i="206"/>
  <c r="P416" i="207"/>
  <c r="P416" i="206"/>
  <c r="O127" i="207"/>
  <c r="O127" i="206"/>
  <c r="E127" i="207"/>
  <c r="E127" i="206"/>
  <c r="P128" i="165"/>
  <c r="P182" i="165"/>
  <c r="J127" i="165"/>
  <c r="I124" i="167"/>
  <c r="G124" i="167" s="1"/>
  <c r="I160" i="167"/>
  <c r="G160" i="167" s="1"/>
  <c r="P182" i="207" l="1"/>
  <c r="P182" i="206"/>
  <c r="P128" i="207"/>
  <c r="P128" i="206"/>
  <c r="J127" i="207"/>
  <c r="J127" i="206"/>
  <c r="P127" i="165"/>
  <c r="O207" i="165"/>
  <c r="E207" i="165"/>
  <c r="E207" i="207" l="1"/>
  <c r="E207" i="206"/>
  <c r="O207" i="207"/>
  <c r="O207" i="206"/>
  <c r="P127" i="207"/>
  <c r="P127" i="206"/>
  <c r="H186" i="167"/>
  <c r="J207" i="165"/>
  <c r="J207" i="207" l="1"/>
  <c r="J207" i="206"/>
  <c r="P207" i="165"/>
  <c r="I186" i="167"/>
  <c r="G186" i="167" s="1"/>
  <c r="G305" i="167"/>
  <c r="G304" i="167"/>
  <c r="G301" i="167"/>
  <c r="P207" i="207" l="1"/>
  <c r="P207" i="206"/>
  <c r="N340" i="165"/>
  <c r="M340" i="165"/>
  <c r="L340" i="165"/>
  <c r="K340" i="165"/>
  <c r="I340" i="165"/>
  <c r="H340" i="165"/>
  <c r="G340" i="165"/>
  <c r="F340" i="165"/>
  <c r="O343" i="165"/>
  <c r="E343" i="165"/>
  <c r="O364" i="165"/>
  <c r="O364" i="206" s="1"/>
  <c r="E364" i="165"/>
  <c r="E364" i="206" s="1"/>
  <c r="J364" i="165" l="1"/>
  <c r="J364" i="206" s="1"/>
  <c r="J343" i="165"/>
  <c r="P343" i="165" s="1"/>
  <c r="G280" i="167"/>
  <c r="P364" i="165" l="1"/>
  <c r="P364" i="206" s="1"/>
  <c r="O39" i="165" l="1"/>
  <c r="E39" i="165"/>
  <c r="N307" i="165"/>
  <c r="M307" i="165"/>
  <c r="L307" i="165"/>
  <c r="K307" i="165"/>
  <c r="I307" i="165"/>
  <c r="H307" i="165"/>
  <c r="G307" i="165"/>
  <c r="F307" i="165"/>
  <c r="O310" i="165"/>
  <c r="E310" i="165"/>
  <c r="J125" i="167"/>
  <c r="K35" i="184"/>
  <c r="E310" i="207" l="1"/>
  <c r="E310" i="206"/>
  <c r="M307" i="207"/>
  <c r="M307" i="206"/>
  <c r="O310" i="207"/>
  <c r="O310" i="206"/>
  <c r="I307" i="207"/>
  <c r="I307" i="206"/>
  <c r="N307" i="207"/>
  <c r="N307" i="206"/>
  <c r="H307" i="207"/>
  <c r="H307" i="206"/>
  <c r="F307" i="207"/>
  <c r="F307" i="206"/>
  <c r="K307" i="207"/>
  <c r="K307" i="206"/>
  <c r="G307" i="207"/>
  <c r="G307" i="206"/>
  <c r="L307" i="207"/>
  <c r="L307" i="206"/>
  <c r="O39" i="207"/>
  <c r="O39" i="206"/>
  <c r="E39" i="207"/>
  <c r="E39" i="206"/>
  <c r="O37" i="165"/>
  <c r="E37" i="165"/>
  <c r="K40" i="167"/>
  <c r="J310" i="165"/>
  <c r="I304" i="165"/>
  <c r="N304" i="165"/>
  <c r="F304" i="165"/>
  <c r="K304" i="165"/>
  <c r="O307" i="165"/>
  <c r="M304" i="165"/>
  <c r="E307" i="165"/>
  <c r="G304" i="165"/>
  <c r="L304" i="165"/>
  <c r="H304" i="165"/>
  <c r="J39" i="165"/>
  <c r="J39" i="207" l="1"/>
  <c r="J39" i="206"/>
  <c r="G304" i="207"/>
  <c r="G304" i="206"/>
  <c r="E307" i="207"/>
  <c r="E307" i="206"/>
  <c r="H304" i="207"/>
  <c r="H304" i="206"/>
  <c r="M304" i="207"/>
  <c r="M304" i="206"/>
  <c r="N304" i="207"/>
  <c r="N304" i="206"/>
  <c r="J310" i="207"/>
  <c r="J310" i="206"/>
  <c r="F304" i="207"/>
  <c r="F304" i="206"/>
  <c r="L304" i="207"/>
  <c r="L304" i="206"/>
  <c r="O307" i="207"/>
  <c r="O307" i="206"/>
  <c r="I304" i="207"/>
  <c r="I304" i="206"/>
  <c r="O37" i="207"/>
  <c r="O37" i="206"/>
  <c r="K304" i="207"/>
  <c r="K304" i="206"/>
  <c r="E37" i="207"/>
  <c r="E37" i="206"/>
  <c r="L40" i="167"/>
  <c r="P310" i="165"/>
  <c r="P39" i="165"/>
  <c r="J37" i="165"/>
  <c r="G40" i="167"/>
  <c r="N131" i="165"/>
  <c r="M131" i="165"/>
  <c r="L131" i="165"/>
  <c r="K131" i="165"/>
  <c r="I131" i="165"/>
  <c r="H131" i="165"/>
  <c r="G131" i="165"/>
  <c r="F131" i="165"/>
  <c r="O132" i="165"/>
  <c r="E132" i="165"/>
  <c r="G131" i="207" l="1"/>
  <c r="G131" i="206"/>
  <c r="J37" i="207"/>
  <c r="J37" i="206"/>
  <c r="H131" i="207"/>
  <c r="H131" i="206"/>
  <c r="M131" i="207"/>
  <c r="M131" i="206"/>
  <c r="O132" i="207"/>
  <c r="O132" i="206"/>
  <c r="I131" i="207"/>
  <c r="I131" i="206"/>
  <c r="N131" i="207"/>
  <c r="N131" i="206"/>
  <c r="P310" i="207"/>
  <c r="P310" i="206"/>
  <c r="L131" i="207"/>
  <c r="L131" i="206"/>
  <c r="E132" i="207"/>
  <c r="E132" i="206"/>
  <c r="F131" i="207"/>
  <c r="F131" i="206"/>
  <c r="K131" i="207"/>
  <c r="K131" i="206"/>
  <c r="P39" i="206"/>
  <c r="P39" i="207"/>
  <c r="O131" i="165"/>
  <c r="E131" i="165"/>
  <c r="P37" i="165"/>
  <c r="J132" i="165"/>
  <c r="H125" i="167"/>
  <c r="F55" i="172"/>
  <c r="O131" i="207" l="1"/>
  <c r="O131" i="206"/>
  <c r="E131" i="207"/>
  <c r="E131" i="206"/>
  <c r="J132" i="207"/>
  <c r="J132" i="206"/>
  <c r="P37" i="206"/>
  <c r="P37" i="207"/>
  <c r="P132" i="165"/>
  <c r="J131" i="165"/>
  <c r="I125" i="167"/>
  <c r="J131" i="207" l="1"/>
  <c r="J131" i="206"/>
  <c r="P132" i="207"/>
  <c r="P132" i="206"/>
  <c r="P131" i="165"/>
  <c r="G125" i="167"/>
  <c r="K45" i="165"/>
  <c r="K45" i="207" l="1"/>
  <c r="K45" i="206"/>
  <c r="P131" i="207"/>
  <c r="P131" i="206"/>
  <c r="G223" i="167"/>
  <c r="N365" i="165" l="1"/>
  <c r="M365" i="165"/>
  <c r="L365" i="165"/>
  <c r="K365" i="165"/>
  <c r="I365" i="165"/>
  <c r="H365" i="165"/>
  <c r="G365" i="165"/>
  <c r="F365" i="165"/>
  <c r="K365" i="207" l="1"/>
  <c r="K365" i="206"/>
  <c r="L365" i="207"/>
  <c r="L365" i="206"/>
  <c r="H365" i="207"/>
  <c r="H365" i="206"/>
  <c r="M365" i="207"/>
  <c r="M365" i="206"/>
  <c r="F365" i="207"/>
  <c r="F365" i="206"/>
  <c r="G365" i="207"/>
  <c r="G365" i="206"/>
  <c r="I365" i="207"/>
  <c r="I365" i="206"/>
  <c r="N365" i="207"/>
  <c r="N365" i="206"/>
  <c r="I61" i="184"/>
  <c r="K61" i="184" l="1"/>
  <c r="C53" i="188" l="1"/>
  <c r="D52" i="188"/>
  <c r="C52" i="188" l="1"/>
  <c r="D41" i="188"/>
  <c r="E109" i="188"/>
  <c r="D101" i="188"/>
  <c r="E61" i="188" l="1"/>
  <c r="H42" i="184" l="1"/>
  <c r="G335" i="167"/>
  <c r="M337" i="167"/>
  <c r="O410" i="165"/>
  <c r="C46" i="172"/>
  <c r="C47" i="172"/>
  <c r="O410" i="207" l="1"/>
  <c r="O410" i="206"/>
  <c r="O425" i="165"/>
  <c r="E425" i="165"/>
  <c r="N424" i="165"/>
  <c r="N423" i="165" s="1"/>
  <c r="M424" i="165"/>
  <c r="L424" i="165"/>
  <c r="K424" i="165"/>
  <c r="I424" i="165"/>
  <c r="H424" i="165"/>
  <c r="G424" i="165"/>
  <c r="F424" i="165"/>
  <c r="F13" i="107"/>
  <c r="H13" i="107"/>
  <c r="J13" i="107"/>
  <c r="K13" i="107"/>
  <c r="L13" i="107"/>
  <c r="H423" i="165" l="1"/>
  <c r="O226" i="165"/>
  <c r="I423" i="165"/>
  <c r="F423" i="165"/>
  <c r="K423" i="165"/>
  <c r="E424" i="165"/>
  <c r="M423" i="165"/>
  <c r="G423" i="165"/>
  <c r="L423" i="165"/>
  <c r="J425" i="165"/>
  <c r="O424" i="165"/>
  <c r="O226" i="207" l="1"/>
  <c r="O226" i="206"/>
  <c r="E423" i="165"/>
  <c r="O423" i="165"/>
  <c r="J424" i="165"/>
  <c r="P425" i="165"/>
  <c r="P424" i="165" l="1"/>
  <c r="J423" i="165"/>
  <c r="J51" i="184"/>
  <c r="I51" i="184"/>
  <c r="H51" i="184"/>
  <c r="K53" i="184"/>
  <c r="P423" i="165" l="1"/>
  <c r="G20" i="167"/>
  <c r="O303" i="165"/>
  <c r="O303" i="207" l="1"/>
  <c r="O303" i="206"/>
  <c r="J259" i="167"/>
  <c r="F290" i="165"/>
  <c r="O297" i="165"/>
  <c r="E297" i="165"/>
  <c r="O272" i="165"/>
  <c r="E272" i="165"/>
  <c r="N271" i="165"/>
  <c r="M271" i="165"/>
  <c r="L271" i="165"/>
  <c r="K271" i="165"/>
  <c r="I271" i="165"/>
  <c r="H271" i="165"/>
  <c r="G271" i="165"/>
  <c r="F271" i="165"/>
  <c r="F271" i="207" l="1"/>
  <c r="F271" i="206"/>
  <c r="K271" i="207"/>
  <c r="K271" i="206"/>
  <c r="G271" i="207"/>
  <c r="G271" i="206"/>
  <c r="L271" i="207"/>
  <c r="L271" i="206"/>
  <c r="O272" i="207"/>
  <c r="O272" i="206"/>
  <c r="H271" i="207"/>
  <c r="H271" i="206"/>
  <c r="M271" i="207"/>
  <c r="M271" i="206"/>
  <c r="E297" i="207"/>
  <c r="E297" i="206"/>
  <c r="E272" i="207"/>
  <c r="E272" i="206"/>
  <c r="I271" i="207"/>
  <c r="I271" i="206"/>
  <c r="N271" i="207"/>
  <c r="N271" i="206"/>
  <c r="O297" i="207"/>
  <c r="O297" i="206"/>
  <c r="F290" i="206"/>
  <c r="F290" i="207"/>
  <c r="H235" i="167"/>
  <c r="E271" i="165"/>
  <c r="J297" i="165"/>
  <c r="J272" i="165"/>
  <c r="H259" i="167"/>
  <c r="O271" i="165"/>
  <c r="O341" i="165"/>
  <c r="J261" i="165"/>
  <c r="E261" i="165"/>
  <c r="N258" i="165"/>
  <c r="M258" i="165"/>
  <c r="L258" i="165"/>
  <c r="K258" i="165"/>
  <c r="I258" i="165"/>
  <c r="G258" i="165"/>
  <c r="F258" i="165"/>
  <c r="K58" i="184"/>
  <c r="K59" i="184"/>
  <c r="K60" i="184"/>
  <c r="K88" i="184"/>
  <c r="K89" i="184"/>
  <c r="K97" i="184"/>
  <c r="I66" i="184"/>
  <c r="I258" i="207" l="1"/>
  <c r="I258" i="206"/>
  <c r="K258" i="207"/>
  <c r="K258" i="206"/>
  <c r="E261" i="207"/>
  <c r="E261" i="206"/>
  <c r="F258" i="207"/>
  <c r="F258" i="206"/>
  <c r="L258" i="207"/>
  <c r="L258" i="206"/>
  <c r="J261" i="207"/>
  <c r="J261" i="206"/>
  <c r="J272" i="207"/>
  <c r="J272" i="206"/>
  <c r="N258" i="207"/>
  <c r="N258" i="206"/>
  <c r="O271" i="207"/>
  <c r="O271" i="206"/>
  <c r="E271" i="207"/>
  <c r="E271" i="206"/>
  <c r="G258" i="207"/>
  <c r="G258" i="206"/>
  <c r="M258" i="207"/>
  <c r="M258" i="206"/>
  <c r="J297" i="207"/>
  <c r="J297" i="206"/>
  <c r="I235" i="167"/>
  <c r="G235" i="167" s="1"/>
  <c r="J341" i="165"/>
  <c r="O340" i="165"/>
  <c r="J271" i="165"/>
  <c r="P297" i="165"/>
  <c r="P272" i="165"/>
  <c r="I259" i="167"/>
  <c r="G259" i="167" s="1"/>
  <c r="K57" i="184"/>
  <c r="P261" i="165"/>
  <c r="K66" i="184"/>
  <c r="H41" i="184"/>
  <c r="I43" i="184"/>
  <c r="K43" i="184" s="1"/>
  <c r="I54" i="184"/>
  <c r="H54" i="184"/>
  <c r="H45" i="184"/>
  <c r="H29" i="184"/>
  <c r="H19" i="184"/>
  <c r="P272" i="207" l="1"/>
  <c r="P272" i="206"/>
  <c r="J271" i="207"/>
  <c r="J271" i="206"/>
  <c r="P261" i="207"/>
  <c r="P261" i="206"/>
  <c r="P297" i="207"/>
  <c r="P297" i="206"/>
  <c r="J340" i="165"/>
  <c r="P271" i="165"/>
  <c r="I42" i="184"/>
  <c r="P271" i="207" l="1"/>
  <c r="P271" i="206"/>
  <c r="J71" i="167"/>
  <c r="J19" i="184" l="1"/>
  <c r="I28" i="184"/>
  <c r="K28" i="184" s="1"/>
  <c r="O65" i="165" l="1"/>
  <c r="I19" i="184"/>
  <c r="O65" i="207" l="1"/>
  <c r="O65" i="206"/>
  <c r="E57" i="165"/>
  <c r="J57" i="165"/>
  <c r="K55" i="165"/>
  <c r="L55" i="165"/>
  <c r="M55" i="165"/>
  <c r="N55" i="165"/>
  <c r="I55" i="165"/>
  <c r="H55" i="165"/>
  <c r="G55" i="165"/>
  <c r="F55" i="165"/>
  <c r="N398" i="165"/>
  <c r="M398" i="165"/>
  <c r="L398" i="165"/>
  <c r="K398" i="165"/>
  <c r="I398" i="165"/>
  <c r="H398" i="165"/>
  <c r="G398" i="165"/>
  <c r="F398" i="165"/>
  <c r="E398" i="165"/>
  <c r="F398" i="207" l="1"/>
  <c r="F398" i="206"/>
  <c r="J57" i="207"/>
  <c r="J57" i="206"/>
  <c r="L398" i="207"/>
  <c r="L398" i="206"/>
  <c r="G55" i="207"/>
  <c r="G55" i="206"/>
  <c r="M55" i="207"/>
  <c r="M55" i="206"/>
  <c r="E57" i="207"/>
  <c r="E57" i="206"/>
  <c r="F55" i="207"/>
  <c r="F55" i="206"/>
  <c r="N55" i="207"/>
  <c r="N55" i="206"/>
  <c r="G398" i="207"/>
  <c r="G398" i="206"/>
  <c r="H398" i="207"/>
  <c r="H398" i="206"/>
  <c r="M398" i="207"/>
  <c r="M398" i="206"/>
  <c r="H55" i="207"/>
  <c r="H55" i="206"/>
  <c r="L55" i="207"/>
  <c r="L55" i="206"/>
  <c r="K398" i="207"/>
  <c r="K398" i="206"/>
  <c r="E398" i="207"/>
  <c r="E398" i="206"/>
  <c r="I398" i="207"/>
  <c r="I398" i="206"/>
  <c r="N398" i="207"/>
  <c r="N398" i="206"/>
  <c r="I55" i="207"/>
  <c r="I55" i="206"/>
  <c r="K55" i="207"/>
  <c r="K55" i="206"/>
  <c r="I71" i="167"/>
  <c r="H71" i="167"/>
  <c r="P57" i="165"/>
  <c r="P57" i="207" l="1"/>
  <c r="P57" i="206"/>
  <c r="G71" i="167"/>
  <c r="O398" i="165"/>
  <c r="H100" i="184"/>
  <c r="O398" i="207" l="1"/>
  <c r="O398" i="206"/>
  <c r="I32" i="184"/>
  <c r="O114" i="165" l="1"/>
  <c r="K32" i="184"/>
  <c r="I29" i="184"/>
  <c r="O114" i="207" l="1"/>
  <c r="O114" i="206"/>
  <c r="H258" i="165"/>
  <c r="J217" i="167"/>
  <c r="O255" i="165"/>
  <c r="J255" i="165" s="1"/>
  <c r="E98" i="170" s="1"/>
  <c r="E255" i="165"/>
  <c r="N254" i="165"/>
  <c r="N253" i="165" s="1"/>
  <c r="M254" i="165"/>
  <c r="M253" i="165" s="1"/>
  <c r="L254" i="165"/>
  <c r="L253" i="165" s="1"/>
  <c r="K254" i="165"/>
  <c r="K253" i="165" s="1"/>
  <c r="I254" i="165"/>
  <c r="I253" i="165" s="1"/>
  <c r="H254" i="165"/>
  <c r="H253" i="165" s="1"/>
  <c r="G254" i="165"/>
  <c r="G253" i="165" s="1"/>
  <c r="F254" i="165"/>
  <c r="F253" i="165" s="1"/>
  <c r="H258" i="207" l="1"/>
  <c r="H258" i="206"/>
  <c r="E254" i="165"/>
  <c r="E253" i="165" s="1"/>
  <c r="E85" i="170"/>
  <c r="H217" i="167"/>
  <c r="I217" i="167"/>
  <c r="O254" i="165"/>
  <c r="O253" i="165" s="1"/>
  <c r="J254" i="165"/>
  <c r="J253" i="165" s="1"/>
  <c r="P255" i="165"/>
  <c r="P254" i="165" s="1"/>
  <c r="P253" i="165" s="1"/>
  <c r="G217" i="167" l="1"/>
  <c r="J29" i="184"/>
  <c r="D119" i="188"/>
  <c r="D17" i="170" l="1"/>
  <c r="D25" i="170" s="1"/>
  <c r="F82" i="165" l="1"/>
  <c r="F82" i="207" l="1"/>
  <c r="F82" i="206"/>
  <c r="D63" i="170"/>
  <c r="J213" i="167" l="1"/>
  <c r="O249" i="165"/>
  <c r="E249" i="165"/>
  <c r="N248" i="165"/>
  <c r="M248" i="165"/>
  <c r="L248" i="165"/>
  <c r="K248" i="165"/>
  <c r="I248" i="165"/>
  <c r="H248" i="165"/>
  <c r="G248" i="165"/>
  <c r="F248" i="165"/>
  <c r="J42" i="184"/>
  <c r="H213" i="167" l="1"/>
  <c r="E248" i="165"/>
  <c r="I247" i="165"/>
  <c r="K247" i="165"/>
  <c r="M247" i="165"/>
  <c r="F247" i="165"/>
  <c r="G247" i="165"/>
  <c r="J249" i="165"/>
  <c r="L247" i="165"/>
  <c r="H247" i="165"/>
  <c r="N247" i="165"/>
  <c r="O248" i="165"/>
  <c r="O366" i="165"/>
  <c r="E366" i="165"/>
  <c r="E366" i="207" l="1"/>
  <c r="E366" i="206"/>
  <c r="O366" i="207"/>
  <c r="O366" i="206"/>
  <c r="H320" i="167"/>
  <c r="K320" i="167" s="1"/>
  <c r="E247" i="165"/>
  <c r="O365" i="165"/>
  <c r="E365" i="165"/>
  <c r="P249" i="165"/>
  <c r="O247" i="165"/>
  <c r="J248" i="165"/>
  <c r="I213" i="167"/>
  <c r="G213" i="167" s="1"/>
  <c r="J366" i="165"/>
  <c r="O365" i="207" l="1"/>
  <c r="O365" i="206"/>
  <c r="E365" i="207"/>
  <c r="E365" i="206"/>
  <c r="J366" i="207"/>
  <c r="J366" i="206"/>
  <c r="L320" i="167"/>
  <c r="P248" i="165"/>
  <c r="J365" i="165"/>
  <c r="P366" i="165"/>
  <c r="G318" i="167"/>
  <c r="J247" i="165"/>
  <c r="P366" i="207" l="1"/>
  <c r="P366" i="206"/>
  <c r="J365" i="207"/>
  <c r="J365" i="206"/>
  <c r="P247" i="165"/>
  <c r="G320" i="167"/>
  <c r="P365" i="165"/>
  <c r="G18" i="167"/>
  <c r="D103" i="170"/>
  <c r="J103" i="167"/>
  <c r="N99" i="165"/>
  <c r="M99" i="165"/>
  <c r="L99" i="165"/>
  <c r="K99" i="165"/>
  <c r="I99" i="165"/>
  <c r="H99" i="165"/>
  <c r="G99" i="165"/>
  <c r="O100" i="165"/>
  <c r="F97" i="165"/>
  <c r="G97" i="165"/>
  <c r="H97" i="165"/>
  <c r="I97" i="165"/>
  <c r="K97" i="165"/>
  <c r="L97" i="165"/>
  <c r="M97" i="165"/>
  <c r="N97" i="165"/>
  <c r="O98" i="165"/>
  <c r="E98" i="165"/>
  <c r="E98" i="206" l="1"/>
  <c r="E98" i="207"/>
  <c r="I99" i="207"/>
  <c r="I99" i="206"/>
  <c r="N99" i="207"/>
  <c r="N99" i="206"/>
  <c r="P365" i="207"/>
  <c r="P365" i="206"/>
  <c r="N97" i="207"/>
  <c r="N97" i="206"/>
  <c r="O100" i="207"/>
  <c r="O100" i="206"/>
  <c r="K99" i="207"/>
  <c r="K99" i="206"/>
  <c r="L97" i="207"/>
  <c r="L97" i="206"/>
  <c r="G97" i="207"/>
  <c r="G97" i="206"/>
  <c r="H99" i="207"/>
  <c r="H99" i="206"/>
  <c r="M99" i="207"/>
  <c r="M99" i="206"/>
  <c r="F97" i="207"/>
  <c r="F97" i="206"/>
  <c r="I97" i="207"/>
  <c r="I97" i="206"/>
  <c r="M97" i="207"/>
  <c r="M97" i="206"/>
  <c r="H97" i="207"/>
  <c r="H97" i="206"/>
  <c r="G99" i="207"/>
  <c r="G99" i="206"/>
  <c r="L99" i="207"/>
  <c r="L99" i="206"/>
  <c r="O98" i="206"/>
  <c r="O98" i="207"/>
  <c r="K97" i="206"/>
  <c r="K97" i="207"/>
  <c r="K102" i="167"/>
  <c r="N96" i="165"/>
  <c r="K96" i="165"/>
  <c r="I96" i="165"/>
  <c r="H96" i="165"/>
  <c r="M96" i="165"/>
  <c r="G96" i="165"/>
  <c r="J100" i="165"/>
  <c r="L96" i="165"/>
  <c r="J98" i="165"/>
  <c r="F96" i="165"/>
  <c r="E100" i="165"/>
  <c r="E97" i="165"/>
  <c r="F99" i="165"/>
  <c r="O99" i="165"/>
  <c r="O97" i="165"/>
  <c r="N96" i="207" l="1"/>
  <c r="N96" i="206"/>
  <c r="E97" i="207"/>
  <c r="E97" i="206"/>
  <c r="H96" i="207"/>
  <c r="H96" i="206"/>
  <c r="E100" i="207"/>
  <c r="E100" i="206"/>
  <c r="I96" i="206"/>
  <c r="I96" i="207"/>
  <c r="F99" i="207"/>
  <c r="F99" i="206"/>
  <c r="M96" i="207"/>
  <c r="M96" i="206"/>
  <c r="L96" i="207"/>
  <c r="L96" i="206"/>
  <c r="J100" i="207"/>
  <c r="J100" i="206"/>
  <c r="O99" i="207"/>
  <c r="O99" i="206"/>
  <c r="F96" i="207"/>
  <c r="F96" i="206"/>
  <c r="G96" i="207"/>
  <c r="G96" i="206"/>
  <c r="K96" i="206"/>
  <c r="K96" i="207"/>
  <c r="O97" i="206"/>
  <c r="O97" i="207"/>
  <c r="J98" i="206"/>
  <c r="J98" i="207"/>
  <c r="L102" i="167"/>
  <c r="J97" i="165"/>
  <c r="P100" i="165"/>
  <c r="H103" i="167"/>
  <c r="J99" i="165"/>
  <c r="P98" i="165"/>
  <c r="G102" i="167"/>
  <c r="M95" i="165"/>
  <c r="G95" i="165"/>
  <c r="E96" i="165"/>
  <c r="E99" i="165"/>
  <c r="I103" i="167"/>
  <c r="I95" i="165"/>
  <c r="K95" i="165"/>
  <c r="F95" i="165"/>
  <c r="O96" i="165"/>
  <c r="L95" i="165"/>
  <c r="H95" i="165"/>
  <c r="N95" i="165"/>
  <c r="F141" i="188"/>
  <c r="C147" i="188"/>
  <c r="C146" i="188"/>
  <c r="D82" i="188"/>
  <c r="H95" i="207" l="1"/>
  <c r="H95" i="206"/>
  <c r="G95" i="207"/>
  <c r="G95" i="206"/>
  <c r="M95" i="207"/>
  <c r="M95" i="206"/>
  <c r="E96" i="207"/>
  <c r="E96" i="206"/>
  <c r="L95" i="207"/>
  <c r="L95" i="206"/>
  <c r="I95" i="207"/>
  <c r="I95" i="206"/>
  <c r="J99" i="207"/>
  <c r="J99" i="206"/>
  <c r="N95" i="207"/>
  <c r="N95" i="206"/>
  <c r="F95" i="206"/>
  <c r="F95" i="207"/>
  <c r="E99" i="207"/>
  <c r="E99" i="206"/>
  <c r="P100" i="207"/>
  <c r="P100" i="206"/>
  <c r="K95" i="206"/>
  <c r="K95" i="207"/>
  <c r="P98" i="206"/>
  <c r="P98" i="207"/>
  <c r="J97" i="206"/>
  <c r="J97" i="207"/>
  <c r="O96" i="206"/>
  <c r="O96" i="207"/>
  <c r="E95" i="165"/>
  <c r="G103" i="167"/>
  <c r="J96" i="165"/>
  <c r="P99" i="165"/>
  <c r="D57" i="188"/>
  <c r="D78" i="188"/>
  <c r="E141" i="188"/>
  <c r="O95" i="165"/>
  <c r="P97" i="165"/>
  <c r="E95" i="207" l="1"/>
  <c r="E95" i="206"/>
  <c r="P99" i="207"/>
  <c r="P99" i="206"/>
  <c r="P97" i="206"/>
  <c r="P97" i="207"/>
  <c r="O95" i="206"/>
  <c r="O95" i="207"/>
  <c r="J96" i="206"/>
  <c r="J96" i="207"/>
  <c r="E127" i="188"/>
  <c r="J95" i="165"/>
  <c r="P96" i="165"/>
  <c r="J95" i="206" l="1"/>
  <c r="J95" i="207"/>
  <c r="P96" i="206"/>
  <c r="P96" i="207"/>
  <c r="P95" i="165"/>
  <c r="P95" i="206" l="1"/>
  <c r="P95" i="207"/>
  <c r="D53" i="170"/>
  <c r="D55" i="170" s="1"/>
  <c r="D66" i="170" s="1"/>
  <c r="J170" i="167" l="1"/>
  <c r="O189" i="165"/>
  <c r="E189" i="165"/>
  <c r="N187" i="165"/>
  <c r="M187" i="165"/>
  <c r="L187" i="165"/>
  <c r="K187" i="165"/>
  <c r="I187" i="165"/>
  <c r="H187" i="165"/>
  <c r="G187" i="165"/>
  <c r="F187" i="165"/>
  <c r="N187" i="207" l="1"/>
  <c r="N187" i="206"/>
  <c r="G187" i="207"/>
  <c r="G187" i="206"/>
  <c r="L187" i="207"/>
  <c r="L187" i="206"/>
  <c r="I187" i="207"/>
  <c r="I187" i="206"/>
  <c r="F187" i="207"/>
  <c r="F187" i="206"/>
  <c r="K187" i="207"/>
  <c r="K187" i="206"/>
  <c r="H187" i="207"/>
  <c r="H187" i="206"/>
  <c r="M187" i="207"/>
  <c r="M187" i="206"/>
  <c r="J189" i="165"/>
  <c r="H170" i="167"/>
  <c r="N167" i="165"/>
  <c r="M167" i="165"/>
  <c r="L167" i="165"/>
  <c r="K167" i="165"/>
  <c r="I167" i="165"/>
  <c r="H167" i="165"/>
  <c r="G167" i="165"/>
  <c r="F167" i="165"/>
  <c r="M167" i="207" l="1"/>
  <c r="M167" i="206"/>
  <c r="I167" i="207"/>
  <c r="I167" i="206"/>
  <c r="K167" i="207"/>
  <c r="K167" i="206"/>
  <c r="H167" i="207"/>
  <c r="H167" i="206"/>
  <c r="N167" i="207"/>
  <c r="N167" i="206"/>
  <c r="F167" i="207"/>
  <c r="F167" i="206"/>
  <c r="G167" i="207"/>
  <c r="G167" i="206"/>
  <c r="L167" i="207"/>
  <c r="L167" i="206"/>
  <c r="I170" i="167"/>
  <c r="G170" i="167" s="1"/>
  <c r="P189" i="165"/>
  <c r="O179" i="165"/>
  <c r="E179" i="165"/>
  <c r="O176" i="165"/>
  <c r="E176" i="165"/>
  <c r="O172" i="165"/>
  <c r="E172" i="165"/>
  <c r="O168" i="165"/>
  <c r="E168" i="165"/>
  <c r="E179" i="207" l="1"/>
  <c r="E179" i="206"/>
  <c r="O179" i="207"/>
  <c r="O179" i="206"/>
  <c r="E168" i="207"/>
  <c r="E168" i="206"/>
  <c r="E176" i="207"/>
  <c r="E176" i="206"/>
  <c r="E172" i="207"/>
  <c r="E172" i="206"/>
  <c r="O172" i="207"/>
  <c r="O172" i="206"/>
  <c r="O168" i="207"/>
  <c r="O168" i="206"/>
  <c r="O176" i="207"/>
  <c r="O176" i="206"/>
  <c r="J172" i="165"/>
  <c r="J179" i="165"/>
  <c r="J176" i="165"/>
  <c r="E167" i="165"/>
  <c r="O167" i="165"/>
  <c r="J168" i="165"/>
  <c r="J126" i="167"/>
  <c r="J176" i="207" l="1"/>
  <c r="J176" i="206"/>
  <c r="J168" i="207"/>
  <c r="J168" i="206"/>
  <c r="J179" i="207"/>
  <c r="J179" i="206"/>
  <c r="E167" i="207"/>
  <c r="E167" i="206"/>
  <c r="O167" i="207"/>
  <c r="O167" i="206"/>
  <c r="J172" i="207"/>
  <c r="J172" i="206"/>
  <c r="P172" i="165"/>
  <c r="P179" i="165"/>
  <c r="P176" i="165"/>
  <c r="P168" i="165"/>
  <c r="J167" i="165"/>
  <c r="O134" i="165"/>
  <c r="E134" i="165"/>
  <c r="N133" i="165"/>
  <c r="M133" i="165"/>
  <c r="L133" i="165"/>
  <c r="K133" i="165"/>
  <c r="I133" i="165"/>
  <c r="H133" i="165"/>
  <c r="G133" i="165"/>
  <c r="F133" i="165"/>
  <c r="N133" i="207" l="1"/>
  <c r="N133" i="206"/>
  <c r="E134" i="207"/>
  <c r="E134" i="206"/>
  <c r="L133" i="207"/>
  <c r="L133" i="206"/>
  <c r="P179" i="207"/>
  <c r="P179" i="206"/>
  <c r="I133" i="207"/>
  <c r="I133" i="206"/>
  <c r="P168" i="207"/>
  <c r="P168" i="206"/>
  <c r="F133" i="207"/>
  <c r="F133" i="206"/>
  <c r="K133" i="207"/>
  <c r="K133" i="206"/>
  <c r="P176" i="207"/>
  <c r="P176" i="206"/>
  <c r="G133" i="207"/>
  <c r="G133" i="206"/>
  <c r="O134" i="207"/>
  <c r="O134" i="206"/>
  <c r="H133" i="207"/>
  <c r="H133" i="206"/>
  <c r="M133" i="207"/>
  <c r="M133" i="206"/>
  <c r="J167" i="207"/>
  <c r="J167" i="206"/>
  <c r="P172" i="207"/>
  <c r="P172" i="206"/>
  <c r="F130" i="165"/>
  <c r="K130" i="165"/>
  <c r="G130" i="165"/>
  <c r="I130" i="165"/>
  <c r="N130" i="165"/>
  <c r="L130" i="165"/>
  <c r="J134" i="165"/>
  <c r="H130" i="165"/>
  <c r="M130" i="165"/>
  <c r="P167" i="165"/>
  <c r="E133" i="165"/>
  <c r="H126" i="167"/>
  <c r="O133" i="165"/>
  <c r="L130" i="207" l="1"/>
  <c r="L130" i="206"/>
  <c r="M130" i="207"/>
  <c r="M130" i="206"/>
  <c r="F130" i="207"/>
  <c r="F130" i="206"/>
  <c r="H130" i="207"/>
  <c r="H130" i="206"/>
  <c r="P167" i="207"/>
  <c r="P167" i="206"/>
  <c r="K130" i="207"/>
  <c r="K130" i="206"/>
  <c r="O133" i="207"/>
  <c r="O133" i="206"/>
  <c r="N130" i="207"/>
  <c r="N130" i="206"/>
  <c r="I130" i="207"/>
  <c r="I130" i="206"/>
  <c r="E133" i="207"/>
  <c r="E133" i="206"/>
  <c r="J134" i="207"/>
  <c r="J134" i="206"/>
  <c r="G130" i="207"/>
  <c r="G130" i="206"/>
  <c r="P134" i="165"/>
  <c r="J133" i="165"/>
  <c r="I126" i="167"/>
  <c r="G126" i="167" s="1"/>
  <c r="O130" i="165"/>
  <c r="E130" i="165"/>
  <c r="J133" i="207" l="1"/>
  <c r="J133" i="206"/>
  <c r="O130" i="207"/>
  <c r="O130" i="206"/>
  <c r="E130" i="207"/>
  <c r="E130" i="206"/>
  <c r="P133" i="165"/>
  <c r="P134" i="207"/>
  <c r="P134" i="206"/>
  <c r="J130" i="165"/>
  <c r="P130" i="165"/>
  <c r="E129" i="165"/>
  <c r="J92" i="167"/>
  <c r="O82" i="165"/>
  <c r="E82" i="165"/>
  <c r="N80" i="165"/>
  <c r="M80" i="165"/>
  <c r="L80" i="165"/>
  <c r="I80" i="165"/>
  <c r="H80" i="165"/>
  <c r="G80" i="165"/>
  <c r="F80" i="165"/>
  <c r="C140" i="188"/>
  <c r="C131" i="188"/>
  <c r="C130" i="188"/>
  <c r="C129" i="188"/>
  <c r="C128" i="188"/>
  <c r="C132" i="188"/>
  <c r="F119" i="188"/>
  <c r="E119" i="188"/>
  <c r="C123" i="188"/>
  <c r="C121" i="188"/>
  <c r="H80" i="207" l="1"/>
  <c r="H80" i="206"/>
  <c r="N80" i="207"/>
  <c r="N80" i="206"/>
  <c r="I80" i="207"/>
  <c r="I80" i="206"/>
  <c r="P130" i="207"/>
  <c r="P130" i="206"/>
  <c r="P133" i="207"/>
  <c r="P133" i="206"/>
  <c r="F80" i="206"/>
  <c r="F80" i="207"/>
  <c r="L80" i="207"/>
  <c r="L80" i="206"/>
  <c r="O82" i="207"/>
  <c r="O82" i="206"/>
  <c r="J130" i="207"/>
  <c r="J130" i="206"/>
  <c r="E129" i="207"/>
  <c r="E129" i="206"/>
  <c r="E82" i="207"/>
  <c r="E82" i="206"/>
  <c r="G80" i="207"/>
  <c r="G80" i="206"/>
  <c r="M80" i="207"/>
  <c r="M80" i="206"/>
  <c r="E118" i="188"/>
  <c r="H92" i="167"/>
  <c r="J82" i="165"/>
  <c r="C142" i="188"/>
  <c r="C91" i="188"/>
  <c r="C20" i="188"/>
  <c r="C19" i="188"/>
  <c r="J82" i="207" l="1"/>
  <c r="J82" i="206"/>
  <c r="P82" i="165"/>
  <c r="I92" i="167"/>
  <c r="G92" i="167" s="1"/>
  <c r="C116" i="188"/>
  <c r="C135" i="188"/>
  <c r="F127" i="188"/>
  <c r="C141" i="188"/>
  <c r="F100" i="188"/>
  <c r="E100" i="188"/>
  <c r="C110" i="188"/>
  <c r="C120" i="188"/>
  <c r="C122" i="188"/>
  <c r="C124" i="188"/>
  <c r="C125" i="188"/>
  <c r="C126" i="188"/>
  <c r="C136" i="188"/>
  <c r="C138" i="188"/>
  <c r="C139" i="188"/>
  <c r="C143" i="188"/>
  <c r="C144" i="188"/>
  <c r="C145" i="188"/>
  <c r="C107" i="188"/>
  <c r="C95" i="188"/>
  <c r="C96" i="188"/>
  <c r="C97" i="188"/>
  <c r="C98" i="188"/>
  <c r="E94" i="188"/>
  <c r="D88" i="188"/>
  <c r="F88" i="188"/>
  <c r="E88" i="188"/>
  <c r="C78" i="188"/>
  <c r="D68" i="188"/>
  <c r="F15" i="188"/>
  <c r="C65" i="188"/>
  <c r="C64" i="188"/>
  <c r="C63" i="188"/>
  <c r="E62" i="188"/>
  <c r="C57" i="188"/>
  <c r="D54" i="188"/>
  <c r="C41" i="188"/>
  <c r="C56" i="188"/>
  <c r="C55" i="188"/>
  <c r="D30" i="188"/>
  <c r="D24" i="188"/>
  <c r="C25" i="188"/>
  <c r="P82" i="207" l="1"/>
  <c r="P82" i="206"/>
  <c r="F66" i="188"/>
  <c r="C24" i="188"/>
  <c r="D16" i="188"/>
  <c r="D40" i="188"/>
  <c r="F118" i="188"/>
  <c r="C101" i="188"/>
  <c r="C30" i="188"/>
  <c r="E93" i="188"/>
  <c r="C105" i="188"/>
  <c r="D67" i="188"/>
  <c r="D26" i="188"/>
  <c r="D100" i="188"/>
  <c r="C27" i="188"/>
  <c r="C109" i="188"/>
  <c r="C17" i="188"/>
  <c r="C94" i="188"/>
  <c r="C54" i="188"/>
  <c r="E66" i="188" l="1"/>
  <c r="F112" i="188"/>
  <c r="C67" i="188"/>
  <c r="C16" i="188"/>
  <c r="D99" i="188"/>
  <c r="C100" i="188"/>
  <c r="C26" i="188"/>
  <c r="J192" i="167"/>
  <c r="N213" i="165"/>
  <c r="M213" i="165"/>
  <c r="L213" i="165"/>
  <c r="K213" i="165"/>
  <c r="I213" i="165"/>
  <c r="H213" i="165"/>
  <c r="G213" i="165"/>
  <c r="F213" i="165"/>
  <c r="O214" i="165"/>
  <c r="J105" i="167"/>
  <c r="K75" i="165"/>
  <c r="O106" i="165"/>
  <c r="E106" i="165"/>
  <c r="N105" i="165"/>
  <c r="M105" i="165"/>
  <c r="L105" i="165"/>
  <c r="K105" i="165"/>
  <c r="I105" i="165"/>
  <c r="H105" i="165"/>
  <c r="G105" i="165"/>
  <c r="F105" i="165"/>
  <c r="K76" i="165"/>
  <c r="D46" i="170"/>
  <c r="D49" i="170" s="1"/>
  <c r="D137" i="188"/>
  <c r="K75" i="207" l="1"/>
  <c r="K75" i="206"/>
  <c r="L213" i="207"/>
  <c r="L213" i="206"/>
  <c r="H213" i="207"/>
  <c r="H213" i="206"/>
  <c r="M213" i="207"/>
  <c r="M213" i="206"/>
  <c r="F213" i="207"/>
  <c r="F213" i="206"/>
  <c r="K213" i="207"/>
  <c r="K213" i="206"/>
  <c r="G213" i="207"/>
  <c r="G213" i="206"/>
  <c r="K76" i="207"/>
  <c r="K76" i="206"/>
  <c r="O214" i="207"/>
  <c r="O214" i="206"/>
  <c r="I213" i="207"/>
  <c r="I213" i="206"/>
  <c r="N213" i="207"/>
  <c r="N213" i="206"/>
  <c r="D127" i="188"/>
  <c r="I212" i="165"/>
  <c r="N212" i="165"/>
  <c r="F212" i="165"/>
  <c r="K212" i="165"/>
  <c r="G212" i="165"/>
  <c r="L212" i="165"/>
  <c r="H212" i="165"/>
  <c r="M212" i="165"/>
  <c r="M104" i="165"/>
  <c r="N104" i="165"/>
  <c r="F104" i="165"/>
  <c r="H192" i="167"/>
  <c r="H105" i="167"/>
  <c r="I104" i="165"/>
  <c r="L104" i="165"/>
  <c r="E105" i="165"/>
  <c r="E213" i="165"/>
  <c r="C137" i="188"/>
  <c r="H104" i="165"/>
  <c r="G104" i="165"/>
  <c r="K104" i="165"/>
  <c r="J106" i="165"/>
  <c r="J214" i="165"/>
  <c r="O213" i="165"/>
  <c r="O105" i="165"/>
  <c r="I212" i="207" l="1"/>
  <c r="I212" i="206"/>
  <c r="M212" i="207"/>
  <c r="M212" i="206"/>
  <c r="J214" i="207"/>
  <c r="J214" i="206"/>
  <c r="H212" i="207"/>
  <c r="H212" i="206"/>
  <c r="F212" i="207"/>
  <c r="F212" i="206"/>
  <c r="E213" i="207"/>
  <c r="E213" i="206"/>
  <c r="G212" i="207"/>
  <c r="G212" i="206"/>
  <c r="O213" i="207"/>
  <c r="O213" i="206"/>
  <c r="K212" i="207"/>
  <c r="K212" i="206"/>
  <c r="L212" i="207"/>
  <c r="L212" i="206"/>
  <c r="N212" i="207"/>
  <c r="N212" i="206"/>
  <c r="D118" i="188"/>
  <c r="E104" i="165"/>
  <c r="P106" i="165"/>
  <c r="C127" i="188"/>
  <c r="J105" i="165"/>
  <c r="E97" i="170"/>
  <c r="I105" i="167"/>
  <c r="G105" i="167" s="1"/>
  <c r="O104" i="165"/>
  <c r="J213" i="165"/>
  <c r="I192" i="167"/>
  <c r="G192" i="167" s="1"/>
  <c r="P214" i="165"/>
  <c r="J213" i="207" l="1"/>
  <c r="J213" i="206"/>
  <c r="P214" i="207"/>
  <c r="P214" i="206"/>
  <c r="D112" i="188"/>
  <c r="P105" i="165"/>
  <c r="P104" i="165" s="1"/>
  <c r="P213" i="165"/>
  <c r="J104" i="165"/>
  <c r="P213" i="207" l="1"/>
  <c r="P213" i="206"/>
  <c r="C106" i="188"/>
  <c r="E104" i="188"/>
  <c r="C103" i="188"/>
  <c r="C102" i="188"/>
  <c r="D93" i="188"/>
  <c r="C92" i="188"/>
  <c r="C90" i="188"/>
  <c r="C89" i="188"/>
  <c r="C88" i="188"/>
  <c r="C86" i="188"/>
  <c r="C85" i="188"/>
  <c r="D84" i="188"/>
  <c r="C83" i="188"/>
  <c r="C82" i="188"/>
  <c r="C81" i="188"/>
  <c r="C80" i="188"/>
  <c r="C79" i="188"/>
  <c r="C74" i="188"/>
  <c r="C73" i="188"/>
  <c r="C72" i="188"/>
  <c r="C70" i="188"/>
  <c r="C69" i="188"/>
  <c r="C68" i="188"/>
  <c r="D62" i="188"/>
  <c r="C61" i="188"/>
  <c r="C60" i="188"/>
  <c r="C59" i="188"/>
  <c r="C58" i="188"/>
  <c r="C51" i="188"/>
  <c r="C50" i="188"/>
  <c r="C49" i="188"/>
  <c r="C48" i="188"/>
  <c r="C47" i="188"/>
  <c r="C46" i="188"/>
  <c r="C45" i="188"/>
  <c r="C44" i="188"/>
  <c r="C43" i="188"/>
  <c r="C42" i="188"/>
  <c r="C38" i="188"/>
  <c r="C36" i="188"/>
  <c r="D35" i="188"/>
  <c r="C34" i="188"/>
  <c r="D33" i="188"/>
  <c r="C31" i="188"/>
  <c r="C29" i="188"/>
  <c r="C21" i="188"/>
  <c r="E99" i="188" l="1"/>
  <c r="C99" i="188" s="1"/>
  <c r="C37" i="188"/>
  <c r="D32" i="188"/>
  <c r="C93" i="188"/>
  <c r="D77" i="188"/>
  <c r="C35" i="188"/>
  <c r="E15" i="188"/>
  <c r="C62" i="188"/>
  <c r="F104" i="188"/>
  <c r="C33" i="188"/>
  <c r="C84" i="188"/>
  <c r="C119" i="188"/>
  <c r="C104" i="188"/>
  <c r="F99" i="188" l="1"/>
  <c r="D66" i="188"/>
  <c r="E112" i="188"/>
  <c r="C112" i="188" s="1"/>
  <c r="D15" i="188"/>
  <c r="C15" i="188" s="1"/>
  <c r="C32" i="188"/>
  <c r="E111" i="188"/>
  <c r="C77" i="188"/>
  <c r="C118" i="188"/>
  <c r="C40" i="188"/>
  <c r="E150" i="188" l="1"/>
  <c r="F111" i="188"/>
  <c r="D111" i="188"/>
  <c r="D150" i="188" s="1"/>
  <c r="C66" i="188"/>
  <c r="F150" i="188" l="1"/>
  <c r="C150" i="188"/>
  <c r="C111" i="188"/>
  <c r="C44" i="172"/>
  <c r="C43" i="172" s="1"/>
  <c r="F43" i="172"/>
  <c r="E43" i="172"/>
  <c r="D43" i="172"/>
  <c r="D42" i="172" s="1"/>
  <c r="C19" i="172"/>
  <c r="C18" i="172"/>
  <c r="F17" i="172"/>
  <c r="E17" i="172"/>
  <c r="E16" i="172" s="1"/>
  <c r="D17" i="172"/>
  <c r="G51" i="167"/>
  <c r="N158" i="165"/>
  <c r="M158" i="165"/>
  <c r="L158" i="165"/>
  <c r="I158" i="165"/>
  <c r="H158" i="165"/>
  <c r="G158" i="165"/>
  <c r="F158" i="165"/>
  <c r="J88" i="167"/>
  <c r="I88" i="167"/>
  <c r="J87" i="167"/>
  <c r="N74" i="165"/>
  <c r="M74" i="165"/>
  <c r="L74" i="165"/>
  <c r="K74" i="165"/>
  <c r="I74" i="165"/>
  <c r="H74" i="165"/>
  <c r="G74" i="165"/>
  <c r="F74" i="165"/>
  <c r="O76" i="165"/>
  <c r="E76" i="165"/>
  <c r="O76" i="207" l="1"/>
  <c r="O76" i="206"/>
  <c r="I74" i="207"/>
  <c r="I74" i="206"/>
  <c r="N74" i="207"/>
  <c r="N74" i="206"/>
  <c r="L158" i="207"/>
  <c r="L158" i="206"/>
  <c r="F74" i="207"/>
  <c r="F74" i="206"/>
  <c r="K74" i="207"/>
  <c r="K74" i="206"/>
  <c r="G158" i="207"/>
  <c r="G158" i="206"/>
  <c r="M158" i="207"/>
  <c r="M158" i="206"/>
  <c r="G74" i="207"/>
  <c r="G74" i="206"/>
  <c r="L74" i="207"/>
  <c r="L74" i="206"/>
  <c r="H158" i="207"/>
  <c r="H158" i="206"/>
  <c r="N158" i="207"/>
  <c r="N158" i="206"/>
  <c r="E76" i="207"/>
  <c r="E76" i="206"/>
  <c r="H74" i="207"/>
  <c r="H74" i="206"/>
  <c r="M74" i="207"/>
  <c r="M74" i="206"/>
  <c r="I158" i="207"/>
  <c r="I158" i="206"/>
  <c r="F158" i="207"/>
  <c r="F158" i="206"/>
  <c r="K158" i="165"/>
  <c r="H87" i="167"/>
  <c r="J76" i="165"/>
  <c r="F421" i="165"/>
  <c r="J316" i="167"/>
  <c r="J317" i="167"/>
  <c r="N360" i="165"/>
  <c r="M360" i="165"/>
  <c r="L360" i="165"/>
  <c r="K360" i="165"/>
  <c r="I360" i="165"/>
  <c r="H360" i="165"/>
  <c r="G360" i="165"/>
  <c r="F360" i="165"/>
  <c r="O361" i="165"/>
  <c r="E361" i="165"/>
  <c r="G328" i="167"/>
  <c r="F360" i="207" l="1"/>
  <c r="F360" i="206"/>
  <c r="K360" i="207"/>
  <c r="K360" i="206"/>
  <c r="G360" i="207"/>
  <c r="G360" i="206"/>
  <c r="L360" i="207"/>
  <c r="L360" i="206"/>
  <c r="K158" i="207"/>
  <c r="K158" i="206"/>
  <c r="E361" i="207"/>
  <c r="E361" i="206"/>
  <c r="H360" i="207"/>
  <c r="H360" i="206"/>
  <c r="M360" i="207"/>
  <c r="M360" i="206"/>
  <c r="O361" i="207"/>
  <c r="O361" i="206"/>
  <c r="I360" i="207"/>
  <c r="I360" i="206"/>
  <c r="N360" i="207"/>
  <c r="N360" i="206"/>
  <c r="J76" i="206"/>
  <c r="J76" i="207"/>
  <c r="F421" i="207"/>
  <c r="F421" i="206"/>
  <c r="J313" i="167"/>
  <c r="F419" i="165"/>
  <c r="O360" i="165"/>
  <c r="H316" i="167"/>
  <c r="J361" i="165"/>
  <c r="E360" i="165"/>
  <c r="E158" i="165"/>
  <c r="I87" i="167"/>
  <c r="G87" i="167" s="1"/>
  <c r="P76" i="165"/>
  <c r="O158" i="165"/>
  <c r="F378" i="165"/>
  <c r="N378" i="165"/>
  <c r="M378" i="165"/>
  <c r="L378" i="165"/>
  <c r="K378" i="165"/>
  <c r="I378" i="165"/>
  <c r="H378" i="165"/>
  <c r="G378" i="165"/>
  <c r="O379" i="165"/>
  <c r="E379" i="165"/>
  <c r="G378" i="207" l="1"/>
  <c r="G378" i="206"/>
  <c r="L378" i="207"/>
  <c r="L378" i="206"/>
  <c r="O158" i="207"/>
  <c r="O158" i="206"/>
  <c r="E360" i="207"/>
  <c r="E360" i="206"/>
  <c r="H378" i="207"/>
  <c r="H378" i="206"/>
  <c r="M378" i="207"/>
  <c r="M378" i="206"/>
  <c r="P76" i="207"/>
  <c r="P76" i="206"/>
  <c r="J361" i="207"/>
  <c r="J361" i="206"/>
  <c r="K328" i="167"/>
  <c r="E379" i="207"/>
  <c r="E379" i="206"/>
  <c r="I378" i="207"/>
  <c r="I378" i="206"/>
  <c r="N378" i="207"/>
  <c r="N378" i="206"/>
  <c r="F378" i="207"/>
  <c r="F378" i="206"/>
  <c r="O360" i="207"/>
  <c r="O360" i="206"/>
  <c r="O379" i="207"/>
  <c r="O379" i="206"/>
  <c r="K378" i="207"/>
  <c r="K378" i="206"/>
  <c r="E158" i="206"/>
  <c r="E158" i="207"/>
  <c r="F419" i="207"/>
  <c r="F419" i="206"/>
  <c r="P158" i="165"/>
  <c r="J158" i="165"/>
  <c r="P361" i="165"/>
  <c r="G152" i="167"/>
  <c r="J379" i="165"/>
  <c r="O378" i="165"/>
  <c r="E378" i="165"/>
  <c r="J360" i="165"/>
  <c r="I316" i="167"/>
  <c r="J360" i="207" l="1"/>
  <c r="J360" i="206"/>
  <c r="E378" i="207"/>
  <c r="E378" i="206"/>
  <c r="P361" i="207"/>
  <c r="P361" i="206"/>
  <c r="J158" i="207"/>
  <c r="J158" i="206"/>
  <c r="O378" i="207"/>
  <c r="O378" i="206"/>
  <c r="L328" i="167"/>
  <c r="J379" i="207"/>
  <c r="J379" i="206"/>
  <c r="P158" i="206"/>
  <c r="P158" i="207"/>
  <c r="G316" i="167"/>
  <c r="P360" i="165"/>
  <c r="P379" i="165"/>
  <c r="J378" i="165"/>
  <c r="P360" i="207" l="1"/>
  <c r="P360" i="206"/>
  <c r="P379" i="207"/>
  <c r="P379" i="206"/>
  <c r="J378" i="207"/>
  <c r="J378" i="206"/>
  <c r="P378" i="165"/>
  <c r="J61" i="167"/>
  <c r="I61" i="167"/>
  <c r="E81" i="165"/>
  <c r="E80" i="165"/>
  <c r="J86" i="167"/>
  <c r="O75" i="165"/>
  <c r="E75" i="165"/>
  <c r="J69" i="167"/>
  <c r="K51" i="165"/>
  <c r="I51" i="165"/>
  <c r="O54" i="165"/>
  <c r="E54" i="165"/>
  <c r="E54" i="207" l="1"/>
  <c r="E54" i="206"/>
  <c r="E80" i="207"/>
  <c r="E80" i="206"/>
  <c r="O54" i="207"/>
  <c r="O54" i="206"/>
  <c r="E81" i="206"/>
  <c r="E81" i="207"/>
  <c r="E75" i="206"/>
  <c r="E75" i="207"/>
  <c r="I51" i="207"/>
  <c r="I51" i="206"/>
  <c r="O75" i="207"/>
  <c r="O75" i="206"/>
  <c r="P378" i="207"/>
  <c r="P378" i="206"/>
  <c r="K51" i="206"/>
  <c r="K51" i="207"/>
  <c r="J60" i="167"/>
  <c r="M60" i="167" s="1"/>
  <c r="K80" i="165"/>
  <c r="J91" i="167"/>
  <c r="G51" i="165"/>
  <c r="H69" i="167"/>
  <c r="H51" i="165"/>
  <c r="O81" i="165"/>
  <c r="H91" i="167"/>
  <c r="J75" i="165"/>
  <c r="O74" i="165"/>
  <c r="E74" i="165"/>
  <c r="H86" i="167"/>
  <c r="J54" i="165"/>
  <c r="O74" i="207" l="1"/>
  <c r="O74" i="206"/>
  <c r="H51" i="207"/>
  <c r="H51" i="206"/>
  <c r="K80" i="207"/>
  <c r="K80" i="206"/>
  <c r="J54" i="207"/>
  <c r="J54" i="206"/>
  <c r="J75" i="207"/>
  <c r="J75" i="206"/>
  <c r="G51" i="207"/>
  <c r="G51" i="206"/>
  <c r="E74" i="207"/>
  <c r="E74" i="206"/>
  <c r="O81" i="207"/>
  <c r="O81" i="206"/>
  <c r="O80" i="165"/>
  <c r="P54" i="165"/>
  <c r="P75" i="165"/>
  <c r="J81" i="165"/>
  <c r="I86" i="167"/>
  <c r="G86" i="167" s="1"/>
  <c r="J74" i="165"/>
  <c r="I69" i="167"/>
  <c r="G69" i="167" s="1"/>
  <c r="J81" i="207" l="1"/>
  <c r="J81" i="206"/>
  <c r="P75" i="207"/>
  <c r="P75" i="206"/>
  <c r="J74" i="207"/>
  <c r="J74" i="206"/>
  <c r="P54" i="207"/>
  <c r="P54" i="206"/>
  <c r="O80" i="207"/>
  <c r="O80" i="206"/>
  <c r="P81" i="165"/>
  <c r="J80" i="165"/>
  <c r="I91" i="167"/>
  <c r="G91" i="167" s="1"/>
  <c r="P74" i="165"/>
  <c r="J303" i="167"/>
  <c r="E341" i="165"/>
  <c r="J80" i="207" l="1"/>
  <c r="J80" i="206"/>
  <c r="P81" i="207"/>
  <c r="P81" i="206"/>
  <c r="P74" i="207"/>
  <c r="P74" i="206"/>
  <c r="E340" i="165"/>
  <c r="P80" i="165"/>
  <c r="H339" i="165"/>
  <c r="N339" i="165"/>
  <c r="I339" i="165"/>
  <c r="G339" i="165"/>
  <c r="M339" i="165"/>
  <c r="L339" i="165"/>
  <c r="H303" i="167"/>
  <c r="F339" i="165"/>
  <c r="K339" i="165"/>
  <c r="P80" i="207" l="1"/>
  <c r="P80" i="206"/>
  <c r="O339" i="165"/>
  <c r="E339" i="165"/>
  <c r="I303" i="167"/>
  <c r="G303" i="167" s="1"/>
  <c r="P341" i="165"/>
  <c r="P340" i="165" l="1"/>
  <c r="J339" i="165"/>
  <c r="P339" i="165" l="1"/>
  <c r="H355" i="167"/>
  <c r="G355" i="167" s="1"/>
  <c r="J85" i="167" l="1"/>
  <c r="O73" i="165"/>
  <c r="E73" i="165"/>
  <c r="N71" i="165"/>
  <c r="M71" i="165"/>
  <c r="L71" i="165"/>
  <c r="K71" i="165"/>
  <c r="I71" i="165"/>
  <c r="H71" i="165"/>
  <c r="G71" i="165"/>
  <c r="J31" i="167"/>
  <c r="M31" i="167" s="1"/>
  <c r="J28" i="165"/>
  <c r="E28" i="165"/>
  <c r="N26" i="165"/>
  <c r="M26" i="165"/>
  <c r="L26" i="165"/>
  <c r="K26" i="165"/>
  <c r="I26" i="165"/>
  <c r="H26" i="165"/>
  <c r="G26" i="165"/>
  <c r="F26" i="165"/>
  <c r="J28" i="207" l="1"/>
  <c r="J28" i="206"/>
  <c r="K71" i="207"/>
  <c r="K71" i="206"/>
  <c r="E73" i="207"/>
  <c r="E73" i="206"/>
  <c r="K26" i="207"/>
  <c r="K26" i="206"/>
  <c r="G26" i="207"/>
  <c r="G26" i="206"/>
  <c r="L26" i="207"/>
  <c r="L26" i="206"/>
  <c r="I71" i="207"/>
  <c r="I71" i="206"/>
  <c r="N71" i="207"/>
  <c r="N71" i="206"/>
  <c r="H26" i="207"/>
  <c r="H26" i="206"/>
  <c r="M26" i="207"/>
  <c r="M26" i="206"/>
  <c r="I26" i="207"/>
  <c r="I26" i="206"/>
  <c r="N26" i="207"/>
  <c r="N26" i="206"/>
  <c r="G71" i="207"/>
  <c r="G71" i="206"/>
  <c r="L71" i="207"/>
  <c r="L71" i="206"/>
  <c r="O73" i="207"/>
  <c r="O73" i="206"/>
  <c r="E28" i="207"/>
  <c r="E28" i="206"/>
  <c r="H71" i="207"/>
  <c r="H71" i="206"/>
  <c r="M71" i="207"/>
  <c r="M71" i="206"/>
  <c r="F26" i="207"/>
  <c r="F26" i="206"/>
  <c r="I31" i="167"/>
  <c r="L31" i="167" s="1"/>
  <c r="H85" i="167"/>
  <c r="J73" i="165"/>
  <c r="P28" i="165"/>
  <c r="H31" i="167"/>
  <c r="P28" i="207" l="1"/>
  <c r="P28" i="206"/>
  <c r="J73" i="207"/>
  <c r="J73" i="206"/>
  <c r="P73" i="165"/>
  <c r="I85" i="167"/>
  <c r="G85" i="167" s="1"/>
  <c r="K31" i="167"/>
  <c r="G31" i="167"/>
  <c r="P73" i="207" l="1"/>
  <c r="P73" i="206"/>
  <c r="D56" i="172"/>
  <c r="E57" i="172"/>
  <c r="E56" i="172" s="1"/>
  <c r="F56" i="172" s="1"/>
  <c r="E28" i="172"/>
  <c r="E27" i="172" s="1"/>
  <c r="D27" i="172"/>
  <c r="C55" i="172"/>
  <c r="C26" i="172"/>
  <c r="F38" i="172"/>
  <c r="E38" i="172"/>
  <c r="D38" i="172"/>
  <c r="D37" i="172" s="1"/>
  <c r="D31" i="172"/>
  <c r="D30" i="172" s="1"/>
  <c r="F16" i="172"/>
  <c r="D36" i="172" l="1"/>
  <c r="F57" i="172"/>
  <c r="C28" i="172"/>
  <c r="F28" i="172"/>
  <c r="F27" i="172" s="1"/>
  <c r="C56" i="172"/>
  <c r="C57" i="172"/>
  <c r="C27" i="172"/>
  <c r="C17" i="172"/>
  <c r="D16" i="172"/>
  <c r="C16" i="172" l="1"/>
  <c r="C39" i="172" l="1"/>
  <c r="C38" i="172" s="1"/>
  <c r="C41" i="172"/>
  <c r="F31" i="172"/>
  <c r="F30" i="172" s="1"/>
  <c r="E31" i="172"/>
  <c r="E30" i="172" s="1"/>
  <c r="I45" i="184" l="1"/>
  <c r="I41" i="184"/>
  <c r="H36" i="184" l="1"/>
  <c r="H121" i="184" s="1"/>
  <c r="L121" i="184" s="1"/>
  <c r="I36" i="184"/>
  <c r="J12" i="184"/>
  <c r="J11" i="184" s="1"/>
  <c r="J41" i="184"/>
  <c r="J36" i="184"/>
  <c r="J45" i="184" l="1"/>
  <c r="J100" i="184"/>
  <c r="J54" i="184"/>
  <c r="F40" i="172"/>
  <c r="F37" i="172" s="1"/>
  <c r="E40" i="172"/>
  <c r="E37" i="172" s="1"/>
  <c r="C45" i="172"/>
  <c r="C42" i="172" s="1"/>
  <c r="C33" i="172"/>
  <c r="C32" i="172"/>
  <c r="J121" i="184" l="1"/>
  <c r="N121" i="184" s="1"/>
  <c r="C31" i="172"/>
  <c r="C30" i="172" s="1"/>
  <c r="C40" i="172"/>
  <c r="C37" i="172" s="1"/>
  <c r="N302" i="165"/>
  <c r="M302" i="165"/>
  <c r="L302" i="165"/>
  <c r="I302" i="165"/>
  <c r="H302" i="165"/>
  <c r="G302" i="165"/>
  <c r="H302" i="207" l="1"/>
  <c r="H302" i="206"/>
  <c r="N302" i="207"/>
  <c r="N302" i="206"/>
  <c r="I302" i="207"/>
  <c r="I302" i="206"/>
  <c r="L302" i="207"/>
  <c r="L302" i="206"/>
  <c r="G302" i="207"/>
  <c r="G302" i="206"/>
  <c r="M302" i="207"/>
  <c r="M302" i="206"/>
  <c r="G160" i="184"/>
  <c r="G134" i="197"/>
  <c r="G143" i="108"/>
  <c r="C36" i="172"/>
  <c r="H301" i="165"/>
  <c r="L301" i="165"/>
  <c r="I301" i="165"/>
  <c r="M301" i="165"/>
  <c r="G301" i="165"/>
  <c r="N301" i="165"/>
  <c r="H301" i="207" l="1"/>
  <c r="H301" i="206"/>
  <c r="M301" i="207"/>
  <c r="M301" i="206"/>
  <c r="N301" i="207"/>
  <c r="N301" i="206"/>
  <c r="G301" i="207"/>
  <c r="G301" i="206"/>
  <c r="I301" i="207"/>
  <c r="I301" i="206"/>
  <c r="L301" i="207"/>
  <c r="L301" i="206"/>
  <c r="J90" i="167"/>
  <c r="O79" i="165"/>
  <c r="O79" i="207" l="1"/>
  <c r="O79" i="206"/>
  <c r="E79" i="165"/>
  <c r="J79" i="165"/>
  <c r="E138" i="165"/>
  <c r="O138" i="165"/>
  <c r="J138" i="165" s="1"/>
  <c r="J79" i="207" l="1"/>
  <c r="J79" i="206"/>
  <c r="E79" i="207"/>
  <c r="E79" i="206"/>
  <c r="H90" i="167"/>
  <c r="I90" i="167"/>
  <c r="K302" i="165"/>
  <c r="P79" i="165"/>
  <c r="P138" i="165"/>
  <c r="K302" i="207" l="1"/>
  <c r="K302" i="206"/>
  <c r="P79" i="207"/>
  <c r="P79" i="206"/>
  <c r="G90" i="167"/>
  <c r="K301" i="165"/>
  <c r="K301" i="207" l="1"/>
  <c r="K301" i="206"/>
  <c r="G337" i="167"/>
  <c r="G56" i="167" l="1"/>
  <c r="G49" i="167" l="1"/>
  <c r="G48" i="167"/>
  <c r="G47" i="167"/>
  <c r="G46" i="167"/>
  <c r="E46" i="165"/>
  <c r="G336" i="167"/>
  <c r="K45" i="167" l="1"/>
  <c r="E46" i="207"/>
  <c r="E46" i="206"/>
  <c r="E79" i="170"/>
  <c r="O46" i="165"/>
  <c r="O46" i="207" l="1"/>
  <c r="O46" i="206"/>
  <c r="J46" i="165"/>
  <c r="L45" i="167" l="1"/>
  <c r="J46" i="207"/>
  <c r="J46" i="206"/>
  <c r="E93" i="170"/>
  <c r="P46" i="165"/>
  <c r="N58" i="165"/>
  <c r="M58" i="165"/>
  <c r="L58" i="165"/>
  <c r="I58" i="165"/>
  <c r="H58" i="165"/>
  <c r="G58" i="165"/>
  <c r="F58" i="165"/>
  <c r="E59" i="165"/>
  <c r="O267" i="165"/>
  <c r="E267" i="165"/>
  <c r="F58" i="207" l="1"/>
  <c r="F58" i="206"/>
  <c r="L58" i="207"/>
  <c r="L58" i="206"/>
  <c r="G58" i="207"/>
  <c r="G58" i="206"/>
  <c r="M58" i="207"/>
  <c r="M58" i="206"/>
  <c r="H228" i="167"/>
  <c r="E267" i="207"/>
  <c r="E267" i="206"/>
  <c r="O267" i="207"/>
  <c r="O267" i="206"/>
  <c r="H58" i="207"/>
  <c r="H58" i="206"/>
  <c r="N58" i="207"/>
  <c r="N58" i="206"/>
  <c r="E59" i="207"/>
  <c r="E59" i="206"/>
  <c r="I58" i="207"/>
  <c r="I58" i="206"/>
  <c r="P46" i="207"/>
  <c r="P46" i="206"/>
  <c r="K58" i="165"/>
  <c r="E58" i="165"/>
  <c r="O59" i="165"/>
  <c r="H72" i="167"/>
  <c r="J267" i="165"/>
  <c r="J72" i="167"/>
  <c r="E58" i="207" l="1"/>
  <c r="E58" i="206"/>
  <c r="K58" i="207"/>
  <c r="K58" i="206"/>
  <c r="O59" i="207"/>
  <c r="O59" i="206"/>
  <c r="I228" i="167"/>
  <c r="G228" i="167" s="1"/>
  <c r="J267" i="207"/>
  <c r="J267" i="206"/>
  <c r="J59" i="165"/>
  <c r="O58" i="165"/>
  <c r="P267" i="165"/>
  <c r="P267" i="207" l="1"/>
  <c r="P267" i="206"/>
  <c r="J59" i="207"/>
  <c r="J59" i="206"/>
  <c r="O58" i="207"/>
  <c r="O58" i="206"/>
  <c r="J58" i="165"/>
  <c r="P59" i="165"/>
  <c r="I72" i="167"/>
  <c r="G72" i="167" s="1"/>
  <c r="P59" i="207" l="1"/>
  <c r="P59" i="206"/>
  <c r="J58" i="207"/>
  <c r="J58" i="206"/>
  <c r="P58" i="165"/>
  <c r="J292" i="167"/>
  <c r="J289" i="167"/>
  <c r="P58" i="207" l="1"/>
  <c r="P58" i="206"/>
  <c r="N321" i="165"/>
  <c r="M321" i="165"/>
  <c r="L321" i="165"/>
  <c r="K321" i="165"/>
  <c r="I321" i="165"/>
  <c r="G321" i="165"/>
  <c r="O324" i="165"/>
  <c r="E324" i="165"/>
  <c r="O332" i="165"/>
  <c r="E332" i="165"/>
  <c r="E332" i="207" l="1"/>
  <c r="E332" i="206"/>
  <c r="G321" i="207"/>
  <c r="G321" i="206"/>
  <c r="M321" i="207"/>
  <c r="M321" i="206"/>
  <c r="O332" i="207"/>
  <c r="O332" i="206"/>
  <c r="I321" i="207"/>
  <c r="I321" i="206"/>
  <c r="N321" i="207"/>
  <c r="N321" i="206"/>
  <c r="E324" i="207"/>
  <c r="E324" i="206"/>
  <c r="K321" i="207"/>
  <c r="K321" i="206"/>
  <c r="O324" i="207"/>
  <c r="O324" i="206"/>
  <c r="L321" i="207"/>
  <c r="L321" i="206"/>
  <c r="J332" i="165"/>
  <c r="H289" i="167"/>
  <c r="J324" i="165"/>
  <c r="H292" i="167"/>
  <c r="N192" i="165"/>
  <c r="M192" i="165"/>
  <c r="L192" i="165"/>
  <c r="I192" i="165"/>
  <c r="H192" i="165"/>
  <c r="G192" i="165"/>
  <c r="F192" i="165"/>
  <c r="G135" i="167"/>
  <c r="H192" i="207" l="1"/>
  <c r="H192" i="206"/>
  <c r="I192" i="207"/>
  <c r="I192" i="206"/>
  <c r="L192" i="207"/>
  <c r="L192" i="206"/>
  <c r="J324" i="207"/>
  <c r="J324" i="206"/>
  <c r="F192" i="207"/>
  <c r="F192" i="206"/>
  <c r="G192" i="207"/>
  <c r="G192" i="206"/>
  <c r="M192" i="207"/>
  <c r="M192" i="206"/>
  <c r="N192" i="207"/>
  <c r="N192" i="206"/>
  <c r="J332" i="207"/>
  <c r="J332" i="206"/>
  <c r="P332" i="165"/>
  <c r="K192" i="165"/>
  <c r="H191" i="165"/>
  <c r="M191" i="165"/>
  <c r="I191" i="165"/>
  <c r="N191" i="165"/>
  <c r="P324" i="165"/>
  <c r="I289" i="167"/>
  <c r="F191" i="165"/>
  <c r="O193" i="165"/>
  <c r="J171" i="167"/>
  <c r="G191" i="165"/>
  <c r="L191" i="165"/>
  <c r="I292" i="167"/>
  <c r="G292" i="167" s="1"/>
  <c r="M191" i="207" l="1"/>
  <c r="M191" i="206"/>
  <c r="P324" i="207"/>
  <c r="P324" i="206"/>
  <c r="H191" i="207"/>
  <c r="H191" i="206"/>
  <c r="N191" i="207"/>
  <c r="N191" i="206"/>
  <c r="G191" i="207"/>
  <c r="G191" i="206"/>
  <c r="L191" i="207"/>
  <c r="L191" i="206"/>
  <c r="F191" i="207"/>
  <c r="F191" i="206"/>
  <c r="I191" i="207"/>
  <c r="I191" i="206"/>
  <c r="P332" i="207"/>
  <c r="P332" i="206"/>
  <c r="O193" i="207"/>
  <c r="O193" i="206"/>
  <c r="K192" i="207"/>
  <c r="K192" i="206"/>
  <c r="K191" i="165"/>
  <c r="J193" i="165"/>
  <c r="G289" i="167"/>
  <c r="O192" i="165"/>
  <c r="O192" i="207" l="1"/>
  <c r="O192" i="206"/>
  <c r="J193" i="206"/>
  <c r="J193" i="207"/>
  <c r="K191" i="207"/>
  <c r="K191" i="206"/>
  <c r="J192" i="165"/>
  <c r="I171" i="167"/>
  <c r="O191" i="165"/>
  <c r="J145" i="167"/>
  <c r="O153" i="165"/>
  <c r="E153" i="165"/>
  <c r="J137" i="167"/>
  <c r="J138" i="167"/>
  <c r="N141" i="165"/>
  <c r="M141" i="165"/>
  <c r="L141" i="165"/>
  <c r="I141" i="165"/>
  <c r="G141" i="165"/>
  <c r="J144" i="165"/>
  <c r="E144" i="165"/>
  <c r="E144" i="207" l="1"/>
  <c r="E144" i="206"/>
  <c r="J144" i="207"/>
  <c r="J144" i="206"/>
  <c r="M141" i="207"/>
  <c r="M141" i="206"/>
  <c r="E153" i="207"/>
  <c r="E153" i="206"/>
  <c r="N141" i="207"/>
  <c r="N141" i="206"/>
  <c r="O153" i="207"/>
  <c r="O153" i="206"/>
  <c r="G141" i="207"/>
  <c r="G141" i="206"/>
  <c r="I141" i="207"/>
  <c r="I141" i="206"/>
  <c r="L141" i="206"/>
  <c r="L141" i="207"/>
  <c r="J192" i="206"/>
  <c r="J192" i="207"/>
  <c r="O191" i="207"/>
  <c r="O191" i="206"/>
  <c r="J191" i="165"/>
  <c r="I138" i="167"/>
  <c r="H145" i="167"/>
  <c r="J153" i="165"/>
  <c r="K141" i="165"/>
  <c r="P144" i="165"/>
  <c r="H138" i="167"/>
  <c r="K141" i="207" l="1"/>
  <c r="K141" i="206"/>
  <c r="P144" i="207"/>
  <c r="P144" i="206"/>
  <c r="J153" i="207"/>
  <c r="J153" i="206"/>
  <c r="J191" i="206"/>
  <c r="J191" i="207"/>
  <c r="I145" i="167"/>
  <c r="G145" i="167" s="1"/>
  <c r="G138" i="167"/>
  <c r="P153" i="165"/>
  <c r="F315" i="165"/>
  <c r="G315" i="165"/>
  <c r="H315" i="165"/>
  <c r="O275" i="165"/>
  <c r="E275" i="165"/>
  <c r="E275" i="207" l="1"/>
  <c r="E275" i="206"/>
  <c r="P153" i="207"/>
  <c r="P153" i="206"/>
  <c r="O275" i="207"/>
  <c r="O275" i="206"/>
  <c r="H239" i="167"/>
  <c r="F302" i="165"/>
  <c r="O302" i="165"/>
  <c r="J275" i="165"/>
  <c r="F302" i="207" l="1"/>
  <c r="F302" i="206"/>
  <c r="O302" i="207"/>
  <c r="O302" i="206"/>
  <c r="J275" i="207"/>
  <c r="J275" i="206"/>
  <c r="I239" i="167"/>
  <c r="G239" i="167" s="1"/>
  <c r="P275" i="165"/>
  <c r="F301" i="165"/>
  <c r="O301" i="165"/>
  <c r="O301" i="207" l="1"/>
  <c r="O301" i="206"/>
  <c r="F301" i="207"/>
  <c r="F301" i="206"/>
  <c r="P275" i="207"/>
  <c r="P275" i="206"/>
  <c r="F141" i="165"/>
  <c r="F141" i="207" l="1"/>
  <c r="F141" i="206"/>
  <c r="J194" i="167"/>
  <c r="O216" i="165" l="1"/>
  <c r="E216" i="165"/>
  <c r="L211" i="165"/>
  <c r="G181" i="167"/>
  <c r="L211" i="207" l="1"/>
  <c r="L211" i="206"/>
  <c r="E212" i="165"/>
  <c r="O212" i="165"/>
  <c r="M211" i="165"/>
  <c r="K211" i="165"/>
  <c r="I211" i="165"/>
  <c r="N211" i="165"/>
  <c r="F211" i="165"/>
  <c r="H194" i="167"/>
  <c r="G211" i="165"/>
  <c r="H211" i="165"/>
  <c r="J216" i="165"/>
  <c r="N211" i="207" l="1"/>
  <c r="N211" i="206"/>
  <c r="O212" i="207"/>
  <c r="O212" i="206"/>
  <c r="F211" i="207"/>
  <c r="F211" i="206"/>
  <c r="H211" i="207"/>
  <c r="H211" i="206"/>
  <c r="G211" i="207"/>
  <c r="G211" i="206"/>
  <c r="I211" i="207"/>
  <c r="I211" i="206"/>
  <c r="E212" i="207"/>
  <c r="E212" i="206"/>
  <c r="K211" i="207"/>
  <c r="K211" i="206"/>
  <c r="M211" i="207"/>
  <c r="M211" i="206"/>
  <c r="E211" i="165"/>
  <c r="J212" i="165"/>
  <c r="O211" i="165"/>
  <c r="I194" i="167"/>
  <c r="G194" i="167" s="1"/>
  <c r="P216" i="165"/>
  <c r="J212" i="207" l="1"/>
  <c r="J212" i="206"/>
  <c r="E211" i="207"/>
  <c r="E211" i="206"/>
  <c r="O211" i="207"/>
  <c r="O211" i="206"/>
  <c r="P212" i="165"/>
  <c r="J211" i="165"/>
  <c r="J211" i="207" l="1"/>
  <c r="J211" i="206"/>
  <c r="P212" i="207"/>
  <c r="P212" i="206"/>
  <c r="P211" i="165"/>
  <c r="G349" i="167"/>
  <c r="D36" i="108"/>
  <c r="H142" i="108" s="1"/>
  <c r="P211" i="207" l="1"/>
  <c r="P211" i="206"/>
  <c r="F321" i="165"/>
  <c r="J36" i="167"/>
  <c r="F321" i="207" l="1"/>
  <c r="F321" i="206"/>
  <c r="J35" i="165"/>
  <c r="J33" i="165"/>
  <c r="O32" i="165"/>
  <c r="L32" i="165"/>
  <c r="F32" i="165"/>
  <c r="N32" i="165"/>
  <c r="M32" i="165"/>
  <c r="K32" i="165"/>
  <c r="I32" i="165"/>
  <c r="H32" i="165"/>
  <c r="G32" i="165"/>
  <c r="E35" i="165"/>
  <c r="N32" i="207" l="1"/>
  <c r="N32" i="206"/>
  <c r="J33" i="207"/>
  <c r="J33" i="206"/>
  <c r="G32" i="207"/>
  <c r="G32" i="206"/>
  <c r="H32" i="207"/>
  <c r="H32" i="206"/>
  <c r="I32" i="207"/>
  <c r="I32" i="206"/>
  <c r="F32" i="207"/>
  <c r="F32" i="206"/>
  <c r="J35" i="207"/>
  <c r="J35" i="206"/>
  <c r="E35" i="207"/>
  <c r="E35" i="206"/>
  <c r="K32" i="207"/>
  <c r="K32" i="206"/>
  <c r="L32" i="207"/>
  <c r="L32" i="206"/>
  <c r="M32" i="207"/>
  <c r="M32" i="206"/>
  <c r="O32" i="207"/>
  <c r="O32" i="206"/>
  <c r="G29" i="165"/>
  <c r="M29" i="165"/>
  <c r="H29" i="165"/>
  <c r="N29" i="165"/>
  <c r="I29" i="165"/>
  <c r="F29" i="165"/>
  <c r="K29" i="165"/>
  <c r="L29" i="165"/>
  <c r="I36" i="167"/>
  <c r="H36" i="167"/>
  <c r="J32" i="165"/>
  <c r="P35" i="165"/>
  <c r="J311" i="167"/>
  <c r="J307" i="167" s="1"/>
  <c r="P35" i="207" l="1"/>
  <c r="P35" i="206"/>
  <c r="N29" i="207"/>
  <c r="N29" i="206"/>
  <c r="F29" i="207"/>
  <c r="F29" i="206"/>
  <c r="M29" i="207"/>
  <c r="M29" i="206"/>
  <c r="I29" i="207"/>
  <c r="I29" i="206"/>
  <c r="G29" i="207"/>
  <c r="G29" i="206"/>
  <c r="L29" i="207"/>
  <c r="L29" i="206"/>
  <c r="J32" i="207"/>
  <c r="J32" i="206"/>
  <c r="K29" i="206"/>
  <c r="K29" i="207"/>
  <c r="H29" i="207"/>
  <c r="H29" i="206"/>
  <c r="G36" i="167"/>
  <c r="O352" i="165"/>
  <c r="E352" i="165"/>
  <c r="N351" i="165"/>
  <c r="M351" i="165"/>
  <c r="L351" i="165"/>
  <c r="K351" i="165"/>
  <c r="I351" i="165"/>
  <c r="H351" i="165"/>
  <c r="G351" i="165"/>
  <c r="F351" i="165"/>
  <c r="L350" i="165" l="1"/>
  <c r="N350" i="165"/>
  <c r="H350" i="165"/>
  <c r="M350" i="165"/>
  <c r="F350" i="165"/>
  <c r="K350" i="165"/>
  <c r="J352" i="165"/>
  <c r="G350" i="165"/>
  <c r="I350" i="165"/>
  <c r="E351" i="165"/>
  <c r="H311" i="167"/>
  <c r="O351" i="165"/>
  <c r="J351" i="165" l="1"/>
  <c r="P352" i="165"/>
  <c r="E350" i="165"/>
  <c r="O350" i="165"/>
  <c r="I311" i="167"/>
  <c r="G311" i="167" l="1"/>
  <c r="I307" i="167"/>
  <c r="J350" i="165"/>
  <c r="P351" i="165"/>
  <c r="P350" i="165" l="1"/>
  <c r="J339" i="167" l="1"/>
  <c r="J325" i="167" s="1"/>
  <c r="O391" i="165" l="1"/>
  <c r="E391" i="165"/>
  <c r="N390" i="165"/>
  <c r="M390" i="165"/>
  <c r="L390" i="165"/>
  <c r="K390" i="165"/>
  <c r="I390" i="165"/>
  <c r="H390" i="165"/>
  <c r="G390" i="165"/>
  <c r="F390" i="165"/>
  <c r="E86" i="170" l="1"/>
  <c r="M389" i="165"/>
  <c r="N389" i="165"/>
  <c r="H389" i="165"/>
  <c r="I389" i="165"/>
  <c r="F389" i="165"/>
  <c r="K389" i="165"/>
  <c r="H339" i="167"/>
  <c r="H325" i="167" s="1"/>
  <c r="G389" i="165"/>
  <c r="L389" i="165"/>
  <c r="J391" i="165"/>
  <c r="O390" i="165"/>
  <c r="E390" i="165"/>
  <c r="E100" i="170" l="1"/>
  <c r="E389" i="165"/>
  <c r="J390" i="165"/>
  <c r="I339" i="167"/>
  <c r="I325" i="167" s="1"/>
  <c r="P391" i="165"/>
  <c r="O389" i="165"/>
  <c r="G339" i="167" l="1"/>
  <c r="P390" i="165"/>
  <c r="J389" i="165"/>
  <c r="P389" i="165" l="1"/>
  <c r="J154" i="167" l="1"/>
  <c r="N161" i="165"/>
  <c r="M161" i="165"/>
  <c r="L161" i="165"/>
  <c r="K161" i="165"/>
  <c r="I161" i="165"/>
  <c r="H161" i="165"/>
  <c r="G161" i="165"/>
  <c r="F161" i="165"/>
  <c r="J146" i="167"/>
  <c r="J144" i="167"/>
  <c r="F161" i="207" l="1"/>
  <c r="F161" i="206"/>
  <c r="H161" i="207"/>
  <c r="H161" i="206"/>
  <c r="M161" i="207"/>
  <c r="M161" i="206"/>
  <c r="G161" i="207"/>
  <c r="G161" i="206"/>
  <c r="L161" i="207"/>
  <c r="L161" i="206"/>
  <c r="I161" i="207"/>
  <c r="I161" i="206"/>
  <c r="N161" i="207"/>
  <c r="N161" i="206"/>
  <c r="K161" i="207"/>
  <c r="K161" i="206"/>
  <c r="E161" i="165"/>
  <c r="O161" i="165"/>
  <c r="O161" i="207" l="1"/>
  <c r="O161" i="206"/>
  <c r="E161" i="207"/>
  <c r="E161" i="206"/>
  <c r="J161" i="165"/>
  <c r="J161" i="207" l="1"/>
  <c r="J161" i="206"/>
  <c r="F17" i="165"/>
  <c r="P161" i="165"/>
  <c r="G258" i="167"/>
  <c r="P161" i="207" l="1"/>
  <c r="P161" i="206"/>
  <c r="F17" i="207"/>
  <c r="F17" i="206"/>
  <c r="P16" i="107"/>
  <c r="P15" i="107" s="1"/>
  <c r="P14" i="107" s="1"/>
  <c r="L16" i="107"/>
  <c r="L15" i="107" s="1"/>
  <c r="L14" i="107" s="1"/>
  <c r="K16" i="107"/>
  <c r="K15" i="107" s="1"/>
  <c r="K14" i="107" s="1"/>
  <c r="J16" i="107"/>
  <c r="J15" i="107" s="1"/>
  <c r="J14" i="107" s="1"/>
  <c r="H16" i="107"/>
  <c r="H15" i="107" s="1"/>
  <c r="H14" i="107" s="1"/>
  <c r="F16" i="107"/>
  <c r="F15" i="107" s="1"/>
  <c r="F14" i="107" s="1"/>
  <c r="N427" i="165"/>
  <c r="M427" i="165"/>
  <c r="L427" i="165"/>
  <c r="K427" i="165"/>
  <c r="I427" i="165"/>
  <c r="H427" i="165"/>
  <c r="G427" i="165"/>
  <c r="F427" i="165"/>
  <c r="N421" i="165"/>
  <c r="M421" i="165"/>
  <c r="L421" i="165"/>
  <c r="K421" i="165"/>
  <c r="I421" i="165"/>
  <c r="H421" i="165"/>
  <c r="G421" i="165"/>
  <c r="O420" i="165"/>
  <c r="N413" i="165"/>
  <c r="M413" i="165"/>
  <c r="L413" i="165"/>
  <c r="K413" i="165"/>
  <c r="I413" i="165"/>
  <c r="G413" i="165"/>
  <c r="O407" i="165"/>
  <c r="N407" i="165"/>
  <c r="M407" i="165"/>
  <c r="L407" i="165"/>
  <c r="K407" i="165"/>
  <c r="I407" i="165"/>
  <c r="H407" i="165"/>
  <c r="G407" i="165"/>
  <c r="F407" i="165"/>
  <c r="N409" i="165"/>
  <c r="M409" i="165"/>
  <c r="L409" i="165"/>
  <c r="K409" i="165"/>
  <c r="I409" i="165"/>
  <c r="H409" i="165"/>
  <c r="G409" i="165"/>
  <c r="F409" i="165"/>
  <c r="N404" i="165"/>
  <c r="M404" i="165"/>
  <c r="L404" i="165"/>
  <c r="K404" i="165"/>
  <c r="I404" i="165"/>
  <c r="G404" i="165"/>
  <c r="F404" i="165"/>
  <c r="N394" i="165"/>
  <c r="M394" i="165"/>
  <c r="L394" i="165"/>
  <c r="K394" i="165"/>
  <c r="I394" i="165"/>
  <c r="G394" i="165"/>
  <c r="N67" i="165"/>
  <c r="M67" i="165"/>
  <c r="L67" i="165"/>
  <c r="K67" i="165"/>
  <c r="I67" i="165"/>
  <c r="M64" i="165"/>
  <c r="K64" i="165"/>
  <c r="I64" i="165"/>
  <c r="M61" i="165"/>
  <c r="K61" i="165"/>
  <c r="I61" i="165"/>
  <c r="N384" i="165"/>
  <c r="M384" i="165"/>
  <c r="L384" i="165"/>
  <c r="I384" i="165"/>
  <c r="H384" i="165"/>
  <c r="G384" i="165"/>
  <c r="N362" i="165"/>
  <c r="M362" i="165"/>
  <c r="L362" i="165"/>
  <c r="K362" i="165"/>
  <c r="I362" i="165"/>
  <c r="H362" i="165"/>
  <c r="G362" i="165"/>
  <c r="F362" i="165"/>
  <c r="N355" i="165"/>
  <c r="M355" i="165"/>
  <c r="L355" i="165"/>
  <c r="K355" i="165"/>
  <c r="I355" i="165"/>
  <c r="G355" i="165"/>
  <c r="N333" i="165"/>
  <c r="M333" i="165"/>
  <c r="L333" i="165"/>
  <c r="K333" i="165"/>
  <c r="I333" i="165"/>
  <c r="H333" i="165"/>
  <c r="G333" i="165"/>
  <c r="F333" i="165"/>
  <c r="N328" i="165"/>
  <c r="M328" i="165"/>
  <c r="L328" i="165"/>
  <c r="I328" i="165"/>
  <c r="H328" i="165"/>
  <c r="G328" i="165"/>
  <c r="F328" i="165"/>
  <c r="F328" i="207" l="1"/>
  <c r="F328" i="206"/>
  <c r="I355" i="207"/>
  <c r="I355" i="206"/>
  <c r="N355" i="207"/>
  <c r="N355" i="206"/>
  <c r="I362" i="207"/>
  <c r="I362" i="206"/>
  <c r="N362" i="207"/>
  <c r="N362" i="206"/>
  <c r="L384" i="207"/>
  <c r="L384" i="206"/>
  <c r="K61" i="207"/>
  <c r="K61" i="206"/>
  <c r="M64" i="207"/>
  <c r="M64" i="206"/>
  <c r="M67" i="207"/>
  <c r="M67" i="206"/>
  <c r="K394" i="207"/>
  <c r="K394" i="206"/>
  <c r="F404" i="207"/>
  <c r="F404" i="206"/>
  <c r="L404" i="207"/>
  <c r="L404" i="206"/>
  <c r="G409" i="207"/>
  <c r="G409" i="206"/>
  <c r="L409" i="207"/>
  <c r="L409" i="206"/>
  <c r="G407" i="207"/>
  <c r="G407" i="206"/>
  <c r="L407" i="207"/>
  <c r="L407" i="206"/>
  <c r="G413" i="207"/>
  <c r="G413" i="206"/>
  <c r="M413" i="207"/>
  <c r="M413" i="206"/>
  <c r="H421" i="207"/>
  <c r="H421" i="206"/>
  <c r="M421" i="207"/>
  <c r="M421" i="206"/>
  <c r="L328" i="207"/>
  <c r="L328" i="206"/>
  <c r="G328" i="207"/>
  <c r="G328" i="206"/>
  <c r="M328" i="207"/>
  <c r="M328" i="206"/>
  <c r="H333" i="207"/>
  <c r="H333" i="206"/>
  <c r="M333" i="207"/>
  <c r="M333" i="206"/>
  <c r="K355" i="207"/>
  <c r="K355" i="206"/>
  <c r="F362" i="207"/>
  <c r="F362" i="206"/>
  <c r="K362" i="207"/>
  <c r="K362" i="206"/>
  <c r="G384" i="207"/>
  <c r="G384" i="206"/>
  <c r="M384" i="207"/>
  <c r="M384" i="206"/>
  <c r="M61" i="207"/>
  <c r="M61" i="206"/>
  <c r="I67" i="207"/>
  <c r="I67" i="206"/>
  <c r="N67" i="207"/>
  <c r="N67" i="206"/>
  <c r="L394" i="207"/>
  <c r="L394" i="206"/>
  <c r="G404" i="207"/>
  <c r="G404" i="206"/>
  <c r="M404" i="207"/>
  <c r="M404" i="206"/>
  <c r="H409" i="207"/>
  <c r="H409" i="206"/>
  <c r="M409" i="207"/>
  <c r="M409" i="206"/>
  <c r="H407" i="207"/>
  <c r="H407" i="206"/>
  <c r="M407" i="207"/>
  <c r="M407" i="206"/>
  <c r="I413" i="207"/>
  <c r="I413" i="206"/>
  <c r="N413" i="207"/>
  <c r="N413" i="206"/>
  <c r="I421" i="207"/>
  <c r="I421" i="206"/>
  <c r="N421" i="207"/>
  <c r="N421" i="206"/>
  <c r="G333" i="207"/>
  <c r="G333" i="206"/>
  <c r="H328" i="207"/>
  <c r="H328" i="206"/>
  <c r="N328" i="207"/>
  <c r="N328" i="206"/>
  <c r="I333" i="207"/>
  <c r="I333" i="206"/>
  <c r="N333" i="207"/>
  <c r="N333" i="206"/>
  <c r="L355" i="207"/>
  <c r="L355" i="206"/>
  <c r="G362" i="207"/>
  <c r="G362" i="206"/>
  <c r="L362" i="207"/>
  <c r="L362" i="206"/>
  <c r="H384" i="207"/>
  <c r="H384" i="206"/>
  <c r="N384" i="207"/>
  <c r="N384" i="206"/>
  <c r="I64" i="207"/>
  <c r="I64" i="206"/>
  <c r="K67" i="207"/>
  <c r="K67" i="206"/>
  <c r="G394" i="207"/>
  <c r="G394" i="206"/>
  <c r="M394" i="207"/>
  <c r="M394" i="206"/>
  <c r="I404" i="207"/>
  <c r="I404" i="206"/>
  <c r="N404" i="207"/>
  <c r="N404" i="206"/>
  <c r="I409" i="207"/>
  <c r="I409" i="206"/>
  <c r="N409" i="207"/>
  <c r="N409" i="206"/>
  <c r="I407" i="207"/>
  <c r="I407" i="206"/>
  <c r="N407" i="207"/>
  <c r="N407" i="206"/>
  <c r="K413" i="207"/>
  <c r="K413" i="206"/>
  <c r="O420" i="207"/>
  <c r="O420" i="206"/>
  <c r="K421" i="207"/>
  <c r="K421" i="206"/>
  <c r="L333" i="207"/>
  <c r="L333" i="206"/>
  <c r="I328" i="207"/>
  <c r="I328" i="206"/>
  <c r="F333" i="207"/>
  <c r="F333" i="206"/>
  <c r="K333" i="207"/>
  <c r="K333" i="206"/>
  <c r="G355" i="207"/>
  <c r="G355" i="206"/>
  <c r="M355" i="207"/>
  <c r="M355" i="206"/>
  <c r="H362" i="207"/>
  <c r="H362" i="206"/>
  <c r="M362" i="207"/>
  <c r="M362" i="206"/>
  <c r="I384" i="207"/>
  <c r="I384" i="206"/>
  <c r="I61" i="207"/>
  <c r="I61" i="206"/>
  <c r="L67" i="207"/>
  <c r="L67" i="206"/>
  <c r="I394" i="207"/>
  <c r="I394" i="206"/>
  <c r="N394" i="207"/>
  <c r="N394" i="206"/>
  <c r="K404" i="207"/>
  <c r="K404" i="206"/>
  <c r="F409" i="207"/>
  <c r="F409" i="206"/>
  <c r="K409" i="207"/>
  <c r="K409" i="206"/>
  <c r="F407" i="207"/>
  <c r="F407" i="206"/>
  <c r="K407" i="207"/>
  <c r="K407" i="206"/>
  <c r="O407" i="207"/>
  <c r="O407" i="206"/>
  <c r="L413" i="207"/>
  <c r="L413" i="206"/>
  <c r="G421" i="207"/>
  <c r="G421" i="206"/>
  <c r="L421" i="207"/>
  <c r="L421" i="206"/>
  <c r="K64" i="207"/>
  <c r="K64" i="206"/>
  <c r="I49" i="165"/>
  <c r="K49" i="165"/>
  <c r="L359" i="165"/>
  <c r="H359" i="165"/>
  <c r="M359" i="165"/>
  <c r="I359" i="165"/>
  <c r="N359" i="165"/>
  <c r="G359" i="165"/>
  <c r="F359" i="165"/>
  <c r="K359" i="165"/>
  <c r="I419" i="165"/>
  <c r="N419" i="165"/>
  <c r="K419" i="165"/>
  <c r="L419" i="165"/>
  <c r="G419" i="165"/>
  <c r="H419" i="165"/>
  <c r="M419" i="165"/>
  <c r="L426" i="165"/>
  <c r="G426" i="165"/>
  <c r="M345" i="165"/>
  <c r="G380" i="165"/>
  <c r="M380" i="165"/>
  <c r="H426" i="165"/>
  <c r="M426" i="165"/>
  <c r="G327" i="165"/>
  <c r="I327" i="165"/>
  <c r="F331" i="165"/>
  <c r="G345" i="165"/>
  <c r="F327" i="165"/>
  <c r="L327" i="165"/>
  <c r="G331" i="165"/>
  <c r="L331" i="165"/>
  <c r="I345" i="165"/>
  <c r="N345" i="165"/>
  <c r="H380" i="165"/>
  <c r="N380" i="165"/>
  <c r="I426" i="165"/>
  <c r="N426" i="165"/>
  <c r="M327" i="165"/>
  <c r="M331" i="165"/>
  <c r="K345" i="165"/>
  <c r="I380" i="165"/>
  <c r="J420" i="165"/>
  <c r="F426" i="165"/>
  <c r="K426" i="165"/>
  <c r="H331" i="165"/>
  <c r="H327" i="165"/>
  <c r="N327" i="165"/>
  <c r="I331" i="165"/>
  <c r="N331" i="165"/>
  <c r="L345" i="165"/>
  <c r="L380" i="165"/>
  <c r="K331" i="165"/>
  <c r="H406" i="165"/>
  <c r="K406" i="165"/>
  <c r="G406" i="165"/>
  <c r="L406" i="165"/>
  <c r="I406" i="165"/>
  <c r="M406" i="165"/>
  <c r="F406" i="165"/>
  <c r="N406" i="165"/>
  <c r="N312" i="165"/>
  <c r="M312" i="165"/>
  <c r="L312" i="165"/>
  <c r="K312" i="165"/>
  <c r="I312" i="165"/>
  <c r="F312" i="165"/>
  <c r="N299" i="165"/>
  <c r="M299" i="165"/>
  <c r="L299" i="165"/>
  <c r="K299" i="165"/>
  <c r="I299" i="165"/>
  <c r="H299" i="165"/>
  <c r="G299" i="165"/>
  <c r="F299" i="165"/>
  <c r="N286" i="165"/>
  <c r="M286" i="165"/>
  <c r="L286" i="165"/>
  <c r="K286" i="165"/>
  <c r="I286" i="165"/>
  <c r="G286" i="165"/>
  <c r="N276" i="165"/>
  <c r="M276" i="165"/>
  <c r="L276" i="165"/>
  <c r="K276" i="165"/>
  <c r="I276" i="165"/>
  <c r="H276" i="165"/>
  <c r="G276" i="165"/>
  <c r="F276" i="165"/>
  <c r="N263" i="165"/>
  <c r="M263" i="165"/>
  <c r="L263" i="165"/>
  <c r="I263" i="165"/>
  <c r="H263" i="165"/>
  <c r="G263" i="165"/>
  <c r="F263" i="165"/>
  <c r="N244" i="165"/>
  <c r="M244" i="165"/>
  <c r="L244" i="165"/>
  <c r="K244" i="165"/>
  <c r="I244" i="165"/>
  <c r="H244" i="165"/>
  <c r="G244" i="165"/>
  <c r="F244" i="165"/>
  <c r="N239" i="165"/>
  <c r="M239" i="165"/>
  <c r="L239" i="165"/>
  <c r="I239" i="165"/>
  <c r="H239" i="165"/>
  <c r="G239" i="165"/>
  <c r="M234" i="165"/>
  <c r="I234" i="165"/>
  <c r="G234" i="165"/>
  <c r="N232" i="165"/>
  <c r="M232" i="165"/>
  <c r="L232" i="165"/>
  <c r="K232" i="165"/>
  <c r="I232" i="165"/>
  <c r="H232" i="165"/>
  <c r="G232" i="165"/>
  <c r="N229" i="165"/>
  <c r="M229" i="165"/>
  <c r="L229" i="165"/>
  <c r="K229" i="165"/>
  <c r="I229" i="165"/>
  <c r="H229" i="165"/>
  <c r="G229" i="165"/>
  <c r="M225" i="165"/>
  <c r="I225" i="165"/>
  <c r="G225" i="165"/>
  <c r="N223" i="165"/>
  <c r="M223" i="165"/>
  <c r="L223" i="165"/>
  <c r="K223" i="165"/>
  <c r="I223" i="165"/>
  <c r="G223" i="165"/>
  <c r="N218" i="165"/>
  <c r="M218" i="165"/>
  <c r="L218" i="165"/>
  <c r="K218" i="165"/>
  <c r="I218" i="165"/>
  <c r="H218" i="165"/>
  <c r="G218" i="165"/>
  <c r="F218" i="165"/>
  <c r="N208" i="165"/>
  <c r="M208" i="165"/>
  <c r="K208" i="165"/>
  <c r="I208" i="165"/>
  <c r="G208" i="165"/>
  <c r="M201" i="165"/>
  <c r="K201" i="165"/>
  <c r="I201" i="165"/>
  <c r="N196" i="165"/>
  <c r="N194" i="165" s="1"/>
  <c r="M196" i="165"/>
  <c r="M194" i="165" s="1"/>
  <c r="L196" i="165"/>
  <c r="L194" i="165" s="1"/>
  <c r="K196" i="165"/>
  <c r="K194" i="165" s="1"/>
  <c r="I196" i="165"/>
  <c r="I194" i="165" s="1"/>
  <c r="H196" i="165"/>
  <c r="H194" i="165" s="1"/>
  <c r="G196" i="165"/>
  <c r="G194" i="165" s="1"/>
  <c r="F196" i="165"/>
  <c r="F194" i="165" s="1"/>
  <c r="M183" i="165"/>
  <c r="I183" i="165"/>
  <c r="N164" i="165"/>
  <c r="M164" i="165"/>
  <c r="L164" i="165"/>
  <c r="K164" i="165"/>
  <c r="I164" i="165"/>
  <c r="H164" i="165"/>
  <c r="G164" i="165"/>
  <c r="M155" i="165"/>
  <c r="K155" i="165"/>
  <c r="I155" i="165"/>
  <c r="F155" i="165"/>
  <c r="N146" i="165"/>
  <c r="M146" i="165"/>
  <c r="L146" i="165"/>
  <c r="K146" i="165"/>
  <c r="I146" i="165"/>
  <c r="H146" i="165"/>
  <c r="G146" i="165"/>
  <c r="G146" i="207" l="1"/>
  <c r="G146" i="206"/>
  <c r="L146" i="207"/>
  <c r="L146" i="206"/>
  <c r="I155" i="207"/>
  <c r="I155" i="206"/>
  <c r="H164" i="207"/>
  <c r="H164" i="206"/>
  <c r="M164" i="207"/>
  <c r="M164" i="206"/>
  <c r="F194" i="207"/>
  <c r="F194" i="206"/>
  <c r="I201" i="207"/>
  <c r="I201" i="206"/>
  <c r="I208" i="207"/>
  <c r="I208" i="206"/>
  <c r="G223" i="207"/>
  <c r="G223" i="206"/>
  <c r="M223" i="207"/>
  <c r="M223" i="206"/>
  <c r="M225" i="207"/>
  <c r="M225" i="206"/>
  <c r="K229" i="207"/>
  <c r="K229" i="206"/>
  <c r="G232" i="207"/>
  <c r="G232" i="206"/>
  <c r="L232" i="207"/>
  <c r="L232" i="206"/>
  <c r="I234" i="207"/>
  <c r="I234" i="206"/>
  <c r="I239" i="207"/>
  <c r="I239" i="206"/>
  <c r="F263" i="207"/>
  <c r="F263" i="206"/>
  <c r="L263" i="207"/>
  <c r="L263" i="206"/>
  <c r="G276" i="207"/>
  <c r="G276" i="206"/>
  <c r="L276" i="207"/>
  <c r="L276" i="206"/>
  <c r="I286" i="207"/>
  <c r="I286" i="206"/>
  <c r="N286" i="207"/>
  <c r="N286" i="206"/>
  <c r="I299" i="207"/>
  <c r="I299" i="206"/>
  <c r="N299" i="207"/>
  <c r="N299" i="206"/>
  <c r="L312" i="207"/>
  <c r="L312" i="206"/>
  <c r="F406" i="207"/>
  <c r="F403" i="207" s="1"/>
  <c r="F402" i="207" s="1"/>
  <c r="F406" i="206"/>
  <c r="F403" i="206" s="1"/>
  <c r="F402" i="206" s="1"/>
  <c r="G406" i="207"/>
  <c r="G406" i="206"/>
  <c r="L380" i="207"/>
  <c r="L380" i="206"/>
  <c r="N327" i="207"/>
  <c r="N327" i="206"/>
  <c r="M331" i="207"/>
  <c r="M331" i="206"/>
  <c r="N380" i="207"/>
  <c r="N380" i="206"/>
  <c r="L331" i="207"/>
  <c r="L331" i="206"/>
  <c r="H419" i="207"/>
  <c r="H419" i="206"/>
  <c r="N419" i="207"/>
  <c r="N412" i="207" s="1"/>
  <c r="N411" i="207" s="1"/>
  <c r="N419" i="206"/>
  <c r="N412" i="206" s="1"/>
  <c r="N411" i="206" s="1"/>
  <c r="G359" i="207"/>
  <c r="G359" i="206"/>
  <c r="H359" i="207"/>
  <c r="H359" i="206"/>
  <c r="H146" i="206"/>
  <c r="H146" i="207"/>
  <c r="M146" i="207"/>
  <c r="M146" i="206"/>
  <c r="K155" i="207"/>
  <c r="K155" i="206"/>
  <c r="I164" i="207"/>
  <c r="I164" i="206"/>
  <c r="N164" i="207"/>
  <c r="N164" i="206"/>
  <c r="G194" i="207"/>
  <c r="G194" i="206"/>
  <c r="L194" i="207"/>
  <c r="L194" i="206"/>
  <c r="K201" i="207"/>
  <c r="K201" i="206"/>
  <c r="K208" i="207"/>
  <c r="K208" i="206"/>
  <c r="I223" i="207"/>
  <c r="I223" i="206"/>
  <c r="N223" i="207"/>
  <c r="N223" i="206"/>
  <c r="G229" i="207"/>
  <c r="G229" i="206"/>
  <c r="L229" i="207"/>
  <c r="L229" i="206"/>
  <c r="H232" i="207"/>
  <c r="H232" i="206"/>
  <c r="M232" i="207"/>
  <c r="M232" i="206"/>
  <c r="M234" i="207"/>
  <c r="M234" i="206"/>
  <c r="L239" i="207"/>
  <c r="L239" i="206"/>
  <c r="G263" i="207"/>
  <c r="G263" i="206"/>
  <c r="M263" i="207"/>
  <c r="M263" i="206"/>
  <c r="H276" i="207"/>
  <c r="H276" i="206"/>
  <c r="M276" i="207"/>
  <c r="M276" i="206"/>
  <c r="K286" i="207"/>
  <c r="K286" i="206"/>
  <c r="F299" i="207"/>
  <c r="F299" i="206"/>
  <c r="K299" i="207"/>
  <c r="K299" i="206"/>
  <c r="F312" i="207"/>
  <c r="F312" i="206"/>
  <c r="M312" i="207"/>
  <c r="M312" i="206"/>
  <c r="M406" i="207"/>
  <c r="M403" i="207" s="1"/>
  <c r="M402" i="207" s="1"/>
  <c r="M406" i="206"/>
  <c r="M403" i="206" s="1"/>
  <c r="M402" i="206" s="1"/>
  <c r="K406" i="207"/>
  <c r="K403" i="207" s="1"/>
  <c r="K402" i="207" s="1"/>
  <c r="K406" i="206"/>
  <c r="K403" i="206" s="1"/>
  <c r="K402" i="206" s="1"/>
  <c r="H327" i="207"/>
  <c r="H327" i="206"/>
  <c r="J420" i="207"/>
  <c r="J420" i="206"/>
  <c r="M327" i="207"/>
  <c r="M327" i="206"/>
  <c r="H380" i="207"/>
  <c r="H380" i="206"/>
  <c r="G331" i="207"/>
  <c r="G331" i="206"/>
  <c r="F331" i="207"/>
  <c r="F331" i="206"/>
  <c r="G419" i="207"/>
  <c r="G412" i="207" s="1"/>
  <c r="G411" i="207" s="1"/>
  <c r="G419" i="206"/>
  <c r="G412" i="206" s="1"/>
  <c r="G411" i="206" s="1"/>
  <c r="I419" i="207"/>
  <c r="I412" i="207" s="1"/>
  <c r="I411" i="207" s="1"/>
  <c r="I419" i="206"/>
  <c r="I412" i="206" s="1"/>
  <c r="I411" i="206" s="1"/>
  <c r="N359" i="207"/>
  <c r="N359" i="206"/>
  <c r="L359" i="207"/>
  <c r="L359" i="206"/>
  <c r="I146" i="207"/>
  <c r="I146" i="206"/>
  <c r="N146" i="207"/>
  <c r="N146" i="206"/>
  <c r="M155" i="207"/>
  <c r="M155" i="206"/>
  <c r="K164" i="207"/>
  <c r="K164" i="206"/>
  <c r="I183" i="207"/>
  <c r="I183" i="206"/>
  <c r="H194" i="207"/>
  <c r="H194" i="206"/>
  <c r="M194" i="207"/>
  <c r="M194" i="206"/>
  <c r="M201" i="207"/>
  <c r="M201" i="206"/>
  <c r="M208" i="207"/>
  <c r="M208" i="206"/>
  <c r="K223" i="207"/>
  <c r="K223" i="206"/>
  <c r="G225" i="207"/>
  <c r="G225" i="206"/>
  <c r="H229" i="207"/>
  <c r="H229" i="206"/>
  <c r="M229" i="207"/>
  <c r="M229" i="206"/>
  <c r="I232" i="207"/>
  <c r="I232" i="206"/>
  <c r="N232" i="207"/>
  <c r="N232" i="206"/>
  <c r="G239" i="207"/>
  <c r="G239" i="206"/>
  <c r="M239" i="207"/>
  <c r="M239" i="206"/>
  <c r="H263" i="207"/>
  <c r="H263" i="206"/>
  <c r="N263" i="207"/>
  <c r="N263" i="206"/>
  <c r="I276" i="207"/>
  <c r="I276" i="206"/>
  <c r="N276" i="207"/>
  <c r="N276" i="206"/>
  <c r="L286" i="207"/>
  <c r="L286" i="206"/>
  <c r="G299" i="207"/>
  <c r="G299" i="206"/>
  <c r="L299" i="207"/>
  <c r="L299" i="206"/>
  <c r="I312" i="207"/>
  <c r="I312" i="206"/>
  <c r="N312" i="207"/>
  <c r="N312" i="206"/>
  <c r="I406" i="207"/>
  <c r="I403" i="207" s="1"/>
  <c r="I402" i="207" s="1"/>
  <c r="I406" i="206"/>
  <c r="I403" i="206" s="1"/>
  <c r="I402" i="206" s="1"/>
  <c r="H406" i="207"/>
  <c r="H406" i="206"/>
  <c r="N331" i="207"/>
  <c r="N331" i="206"/>
  <c r="H331" i="207"/>
  <c r="H331" i="206"/>
  <c r="I380" i="207"/>
  <c r="I380" i="206"/>
  <c r="L327" i="207"/>
  <c r="L327" i="206"/>
  <c r="I327" i="207"/>
  <c r="I327" i="206"/>
  <c r="M380" i="207"/>
  <c r="M380" i="206"/>
  <c r="L419" i="207"/>
  <c r="L412" i="207" s="1"/>
  <c r="L411" i="207" s="1"/>
  <c r="L419" i="206"/>
  <c r="L412" i="206" s="1"/>
  <c r="L411" i="206" s="1"/>
  <c r="K359" i="207"/>
  <c r="K359" i="206"/>
  <c r="I359" i="207"/>
  <c r="I359" i="206"/>
  <c r="G403" i="206"/>
  <c r="G402" i="206" s="1"/>
  <c r="K146" i="207"/>
  <c r="K146" i="206"/>
  <c r="G164" i="207"/>
  <c r="G164" i="206"/>
  <c r="L164" i="207"/>
  <c r="L164" i="206"/>
  <c r="M183" i="207"/>
  <c r="M183" i="206"/>
  <c r="I194" i="207"/>
  <c r="I194" i="206"/>
  <c r="N194" i="207"/>
  <c r="N194" i="206"/>
  <c r="G208" i="207"/>
  <c r="G208" i="206"/>
  <c r="N208" i="207"/>
  <c r="N208" i="206"/>
  <c r="L223" i="207"/>
  <c r="L223" i="206"/>
  <c r="I225" i="207"/>
  <c r="I225" i="206"/>
  <c r="I229" i="207"/>
  <c r="I229" i="206"/>
  <c r="N229" i="207"/>
  <c r="N229" i="206"/>
  <c r="K232" i="207"/>
  <c r="K232" i="206"/>
  <c r="G234" i="207"/>
  <c r="G234" i="206"/>
  <c r="H239" i="207"/>
  <c r="H239" i="206"/>
  <c r="N239" i="207"/>
  <c r="N239" i="206"/>
  <c r="I263" i="207"/>
  <c r="I263" i="206"/>
  <c r="F276" i="207"/>
  <c r="F276" i="206"/>
  <c r="K276" i="207"/>
  <c r="K276" i="206"/>
  <c r="G286" i="207"/>
  <c r="G286" i="206"/>
  <c r="M286" i="207"/>
  <c r="M286" i="206"/>
  <c r="H299" i="207"/>
  <c r="H299" i="206"/>
  <c r="M299" i="207"/>
  <c r="M299" i="206"/>
  <c r="K312" i="207"/>
  <c r="K312" i="206"/>
  <c r="N406" i="207"/>
  <c r="N403" i="207" s="1"/>
  <c r="N402" i="207" s="1"/>
  <c r="N406" i="206"/>
  <c r="N403" i="206" s="1"/>
  <c r="N402" i="206" s="1"/>
  <c r="L406" i="207"/>
  <c r="L403" i="207" s="1"/>
  <c r="L406" i="206"/>
  <c r="L403" i="206" s="1"/>
  <c r="I331" i="207"/>
  <c r="I331" i="206"/>
  <c r="F327" i="207"/>
  <c r="F327" i="206"/>
  <c r="G327" i="207"/>
  <c r="G327" i="206"/>
  <c r="G380" i="207"/>
  <c r="G380" i="206"/>
  <c r="M419" i="207"/>
  <c r="M412" i="207" s="1"/>
  <c r="M411" i="207" s="1"/>
  <c r="M419" i="206"/>
  <c r="M412" i="206" s="1"/>
  <c r="M411" i="206" s="1"/>
  <c r="K419" i="207"/>
  <c r="K419" i="206"/>
  <c r="K412" i="206" s="1"/>
  <c r="K411" i="206" s="1"/>
  <c r="F359" i="207"/>
  <c r="F359" i="206"/>
  <c r="M359" i="207"/>
  <c r="M359" i="206"/>
  <c r="I49" i="207"/>
  <c r="I48" i="207" s="1"/>
  <c r="I47" i="207" s="1"/>
  <c r="I49" i="206"/>
  <c r="I48" i="206" s="1"/>
  <c r="I47" i="206" s="1"/>
  <c r="K412" i="207"/>
  <c r="K411" i="207" s="1"/>
  <c r="G403" i="207"/>
  <c r="G402" i="207" s="1"/>
  <c r="F155" i="206"/>
  <c r="F155" i="207"/>
  <c r="K194" i="207"/>
  <c r="K194" i="206"/>
  <c r="K331" i="207"/>
  <c r="K331" i="206"/>
  <c r="K49" i="206"/>
  <c r="K48" i="206" s="1"/>
  <c r="K49" i="207"/>
  <c r="K48" i="207" s="1"/>
  <c r="I357" i="167"/>
  <c r="I354" i="167" s="1"/>
  <c r="M262" i="165"/>
  <c r="M228" i="165"/>
  <c r="H262" i="165"/>
  <c r="N262" i="165"/>
  <c r="G262" i="165"/>
  <c r="I228" i="165"/>
  <c r="I262" i="165"/>
  <c r="G228" i="165"/>
  <c r="L262" i="165"/>
  <c r="F262" i="165"/>
  <c r="L412" i="165"/>
  <c r="M412" i="165"/>
  <c r="K412" i="165"/>
  <c r="N412" i="165"/>
  <c r="G412" i="165"/>
  <c r="I412" i="165"/>
  <c r="H358" i="165"/>
  <c r="L358" i="165"/>
  <c r="F358" i="165"/>
  <c r="N358" i="165"/>
  <c r="M358" i="165"/>
  <c r="G358" i="165"/>
  <c r="K358" i="165"/>
  <c r="I358" i="165"/>
  <c r="K290" i="165"/>
  <c r="N243" i="165"/>
  <c r="I290" i="165"/>
  <c r="G290" i="165"/>
  <c r="L290" i="165"/>
  <c r="N290" i="165"/>
  <c r="H290" i="165"/>
  <c r="M290" i="165"/>
  <c r="I246" i="165"/>
  <c r="K246" i="165"/>
  <c r="L246" i="165"/>
  <c r="M246" i="165"/>
  <c r="N246" i="165"/>
  <c r="M145" i="165"/>
  <c r="F246" i="165"/>
  <c r="G246" i="165"/>
  <c r="H246" i="165"/>
  <c r="I145" i="165"/>
  <c r="N330" i="165"/>
  <c r="H330" i="165"/>
  <c r="I377" i="165"/>
  <c r="M377" i="165"/>
  <c r="K330" i="165"/>
  <c r="I330" i="165"/>
  <c r="G377" i="165"/>
  <c r="L377" i="165"/>
  <c r="M330" i="165"/>
  <c r="N377" i="165"/>
  <c r="L330" i="165"/>
  <c r="H377" i="165"/>
  <c r="G330" i="165"/>
  <c r="F330" i="165"/>
  <c r="F186" i="165"/>
  <c r="K186" i="165"/>
  <c r="I203" i="165"/>
  <c r="F217" i="165"/>
  <c r="K217" i="165"/>
  <c r="M222" i="165"/>
  <c r="I243" i="165"/>
  <c r="L311" i="165"/>
  <c r="F403" i="165"/>
  <c r="L403" i="165"/>
  <c r="M397" i="165"/>
  <c r="L397" i="165"/>
  <c r="G186" i="165"/>
  <c r="L186" i="165"/>
  <c r="G217" i="165"/>
  <c r="L217" i="165"/>
  <c r="F243" i="165"/>
  <c r="K243" i="165"/>
  <c r="F311" i="165"/>
  <c r="M311" i="165"/>
  <c r="M403" i="165"/>
  <c r="G403" i="165"/>
  <c r="N397" i="165"/>
  <c r="K397" i="165"/>
  <c r="H186" i="165"/>
  <c r="M186" i="165"/>
  <c r="M203" i="165"/>
  <c r="H217" i="165"/>
  <c r="M217" i="165"/>
  <c r="G243" i="165"/>
  <c r="L243" i="165"/>
  <c r="I311" i="165"/>
  <c r="N311" i="165"/>
  <c r="I403" i="165"/>
  <c r="H397" i="165"/>
  <c r="G397" i="165"/>
  <c r="I186" i="165"/>
  <c r="N186" i="165"/>
  <c r="G203" i="165"/>
  <c r="I217" i="165"/>
  <c r="N217" i="165"/>
  <c r="H243" i="165"/>
  <c r="M243" i="165"/>
  <c r="K311" i="165"/>
  <c r="N403" i="165"/>
  <c r="K403" i="165"/>
  <c r="I397" i="165"/>
  <c r="F397" i="165"/>
  <c r="I273" i="165"/>
  <c r="F273" i="165"/>
  <c r="K273" i="165"/>
  <c r="G273" i="165"/>
  <c r="L273" i="165"/>
  <c r="N273" i="165"/>
  <c r="G222" i="165"/>
  <c r="H273" i="165"/>
  <c r="M273" i="165"/>
  <c r="I222" i="165"/>
  <c r="N122" i="165"/>
  <c r="M122" i="165"/>
  <c r="L122" i="165"/>
  <c r="K122" i="165"/>
  <c r="I122" i="165"/>
  <c r="N120" i="165"/>
  <c r="M120" i="165"/>
  <c r="L120" i="165"/>
  <c r="K120" i="165"/>
  <c r="I120" i="165"/>
  <c r="H120" i="165"/>
  <c r="G120" i="165"/>
  <c r="F120" i="165"/>
  <c r="N118" i="165"/>
  <c r="M118" i="165"/>
  <c r="L118" i="165"/>
  <c r="K118" i="165"/>
  <c r="I118" i="165"/>
  <c r="H118" i="165"/>
  <c r="G118" i="165"/>
  <c r="F118" i="165"/>
  <c r="O117" i="165"/>
  <c r="K48" i="165"/>
  <c r="I48" i="165"/>
  <c r="N43" i="165"/>
  <c r="M43" i="165"/>
  <c r="L43" i="165"/>
  <c r="K43" i="165"/>
  <c r="I43" i="165"/>
  <c r="H43" i="165"/>
  <c r="G43" i="165"/>
  <c r="F43" i="165"/>
  <c r="E41" i="165"/>
  <c r="N40" i="165"/>
  <c r="M40" i="165"/>
  <c r="L40" i="165"/>
  <c r="K40" i="165"/>
  <c r="I40" i="165"/>
  <c r="H40" i="165"/>
  <c r="G40" i="165"/>
  <c r="F40" i="165"/>
  <c r="N17" i="165"/>
  <c r="M17" i="165"/>
  <c r="L17" i="165"/>
  <c r="I17" i="165"/>
  <c r="J82" i="167"/>
  <c r="J81" i="167"/>
  <c r="J79" i="167"/>
  <c r="M79" i="167" s="1"/>
  <c r="J78" i="167"/>
  <c r="L402" i="207" l="1"/>
  <c r="L402" i="206"/>
  <c r="E41" i="207"/>
  <c r="E41" i="206"/>
  <c r="K112" i="165"/>
  <c r="K118" i="207"/>
  <c r="K118" i="206"/>
  <c r="K120" i="207"/>
  <c r="K120" i="206"/>
  <c r="N122" i="207"/>
  <c r="N122" i="206"/>
  <c r="I397" i="207"/>
  <c r="I393" i="207" s="1"/>
  <c r="I392" i="207" s="1"/>
  <c r="I397" i="206"/>
  <c r="I393" i="206" s="1"/>
  <c r="I392" i="206" s="1"/>
  <c r="H397" i="207"/>
  <c r="H397" i="206"/>
  <c r="L112" i="165"/>
  <c r="L118" i="207"/>
  <c r="L118" i="206"/>
  <c r="L120" i="207"/>
  <c r="L120" i="206"/>
  <c r="N273" i="207"/>
  <c r="N273" i="206"/>
  <c r="M186" i="207"/>
  <c r="M186" i="206"/>
  <c r="L186" i="207"/>
  <c r="L186" i="206"/>
  <c r="I145" i="207"/>
  <c r="I145" i="206"/>
  <c r="G358" i="207"/>
  <c r="G354" i="207" s="1"/>
  <c r="G353" i="207" s="1"/>
  <c r="G358" i="206"/>
  <c r="G354" i="206" s="1"/>
  <c r="G353" i="206" s="1"/>
  <c r="H40" i="207"/>
  <c r="H40" i="206"/>
  <c r="M40" i="207"/>
  <c r="M40" i="206"/>
  <c r="G43" i="207"/>
  <c r="G43" i="206"/>
  <c r="L43" i="207"/>
  <c r="L43" i="206"/>
  <c r="H118" i="207"/>
  <c r="H118" i="206"/>
  <c r="M112" i="165"/>
  <c r="M118" i="207"/>
  <c r="M118" i="206"/>
  <c r="H120" i="207"/>
  <c r="H120" i="206"/>
  <c r="M120" i="207"/>
  <c r="M120" i="206"/>
  <c r="L122" i="207"/>
  <c r="L122" i="206"/>
  <c r="M273" i="207"/>
  <c r="M273" i="206"/>
  <c r="L273" i="207"/>
  <c r="L273" i="206"/>
  <c r="I273" i="207"/>
  <c r="I273" i="206"/>
  <c r="I186" i="207"/>
  <c r="I186" i="206"/>
  <c r="N311" i="207"/>
  <c r="N311" i="206"/>
  <c r="H186" i="207"/>
  <c r="H186" i="206"/>
  <c r="G186" i="207"/>
  <c r="G186" i="206"/>
  <c r="F186" i="207"/>
  <c r="F186" i="206"/>
  <c r="L330" i="207"/>
  <c r="L330" i="206"/>
  <c r="G377" i="207"/>
  <c r="G373" i="207" s="1"/>
  <c r="G372" i="207" s="1"/>
  <c r="G377" i="206"/>
  <c r="G373" i="206" s="1"/>
  <c r="G372" i="206" s="1"/>
  <c r="I377" i="207"/>
  <c r="I373" i="207" s="1"/>
  <c r="I372" i="207" s="1"/>
  <c r="I377" i="206"/>
  <c r="I373" i="206" s="1"/>
  <c r="I372" i="206" s="1"/>
  <c r="L290" i="207"/>
  <c r="L290" i="206"/>
  <c r="K290" i="207"/>
  <c r="K290" i="206"/>
  <c r="M358" i="207"/>
  <c r="M354" i="207" s="1"/>
  <c r="M353" i="207" s="1"/>
  <c r="M358" i="206"/>
  <c r="M354" i="206" s="1"/>
  <c r="M353" i="206" s="1"/>
  <c r="H358" i="207"/>
  <c r="H358" i="206"/>
  <c r="L262" i="207"/>
  <c r="L262" i="206"/>
  <c r="G262" i="207"/>
  <c r="G262" i="206"/>
  <c r="M262" i="207"/>
  <c r="M262" i="206"/>
  <c r="K40" i="207"/>
  <c r="K40" i="206"/>
  <c r="F118" i="207"/>
  <c r="F118" i="206"/>
  <c r="F120" i="207"/>
  <c r="F120" i="206"/>
  <c r="F311" i="207"/>
  <c r="F311" i="206"/>
  <c r="M397" i="207"/>
  <c r="M393" i="207" s="1"/>
  <c r="M392" i="207" s="1"/>
  <c r="M397" i="206"/>
  <c r="M393" i="206" s="1"/>
  <c r="M392" i="206" s="1"/>
  <c r="M330" i="207"/>
  <c r="M320" i="207" s="1"/>
  <c r="M319" i="207" s="1"/>
  <c r="M330" i="206"/>
  <c r="M320" i="206" s="1"/>
  <c r="M319" i="206" s="1"/>
  <c r="N330" i="207"/>
  <c r="N320" i="207" s="1"/>
  <c r="N319" i="207" s="1"/>
  <c r="N330" i="206"/>
  <c r="F358" i="207"/>
  <c r="F358" i="206"/>
  <c r="L40" i="207"/>
  <c r="L40" i="206"/>
  <c r="F43" i="207"/>
  <c r="F43" i="206"/>
  <c r="K43" i="207"/>
  <c r="K43" i="206"/>
  <c r="G120" i="207"/>
  <c r="G120" i="206"/>
  <c r="K122" i="207"/>
  <c r="K122" i="206"/>
  <c r="F273" i="207"/>
  <c r="F273" i="206"/>
  <c r="N186" i="207"/>
  <c r="N186" i="206"/>
  <c r="M145" i="207"/>
  <c r="M145" i="206"/>
  <c r="I228" i="207"/>
  <c r="I228" i="206"/>
  <c r="I40" i="207"/>
  <c r="I40" i="206"/>
  <c r="N40" i="207"/>
  <c r="N40" i="206"/>
  <c r="H43" i="207"/>
  <c r="H43" i="206"/>
  <c r="M43" i="207"/>
  <c r="M43" i="206"/>
  <c r="O117" i="207"/>
  <c r="O117" i="206"/>
  <c r="I112" i="165"/>
  <c r="I118" i="207"/>
  <c r="I118" i="206"/>
  <c r="N112" i="165"/>
  <c r="N118" i="207"/>
  <c r="N118" i="206"/>
  <c r="I120" i="207"/>
  <c r="I120" i="206"/>
  <c r="N120" i="207"/>
  <c r="N120" i="206"/>
  <c r="M122" i="207"/>
  <c r="M122" i="206"/>
  <c r="H273" i="207"/>
  <c r="H273" i="206"/>
  <c r="G273" i="207"/>
  <c r="G273" i="206"/>
  <c r="F397" i="207"/>
  <c r="F397" i="206"/>
  <c r="K311" i="207"/>
  <c r="K311" i="206"/>
  <c r="G397" i="207"/>
  <c r="G393" i="207" s="1"/>
  <c r="G392" i="207" s="1"/>
  <c r="G397" i="206"/>
  <c r="G393" i="206" s="1"/>
  <c r="G392" i="206" s="1"/>
  <c r="I311" i="207"/>
  <c r="I311" i="206"/>
  <c r="K397" i="207"/>
  <c r="K393" i="207" s="1"/>
  <c r="K392" i="207" s="1"/>
  <c r="K397" i="206"/>
  <c r="K393" i="206" s="1"/>
  <c r="K392" i="206" s="1"/>
  <c r="M311" i="207"/>
  <c r="M311" i="206"/>
  <c r="L397" i="207"/>
  <c r="L393" i="207" s="1"/>
  <c r="L392" i="207" s="1"/>
  <c r="L397" i="206"/>
  <c r="L393" i="206" s="1"/>
  <c r="L392" i="206" s="1"/>
  <c r="L311" i="207"/>
  <c r="L311" i="206"/>
  <c r="F330" i="207"/>
  <c r="F330" i="206"/>
  <c r="F320" i="206" s="1"/>
  <c r="F319" i="206" s="1"/>
  <c r="N377" i="207"/>
  <c r="N373" i="207" s="1"/>
  <c r="N372" i="207" s="1"/>
  <c r="N377" i="206"/>
  <c r="N373" i="206" s="1"/>
  <c r="N372" i="206" s="1"/>
  <c r="I330" i="207"/>
  <c r="I320" i="207" s="1"/>
  <c r="I319" i="207" s="1"/>
  <c r="I330" i="206"/>
  <c r="I320" i="206" s="1"/>
  <c r="I319" i="206" s="1"/>
  <c r="H330" i="207"/>
  <c r="H330" i="206"/>
  <c r="M290" i="207"/>
  <c r="M290" i="206"/>
  <c r="G290" i="207"/>
  <c r="G290" i="206"/>
  <c r="I358" i="207"/>
  <c r="I354" i="207" s="1"/>
  <c r="I353" i="207" s="1"/>
  <c r="I358" i="206"/>
  <c r="I354" i="206" s="1"/>
  <c r="I353" i="206" s="1"/>
  <c r="N358" i="207"/>
  <c r="N354" i="207" s="1"/>
  <c r="N353" i="207" s="1"/>
  <c r="N358" i="206"/>
  <c r="N354" i="206" s="1"/>
  <c r="N353" i="206" s="1"/>
  <c r="G228" i="207"/>
  <c r="G228" i="206"/>
  <c r="N262" i="207"/>
  <c r="N262" i="206"/>
  <c r="F320" i="207"/>
  <c r="F319" i="207" s="1"/>
  <c r="F40" i="207"/>
  <c r="F40" i="206"/>
  <c r="I43" i="207"/>
  <c r="I43" i="206"/>
  <c r="I122" i="207"/>
  <c r="I122" i="206"/>
  <c r="G203" i="207"/>
  <c r="G203" i="206"/>
  <c r="N397" i="207"/>
  <c r="N393" i="207" s="1"/>
  <c r="N392" i="207" s="1"/>
  <c r="N397" i="206"/>
  <c r="N393" i="206" s="1"/>
  <c r="N392" i="206" s="1"/>
  <c r="G330" i="207"/>
  <c r="G330" i="206"/>
  <c r="G320" i="206" s="1"/>
  <c r="G319" i="206" s="1"/>
  <c r="H290" i="207"/>
  <c r="H290" i="206"/>
  <c r="K358" i="207"/>
  <c r="K354" i="207" s="1"/>
  <c r="K353" i="207" s="1"/>
  <c r="K358" i="206"/>
  <c r="K354" i="206" s="1"/>
  <c r="K353" i="206" s="1"/>
  <c r="I262" i="207"/>
  <c r="I262" i="206"/>
  <c r="H262" i="207"/>
  <c r="H262" i="206"/>
  <c r="L320" i="206"/>
  <c r="L319" i="206" s="1"/>
  <c r="N320" i="206"/>
  <c r="N319" i="206" s="1"/>
  <c r="N43" i="207"/>
  <c r="N43" i="206"/>
  <c r="G222" i="207"/>
  <c r="G221" i="207" s="1"/>
  <c r="G220" i="207" s="1"/>
  <c r="G222" i="206"/>
  <c r="M203" i="207"/>
  <c r="M203" i="206"/>
  <c r="M200" i="206" s="1"/>
  <c r="M199" i="206" s="1"/>
  <c r="I203" i="207"/>
  <c r="I203" i="206"/>
  <c r="I200" i="206" s="1"/>
  <c r="I199" i="206" s="1"/>
  <c r="I290" i="207"/>
  <c r="I290" i="206"/>
  <c r="G40" i="207"/>
  <c r="G40" i="206"/>
  <c r="G118" i="207"/>
  <c r="G118" i="206"/>
  <c r="I222" i="207"/>
  <c r="I221" i="207" s="1"/>
  <c r="I220" i="207" s="1"/>
  <c r="I222" i="206"/>
  <c r="I221" i="206" s="1"/>
  <c r="I220" i="206" s="1"/>
  <c r="M222" i="207"/>
  <c r="M222" i="206"/>
  <c r="K186" i="207"/>
  <c r="K186" i="206"/>
  <c r="H377" i="207"/>
  <c r="H373" i="207" s="1"/>
  <c r="H372" i="207" s="1"/>
  <c r="H377" i="206"/>
  <c r="H373" i="206" s="1"/>
  <c r="H372" i="206" s="1"/>
  <c r="L377" i="207"/>
  <c r="L373" i="207" s="1"/>
  <c r="L372" i="207" s="1"/>
  <c r="L377" i="206"/>
  <c r="L373" i="206" s="1"/>
  <c r="L372" i="206" s="1"/>
  <c r="M377" i="207"/>
  <c r="M373" i="207" s="1"/>
  <c r="M372" i="207" s="1"/>
  <c r="M377" i="206"/>
  <c r="M373" i="206" s="1"/>
  <c r="M372" i="206" s="1"/>
  <c r="N290" i="207"/>
  <c r="N290" i="206"/>
  <c r="L358" i="207"/>
  <c r="L354" i="207" s="1"/>
  <c r="L353" i="207" s="1"/>
  <c r="L358" i="206"/>
  <c r="L354" i="206" s="1"/>
  <c r="L353" i="206" s="1"/>
  <c r="F262" i="207"/>
  <c r="F262" i="206"/>
  <c r="M228" i="207"/>
  <c r="M228" i="206"/>
  <c r="G320" i="207"/>
  <c r="G319" i="207" s="1"/>
  <c r="L320" i="207"/>
  <c r="L319" i="207" s="1"/>
  <c r="M200" i="207"/>
  <c r="M199" i="207" s="1"/>
  <c r="I200" i="207"/>
  <c r="I199" i="207" s="1"/>
  <c r="L17" i="207"/>
  <c r="L17" i="206"/>
  <c r="I17" i="207"/>
  <c r="I17" i="206"/>
  <c r="M17" i="207"/>
  <c r="M17" i="206"/>
  <c r="N17" i="207"/>
  <c r="N17" i="206"/>
  <c r="K330" i="207"/>
  <c r="K330" i="206"/>
  <c r="K273" i="207"/>
  <c r="K273" i="206"/>
  <c r="K47" i="207"/>
  <c r="K47" i="206"/>
  <c r="G42" i="165"/>
  <c r="L42" i="165"/>
  <c r="I42" i="165"/>
  <c r="N42" i="165"/>
  <c r="F42" i="165"/>
  <c r="H42" i="165"/>
  <c r="M42" i="165"/>
  <c r="K42" i="165"/>
  <c r="L354" i="165"/>
  <c r="L320" i="165"/>
  <c r="G373" i="165"/>
  <c r="I373" i="165"/>
  <c r="M354" i="165"/>
  <c r="G354" i="165"/>
  <c r="G393" i="165"/>
  <c r="K393" i="165"/>
  <c r="L393" i="165"/>
  <c r="F320" i="165"/>
  <c r="N373" i="165"/>
  <c r="I320" i="165"/>
  <c r="I354" i="165"/>
  <c r="N354" i="165"/>
  <c r="H373" i="165"/>
  <c r="L373" i="165"/>
  <c r="M373" i="165"/>
  <c r="I393" i="165"/>
  <c r="N393" i="165"/>
  <c r="M393" i="165"/>
  <c r="G320" i="165"/>
  <c r="M320" i="165"/>
  <c r="N320" i="165"/>
  <c r="K354" i="165"/>
  <c r="G36" i="165"/>
  <c r="L36" i="165"/>
  <c r="H36" i="165"/>
  <c r="M36" i="165"/>
  <c r="I36" i="165"/>
  <c r="N36" i="165"/>
  <c r="F36" i="165"/>
  <c r="K36" i="165"/>
  <c r="K270" i="165"/>
  <c r="N270" i="165"/>
  <c r="F270" i="165"/>
  <c r="M270" i="165"/>
  <c r="L270" i="165"/>
  <c r="I270" i="165"/>
  <c r="H270" i="165"/>
  <c r="G270" i="165"/>
  <c r="N298" i="165"/>
  <c r="M221" i="165"/>
  <c r="G221" i="165"/>
  <c r="I221" i="165"/>
  <c r="F129" i="165"/>
  <c r="G129" i="165"/>
  <c r="H129" i="165"/>
  <c r="I129" i="165"/>
  <c r="L129" i="165"/>
  <c r="M129" i="165"/>
  <c r="N129" i="165"/>
  <c r="H298" i="165"/>
  <c r="L298" i="165"/>
  <c r="K298" i="165"/>
  <c r="M298" i="165"/>
  <c r="I298" i="165"/>
  <c r="I200" i="165"/>
  <c r="M200" i="165"/>
  <c r="G298" i="165"/>
  <c r="F298" i="165"/>
  <c r="I25" i="165"/>
  <c r="I16" i="165" s="1"/>
  <c r="N25" i="165"/>
  <c r="N16" i="165" s="1"/>
  <c r="E40" i="165"/>
  <c r="F25" i="165"/>
  <c r="K25" i="165"/>
  <c r="I190" i="165"/>
  <c r="H190" i="165"/>
  <c r="L190" i="165"/>
  <c r="G25" i="165"/>
  <c r="K190" i="165"/>
  <c r="H25" i="165"/>
  <c r="J117" i="165"/>
  <c r="N190" i="165"/>
  <c r="M190" i="165"/>
  <c r="G190" i="165"/>
  <c r="F190" i="165"/>
  <c r="M25" i="165"/>
  <c r="M16" i="165" s="1"/>
  <c r="G80" i="167"/>
  <c r="J77" i="167"/>
  <c r="G221" i="206" l="1"/>
  <c r="G220" i="206" s="1"/>
  <c r="F16" i="165"/>
  <c r="M25" i="207"/>
  <c r="M25" i="206"/>
  <c r="N190" i="207"/>
  <c r="N190" i="206"/>
  <c r="F190" i="207"/>
  <c r="F190" i="206"/>
  <c r="J117" i="207"/>
  <c r="J117" i="206"/>
  <c r="L190" i="207"/>
  <c r="L190" i="206"/>
  <c r="F298" i="207"/>
  <c r="F298" i="206"/>
  <c r="I298" i="207"/>
  <c r="I285" i="207" s="1"/>
  <c r="I284" i="207" s="1"/>
  <c r="I298" i="206"/>
  <c r="I285" i="206" s="1"/>
  <c r="I284" i="206" s="1"/>
  <c r="H298" i="207"/>
  <c r="H298" i="206"/>
  <c r="I129" i="207"/>
  <c r="I129" i="206"/>
  <c r="G270" i="207"/>
  <c r="G257" i="207" s="1"/>
  <c r="G256" i="207" s="1"/>
  <c r="G270" i="206"/>
  <c r="G257" i="206" s="1"/>
  <c r="G256" i="206" s="1"/>
  <c r="M270" i="207"/>
  <c r="M270" i="206"/>
  <c r="M257" i="206" s="1"/>
  <c r="M256" i="206" s="1"/>
  <c r="K36" i="207"/>
  <c r="K36" i="206"/>
  <c r="M36" i="207"/>
  <c r="M36" i="206"/>
  <c r="K42" i="207"/>
  <c r="K16" i="207" s="1"/>
  <c r="K15" i="207" s="1"/>
  <c r="K42" i="206"/>
  <c r="K16" i="206" s="1"/>
  <c r="K15" i="206" s="1"/>
  <c r="N42" i="207"/>
  <c r="N42" i="206"/>
  <c r="N112" i="207"/>
  <c r="N112" i="206"/>
  <c r="G190" i="207"/>
  <c r="G190" i="206"/>
  <c r="H25" i="207"/>
  <c r="H25" i="206"/>
  <c r="H190" i="207"/>
  <c r="H190" i="206"/>
  <c r="E40" i="207"/>
  <c r="E40" i="206"/>
  <c r="G298" i="207"/>
  <c r="G298" i="206"/>
  <c r="M298" i="207"/>
  <c r="M285" i="207" s="1"/>
  <c r="M284" i="207" s="1"/>
  <c r="M298" i="206"/>
  <c r="M285" i="206" s="1"/>
  <c r="M284" i="206" s="1"/>
  <c r="N129" i="207"/>
  <c r="N129" i="206"/>
  <c r="H129" i="207"/>
  <c r="H129" i="206"/>
  <c r="H270" i="207"/>
  <c r="H257" i="207" s="1"/>
  <c r="H256" i="207" s="1"/>
  <c r="H270" i="206"/>
  <c r="H257" i="206" s="1"/>
  <c r="H256" i="206" s="1"/>
  <c r="F270" i="207"/>
  <c r="F257" i="207" s="1"/>
  <c r="F256" i="207" s="1"/>
  <c r="F270" i="206"/>
  <c r="F257" i="206" s="1"/>
  <c r="F256" i="206" s="1"/>
  <c r="H36" i="207"/>
  <c r="H36" i="206"/>
  <c r="M42" i="207"/>
  <c r="M42" i="206"/>
  <c r="I42" i="207"/>
  <c r="I42" i="206"/>
  <c r="M221" i="206"/>
  <c r="M220" i="206" s="1"/>
  <c r="M112" i="207"/>
  <c r="M112" i="206"/>
  <c r="K112" i="207"/>
  <c r="K112" i="206"/>
  <c r="M190" i="207"/>
  <c r="M140" i="207" s="1"/>
  <c r="M139" i="207" s="1"/>
  <c r="M190" i="206"/>
  <c r="M140" i="206" s="1"/>
  <c r="M139" i="206" s="1"/>
  <c r="I190" i="207"/>
  <c r="I140" i="207" s="1"/>
  <c r="I190" i="206"/>
  <c r="I140" i="206" s="1"/>
  <c r="I139" i="206" s="1"/>
  <c r="N25" i="207"/>
  <c r="N25" i="206"/>
  <c r="M129" i="207"/>
  <c r="M129" i="206"/>
  <c r="G129" i="207"/>
  <c r="G129" i="206"/>
  <c r="I270" i="207"/>
  <c r="I257" i="207" s="1"/>
  <c r="I256" i="207" s="1"/>
  <c r="I270" i="206"/>
  <c r="N270" i="207"/>
  <c r="N257" i="207" s="1"/>
  <c r="N256" i="207" s="1"/>
  <c r="N270" i="206"/>
  <c r="N257" i="206" s="1"/>
  <c r="N256" i="206" s="1"/>
  <c r="N36" i="207"/>
  <c r="N36" i="206"/>
  <c r="L36" i="207"/>
  <c r="L36" i="206"/>
  <c r="H42" i="207"/>
  <c r="H42" i="206"/>
  <c r="L42" i="207"/>
  <c r="L42" i="206"/>
  <c r="M221" i="207"/>
  <c r="M220" i="207" s="1"/>
  <c r="I257" i="206"/>
  <c r="I256" i="206" s="1"/>
  <c r="M257" i="207"/>
  <c r="M256" i="207" s="1"/>
  <c r="L112" i="207"/>
  <c r="L112" i="206"/>
  <c r="G25" i="207"/>
  <c r="G25" i="206"/>
  <c r="K25" i="207"/>
  <c r="K25" i="206"/>
  <c r="I25" i="207"/>
  <c r="I25" i="206"/>
  <c r="L298" i="207"/>
  <c r="L285" i="207" s="1"/>
  <c r="L284" i="207" s="1"/>
  <c r="L298" i="206"/>
  <c r="L285" i="206" s="1"/>
  <c r="L284" i="206" s="1"/>
  <c r="L129" i="207"/>
  <c r="L129" i="206"/>
  <c r="F129" i="207"/>
  <c r="F129" i="206"/>
  <c r="N298" i="207"/>
  <c r="N285" i="207" s="1"/>
  <c r="N284" i="207" s="1"/>
  <c r="N298" i="206"/>
  <c r="N285" i="206" s="1"/>
  <c r="N284" i="206" s="1"/>
  <c r="L270" i="207"/>
  <c r="L257" i="207" s="1"/>
  <c r="L256" i="207" s="1"/>
  <c r="L270" i="206"/>
  <c r="L257" i="206" s="1"/>
  <c r="L256" i="206" s="1"/>
  <c r="I36" i="207"/>
  <c r="I36" i="206"/>
  <c r="G36" i="207"/>
  <c r="G36" i="206"/>
  <c r="F42" i="207"/>
  <c r="F16" i="207" s="1"/>
  <c r="F15" i="207" s="1"/>
  <c r="F42" i="206"/>
  <c r="F16" i="206" s="1"/>
  <c r="F15" i="206" s="1"/>
  <c r="G42" i="207"/>
  <c r="G42" i="206"/>
  <c r="I112" i="207"/>
  <c r="I108" i="207" s="1"/>
  <c r="I107" i="207" s="1"/>
  <c r="I112" i="206"/>
  <c r="I108" i="206" s="1"/>
  <c r="I107" i="206" s="1"/>
  <c r="F25" i="207"/>
  <c r="F25" i="206"/>
  <c r="K190" i="207"/>
  <c r="K190" i="206"/>
  <c r="K298" i="206"/>
  <c r="K285" i="206" s="1"/>
  <c r="K284" i="206" s="1"/>
  <c r="K298" i="207"/>
  <c r="K285" i="207" s="1"/>
  <c r="K284" i="207" s="1"/>
  <c r="K270" i="207"/>
  <c r="K270" i="206"/>
  <c r="F36" i="206"/>
  <c r="F36" i="207"/>
  <c r="M285" i="165"/>
  <c r="L285" i="165"/>
  <c r="N285" i="165"/>
  <c r="I285" i="165"/>
  <c r="K285" i="165"/>
  <c r="L257" i="165"/>
  <c r="I257" i="165"/>
  <c r="G257" i="165"/>
  <c r="M257" i="165"/>
  <c r="N257" i="165"/>
  <c r="H257" i="165"/>
  <c r="F257" i="165"/>
  <c r="I108" i="165"/>
  <c r="L108" i="165"/>
  <c r="M108" i="165"/>
  <c r="N108" i="165"/>
  <c r="E36" i="165"/>
  <c r="M140" i="165"/>
  <c r="I140" i="165"/>
  <c r="L25" i="165"/>
  <c r="L16" i="165" s="1"/>
  <c r="J70" i="167"/>
  <c r="L108" i="207" l="1"/>
  <c r="L107" i="207" s="1"/>
  <c r="N108" i="207"/>
  <c r="N107" i="207" s="1"/>
  <c r="M108" i="206"/>
  <c r="M107" i="206" s="1"/>
  <c r="I429" i="206"/>
  <c r="I440" i="206" s="1"/>
  <c r="I139" i="207"/>
  <c r="I429" i="207"/>
  <c r="I440" i="207" s="1"/>
  <c r="L25" i="207"/>
  <c r="L25" i="206"/>
  <c r="M108" i="207"/>
  <c r="M107" i="207" s="1"/>
  <c r="L108" i="206"/>
  <c r="L107" i="206" s="1"/>
  <c r="N108" i="206"/>
  <c r="N107" i="206" s="1"/>
  <c r="E36" i="207"/>
  <c r="E36" i="206"/>
  <c r="O69" i="165"/>
  <c r="G61" i="165"/>
  <c r="F61" i="165"/>
  <c r="J63" i="165"/>
  <c r="E63" i="165"/>
  <c r="O56" i="165"/>
  <c r="E56" i="165"/>
  <c r="J84" i="167"/>
  <c r="O56" i="207" l="1"/>
  <c r="O56" i="206"/>
  <c r="J63" i="207"/>
  <c r="J63" i="206"/>
  <c r="E56" i="207"/>
  <c r="E56" i="206"/>
  <c r="G61" i="207"/>
  <c r="G61" i="206"/>
  <c r="E63" i="207"/>
  <c r="E63" i="206"/>
  <c r="O69" i="207"/>
  <c r="O69" i="206"/>
  <c r="F61" i="207"/>
  <c r="F61" i="206"/>
  <c r="E55" i="165"/>
  <c r="O55" i="165"/>
  <c r="E69" i="165"/>
  <c r="H77" i="167"/>
  <c r="J69" i="165"/>
  <c r="I77" i="167"/>
  <c r="F67" i="165"/>
  <c r="G67" i="165"/>
  <c r="H70" i="167"/>
  <c r="P63" i="165"/>
  <c r="F71" i="165"/>
  <c r="O72" i="165"/>
  <c r="J67" i="167"/>
  <c r="J83" i="167"/>
  <c r="P63" i="207" l="1"/>
  <c r="P63" i="206"/>
  <c r="O55" i="207"/>
  <c r="O55" i="206"/>
  <c r="J69" i="207"/>
  <c r="J69" i="206"/>
  <c r="E55" i="207"/>
  <c r="E55" i="206"/>
  <c r="G67" i="207"/>
  <c r="G67" i="206"/>
  <c r="O72" i="207"/>
  <c r="O72" i="206"/>
  <c r="F71" i="207"/>
  <c r="F71" i="206"/>
  <c r="F67" i="207"/>
  <c r="F67" i="206"/>
  <c r="E69" i="207"/>
  <c r="E69" i="206"/>
  <c r="M67" i="167"/>
  <c r="M51" i="165"/>
  <c r="O71" i="165"/>
  <c r="G77" i="167"/>
  <c r="I82" i="167"/>
  <c r="H82" i="167"/>
  <c r="E72" i="165"/>
  <c r="P69" i="165"/>
  <c r="M63" i="167"/>
  <c r="J72" i="165"/>
  <c r="J56" i="165"/>
  <c r="O70" i="165"/>
  <c r="E70" i="165"/>
  <c r="H64" i="165"/>
  <c r="F64" i="165"/>
  <c r="J89" i="167"/>
  <c r="O78" i="165"/>
  <c r="H64" i="207" l="1"/>
  <c r="H64" i="206"/>
  <c r="J72" i="207"/>
  <c r="J72" i="206"/>
  <c r="M51" i="207"/>
  <c r="M51" i="206"/>
  <c r="O78" i="207"/>
  <c r="O78" i="206"/>
  <c r="E70" i="207"/>
  <c r="E70" i="206"/>
  <c r="P69" i="207"/>
  <c r="P69" i="206"/>
  <c r="O70" i="207"/>
  <c r="O70" i="206"/>
  <c r="F64" i="207"/>
  <c r="F64" i="206"/>
  <c r="J56" i="207"/>
  <c r="J56" i="206"/>
  <c r="E72" i="206"/>
  <c r="E72" i="207"/>
  <c r="O71" i="207"/>
  <c r="O71" i="206"/>
  <c r="M49" i="165"/>
  <c r="F49" i="165"/>
  <c r="J55" i="165"/>
  <c r="P72" i="165"/>
  <c r="G82" i="167"/>
  <c r="H83" i="167"/>
  <c r="E71" i="165"/>
  <c r="J70" i="165"/>
  <c r="I84" i="167"/>
  <c r="G64" i="165"/>
  <c r="E78" i="165"/>
  <c r="J78" i="165"/>
  <c r="H84" i="167"/>
  <c r="I70" i="167"/>
  <c r="G70" i="167" s="1"/>
  <c r="J71" i="165"/>
  <c r="P56" i="165"/>
  <c r="O415" i="165"/>
  <c r="E415" i="165"/>
  <c r="I353" i="167"/>
  <c r="H394" i="165"/>
  <c r="O396" i="165"/>
  <c r="E396" i="165"/>
  <c r="F355" i="165"/>
  <c r="O357" i="165"/>
  <c r="E357" i="165"/>
  <c r="O348" i="165"/>
  <c r="E348" i="165"/>
  <c r="O323" i="165"/>
  <c r="E323" i="165"/>
  <c r="F286" i="165"/>
  <c r="O288" i="165"/>
  <c r="E288" i="165"/>
  <c r="O143" i="165"/>
  <c r="E143" i="165"/>
  <c r="O348" i="207" l="1"/>
  <c r="O348" i="206"/>
  <c r="E396" i="207"/>
  <c r="E396" i="206"/>
  <c r="E415" i="207"/>
  <c r="E415" i="206"/>
  <c r="G64" i="207"/>
  <c r="G64" i="206"/>
  <c r="O143" i="207"/>
  <c r="O143" i="206"/>
  <c r="E323" i="207"/>
  <c r="E323" i="206"/>
  <c r="E357" i="207"/>
  <c r="E357" i="206"/>
  <c r="O396" i="207"/>
  <c r="O396" i="206"/>
  <c r="O415" i="207"/>
  <c r="O415" i="206"/>
  <c r="M49" i="207"/>
  <c r="M48" i="207" s="1"/>
  <c r="M49" i="206"/>
  <c r="M48" i="206" s="1"/>
  <c r="F286" i="207"/>
  <c r="F285" i="207" s="1"/>
  <c r="F284" i="207" s="1"/>
  <c r="F286" i="206"/>
  <c r="F285" i="206" s="1"/>
  <c r="F284" i="206" s="1"/>
  <c r="E288" i="207"/>
  <c r="E288" i="206"/>
  <c r="O323" i="207"/>
  <c r="O323" i="206"/>
  <c r="O357" i="207"/>
  <c r="O357" i="206"/>
  <c r="H394" i="207"/>
  <c r="H393" i="207" s="1"/>
  <c r="H392" i="207" s="1"/>
  <c r="H394" i="206"/>
  <c r="H393" i="206" s="1"/>
  <c r="H392" i="206" s="1"/>
  <c r="P56" i="207"/>
  <c r="P56" i="206"/>
  <c r="J78" i="207"/>
  <c r="J78" i="206"/>
  <c r="J70" i="207"/>
  <c r="J70" i="206"/>
  <c r="P72" i="207"/>
  <c r="P72" i="206"/>
  <c r="E143" i="206"/>
  <c r="E143" i="207"/>
  <c r="O288" i="207"/>
  <c r="O288" i="206"/>
  <c r="E348" i="207"/>
  <c r="E348" i="206"/>
  <c r="F355" i="207"/>
  <c r="F354" i="207" s="1"/>
  <c r="F353" i="207" s="1"/>
  <c r="F355" i="206"/>
  <c r="F354" i="206" s="1"/>
  <c r="F353" i="206" s="1"/>
  <c r="J71" i="207"/>
  <c r="J71" i="206"/>
  <c r="E78" i="207"/>
  <c r="E78" i="206"/>
  <c r="E71" i="206"/>
  <c r="E71" i="207"/>
  <c r="J55" i="207"/>
  <c r="J55" i="206"/>
  <c r="F49" i="206"/>
  <c r="F48" i="206" s="1"/>
  <c r="F49" i="207"/>
  <c r="F48" i="207" s="1"/>
  <c r="F285" i="165"/>
  <c r="G49" i="165"/>
  <c r="H393" i="165"/>
  <c r="F354" i="165"/>
  <c r="M48" i="165"/>
  <c r="F48" i="165"/>
  <c r="P55" i="165"/>
  <c r="P71" i="165"/>
  <c r="P70" i="165"/>
  <c r="P78" i="165"/>
  <c r="H315" i="167"/>
  <c r="H288" i="167"/>
  <c r="J348" i="165"/>
  <c r="H248" i="167"/>
  <c r="J323" i="165"/>
  <c r="F345" i="165"/>
  <c r="H343" i="167"/>
  <c r="F413" i="165"/>
  <c r="I89" i="167"/>
  <c r="G84" i="167"/>
  <c r="J288" i="165"/>
  <c r="J396" i="165"/>
  <c r="H309" i="167"/>
  <c r="H307" i="167" s="1"/>
  <c r="J357" i="165"/>
  <c r="F394" i="165"/>
  <c r="H356" i="167"/>
  <c r="J143" i="165"/>
  <c r="J415" i="165"/>
  <c r="H89" i="167"/>
  <c r="I83" i="167"/>
  <c r="G83" i="167" s="1"/>
  <c r="H137" i="167"/>
  <c r="J353" i="167"/>
  <c r="J415" i="207" l="1"/>
  <c r="J415" i="206"/>
  <c r="J357" i="207"/>
  <c r="J357" i="206"/>
  <c r="P71" i="207"/>
  <c r="P71" i="206"/>
  <c r="M47" i="206"/>
  <c r="M429" i="206"/>
  <c r="M440" i="206" s="1"/>
  <c r="J143" i="207"/>
  <c r="J143" i="206"/>
  <c r="J323" i="207"/>
  <c r="J323" i="206"/>
  <c r="P55" i="207"/>
  <c r="P55" i="206"/>
  <c r="M47" i="207"/>
  <c r="M429" i="207"/>
  <c r="M440" i="207" s="1"/>
  <c r="J396" i="207"/>
  <c r="J396" i="206"/>
  <c r="F413" i="207"/>
  <c r="F412" i="207" s="1"/>
  <c r="F411" i="207" s="1"/>
  <c r="F413" i="206"/>
  <c r="F412" i="206" s="1"/>
  <c r="F411" i="206" s="1"/>
  <c r="P78" i="207"/>
  <c r="P78" i="206"/>
  <c r="G49" i="207"/>
  <c r="G48" i="207" s="1"/>
  <c r="G47" i="207" s="1"/>
  <c r="G49" i="206"/>
  <c r="G48" i="206" s="1"/>
  <c r="G47" i="206" s="1"/>
  <c r="F394" i="207"/>
  <c r="F393" i="207" s="1"/>
  <c r="F392" i="207" s="1"/>
  <c r="F394" i="206"/>
  <c r="F393" i="206" s="1"/>
  <c r="F392" i="206" s="1"/>
  <c r="J288" i="207"/>
  <c r="J288" i="206"/>
  <c r="J348" i="207"/>
  <c r="J348" i="206"/>
  <c r="P70" i="207"/>
  <c r="P70" i="206"/>
  <c r="F47" i="207"/>
  <c r="F47" i="206"/>
  <c r="G248" i="167"/>
  <c r="I315" i="167"/>
  <c r="G315" i="167" s="1"/>
  <c r="F393" i="165"/>
  <c r="G343" i="167"/>
  <c r="G48" i="165"/>
  <c r="F412" i="165"/>
  <c r="P357" i="165"/>
  <c r="G309" i="167"/>
  <c r="P396" i="165"/>
  <c r="P415" i="165"/>
  <c r="P323" i="165"/>
  <c r="P143" i="165"/>
  <c r="G89" i="167"/>
  <c r="G288" i="167"/>
  <c r="G356" i="167"/>
  <c r="P348" i="165"/>
  <c r="P288" i="165"/>
  <c r="I137" i="167"/>
  <c r="G137" i="167" s="1"/>
  <c r="O260" i="165"/>
  <c r="E260" i="165"/>
  <c r="P415" i="207" l="1"/>
  <c r="P415" i="206"/>
  <c r="P288" i="207"/>
  <c r="P288" i="206"/>
  <c r="P396" i="207"/>
  <c r="P396" i="206"/>
  <c r="E260" i="207"/>
  <c r="E260" i="206"/>
  <c r="P348" i="207"/>
  <c r="P348" i="206"/>
  <c r="P143" i="207"/>
  <c r="P143" i="206"/>
  <c r="O260" i="207"/>
  <c r="O260" i="206"/>
  <c r="P323" i="207"/>
  <c r="P323" i="206"/>
  <c r="P357" i="207"/>
  <c r="P357" i="206"/>
  <c r="H221" i="167"/>
  <c r="J260" i="165"/>
  <c r="J260" i="207" l="1"/>
  <c r="J260" i="206"/>
  <c r="G221" i="167"/>
  <c r="P260" i="165"/>
  <c r="O20" i="165"/>
  <c r="E20" i="165"/>
  <c r="P260" i="207" l="1"/>
  <c r="P260" i="206"/>
  <c r="E20" i="207"/>
  <c r="E20" i="206"/>
  <c r="O20" i="207"/>
  <c r="O20" i="206"/>
  <c r="J20" i="165"/>
  <c r="H23" i="167"/>
  <c r="J20" i="207" l="1"/>
  <c r="J20" i="206"/>
  <c r="G23" i="167"/>
  <c r="P20" i="165"/>
  <c r="P20" i="207" l="1"/>
  <c r="P20" i="206"/>
  <c r="K129" i="165"/>
  <c r="K129" i="207" l="1"/>
  <c r="K108" i="207" s="1"/>
  <c r="K107" i="207" s="1"/>
  <c r="K129" i="206"/>
  <c r="K108" i="206" s="1"/>
  <c r="K107" i="206" s="1"/>
  <c r="K108" i="165"/>
  <c r="F45" i="172"/>
  <c r="F42" i="172" s="1"/>
  <c r="E45" i="172"/>
  <c r="E42" i="172" l="1"/>
  <c r="F36" i="172"/>
  <c r="E36" i="172" l="1"/>
  <c r="K263" i="165"/>
  <c r="K263" i="207" l="1"/>
  <c r="K263" i="206"/>
  <c r="K262" i="165"/>
  <c r="J215" i="167"/>
  <c r="K262" i="207" l="1"/>
  <c r="K257" i="207" s="1"/>
  <c r="K262" i="206"/>
  <c r="K257" i="206" s="1"/>
  <c r="K257" i="165"/>
  <c r="K17" i="165"/>
  <c r="K16" i="165" s="1"/>
  <c r="K17" i="207" l="1"/>
  <c r="K17" i="206"/>
  <c r="K256" i="206"/>
  <c r="K256" i="207"/>
  <c r="O252" i="165"/>
  <c r="E252" i="165"/>
  <c r="F234" i="165"/>
  <c r="F234" i="207" l="1"/>
  <c r="F234" i="206"/>
  <c r="O250" i="165"/>
  <c r="E250" i="165"/>
  <c r="H234" i="165"/>
  <c r="H215" i="167"/>
  <c r="J252" i="165"/>
  <c r="H234" i="207" l="1"/>
  <c r="H234" i="206"/>
  <c r="J250" i="165"/>
  <c r="E246" i="165"/>
  <c r="H228" i="165"/>
  <c r="O246" i="165"/>
  <c r="P252" i="165"/>
  <c r="I215" i="167"/>
  <c r="G215" i="167" s="1"/>
  <c r="H228" i="207" l="1"/>
  <c r="H228" i="206"/>
  <c r="P250" i="165"/>
  <c r="J246" i="165"/>
  <c r="I17" i="107"/>
  <c r="I13" i="107" s="1"/>
  <c r="P246" i="165" l="1"/>
  <c r="I12" i="107"/>
  <c r="I29" i="107" s="1"/>
  <c r="I16" i="107"/>
  <c r="I15" i="107" s="1"/>
  <c r="I14" i="107" s="1"/>
  <c r="D90" i="170"/>
  <c r="D77" i="170"/>
  <c r="D74" i="170"/>
  <c r="F384" i="165" l="1"/>
  <c r="F384" i="207" l="1"/>
  <c r="F384" i="206"/>
  <c r="H413" i="165"/>
  <c r="K384" i="165"/>
  <c r="F380" i="165"/>
  <c r="J352" i="167"/>
  <c r="J350" i="167"/>
  <c r="K384" i="207" l="1"/>
  <c r="K384" i="206"/>
  <c r="H413" i="207"/>
  <c r="H412" i="207" s="1"/>
  <c r="H411" i="207" s="1"/>
  <c r="H413" i="206"/>
  <c r="H412" i="206" s="1"/>
  <c r="H411" i="206" s="1"/>
  <c r="F380" i="207"/>
  <c r="F380" i="206"/>
  <c r="J348" i="167"/>
  <c r="H412" i="165"/>
  <c r="F377" i="165"/>
  <c r="H404" i="165"/>
  <c r="K380" i="165"/>
  <c r="J344" i="167"/>
  <c r="H344" i="167"/>
  <c r="G342" i="167"/>
  <c r="K380" i="207" l="1"/>
  <c r="K380" i="206"/>
  <c r="H404" i="207"/>
  <c r="H403" i="207" s="1"/>
  <c r="H402" i="207" s="1"/>
  <c r="H404" i="206"/>
  <c r="H403" i="206" s="1"/>
  <c r="H402" i="206" s="1"/>
  <c r="F377" i="207"/>
  <c r="F373" i="207" s="1"/>
  <c r="F372" i="207" s="1"/>
  <c r="F377" i="206"/>
  <c r="F373" i="206" s="1"/>
  <c r="F372" i="206" s="1"/>
  <c r="F373" i="165"/>
  <c r="K344" i="167"/>
  <c r="H341" i="167"/>
  <c r="J341" i="167"/>
  <c r="M344" i="167"/>
  <c r="K377" i="165"/>
  <c r="H355" i="165"/>
  <c r="H403" i="165"/>
  <c r="J283" i="167"/>
  <c r="J281" i="167"/>
  <c r="J278" i="167"/>
  <c r="H278" i="167"/>
  <c r="J263" i="167"/>
  <c r="J261" i="167"/>
  <c r="J260" i="167"/>
  <c r="J254" i="167"/>
  <c r="M254" i="167" s="1"/>
  <c r="J251" i="167"/>
  <c r="M251" i="167" s="1"/>
  <c r="J250" i="167"/>
  <c r="J249" i="167"/>
  <c r="O315" i="165"/>
  <c r="J315" i="165" s="1"/>
  <c r="O313" i="165"/>
  <c r="O314" i="165"/>
  <c r="J241" i="167"/>
  <c r="J231" i="167"/>
  <c r="J225" i="167"/>
  <c r="O314" i="207" l="1"/>
  <c r="O314" i="206"/>
  <c r="O313" i="207"/>
  <c r="O313" i="206"/>
  <c r="H355" i="207"/>
  <c r="H354" i="207" s="1"/>
  <c r="H353" i="207" s="1"/>
  <c r="H355" i="206"/>
  <c r="H354" i="206" s="1"/>
  <c r="H353" i="206" s="1"/>
  <c r="K377" i="207"/>
  <c r="K373" i="207" s="1"/>
  <c r="K372" i="207" s="1"/>
  <c r="K377" i="206"/>
  <c r="K373" i="206" s="1"/>
  <c r="K372" i="206" s="1"/>
  <c r="J246" i="167"/>
  <c r="J245" i="167" s="1"/>
  <c r="M245" i="167" s="1"/>
  <c r="H354" i="165"/>
  <c r="K373" i="165"/>
  <c r="J219" i="167"/>
  <c r="H321" i="165"/>
  <c r="H286" i="165"/>
  <c r="J313" i="165"/>
  <c r="O312" i="165"/>
  <c r="I283" i="167"/>
  <c r="J201" i="167"/>
  <c r="L225" i="165"/>
  <c r="O312" i="207" l="1"/>
  <c r="O312" i="206"/>
  <c r="H321" i="207"/>
  <c r="H320" i="207" s="1"/>
  <c r="H319" i="207" s="1"/>
  <c r="H321" i="206"/>
  <c r="H320" i="206" s="1"/>
  <c r="H319" i="206" s="1"/>
  <c r="L225" i="207"/>
  <c r="L225" i="206"/>
  <c r="J313" i="207"/>
  <c r="J313" i="206"/>
  <c r="H286" i="207"/>
  <c r="H286" i="206"/>
  <c r="H320" i="165"/>
  <c r="I281" i="167"/>
  <c r="L222" i="165"/>
  <c r="O311" i="165"/>
  <c r="H345" i="165"/>
  <c r="N225" i="165"/>
  <c r="N234" i="165"/>
  <c r="L234" i="165"/>
  <c r="K234" i="165"/>
  <c r="K239" i="165"/>
  <c r="L234" i="207" l="1"/>
  <c r="L234" i="206"/>
  <c r="K239" i="207"/>
  <c r="K239" i="206"/>
  <c r="N225" i="207"/>
  <c r="N225" i="206"/>
  <c r="K234" i="207"/>
  <c r="K234" i="206"/>
  <c r="O311" i="207"/>
  <c r="O311" i="206"/>
  <c r="N234" i="207"/>
  <c r="N234" i="206"/>
  <c r="L222" i="207"/>
  <c r="L222" i="206"/>
  <c r="K228" i="165"/>
  <c r="L228" i="165"/>
  <c r="N228" i="165"/>
  <c r="N222" i="165"/>
  <c r="K225" i="165"/>
  <c r="P13" i="107"/>
  <c r="P12" i="107" s="1"/>
  <c r="P29" i="107" s="1"/>
  <c r="F223" i="165"/>
  <c r="E428" i="165"/>
  <c r="I199" i="165"/>
  <c r="J195" i="167"/>
  <c r="L228" i="207" l="1"/>
  <c r="L228" i="206"/>
  <c r="L221" i="206" s="1"/>
  <c r="N222" i="207"/>
  <c r="N222" i="206"/>
  <c r="F223" i="207"/>
  <c r="F223" i="206"/>
  <c r="N228" i="207"/>
  <c r="N228" i="206"/>
  <c r="L221" i="207"/>
  <c r="K225" i="207"/>
  <c r="K225" i="206"/>
  <c r="K228" i="207"/>
  <c r="K228" i="206"/>
  <c r="L221" i="165"/>
  <c r="N221" i="165"/>
  <c r="N201" i="165"/>
  <c r="H223" i="165"/>
  <c r="O201" i="165"/>
  <c r="F229" i="165"/>
  <c r="K222" i="165"/>
  <c r="L201" i="165"/>
  <c r="F232" i="165"/>
  <c r="L208" i="165"/>
  <c r="E90" i="170"/>
  <c r="F239" i="165"/>
  <c r="E427" i="165"/>
  <c r="H225" i="165"/>
  <c r="N203" i="165"/>
  <c r="F225" i="165"/>
  <c r="O219" i="165"/>
  <c r="E219" i="165"/>
  <c r="E83" i="170" s="1"/>
  <c r="L208" i="207" l="1"/>
  <c r="L208" i="206"/>
  <c r="F229" i="207"/>
  <c r="F229" i="206"/>
  <c r="N221" i="206"/>
  <c r="N220" i="206" s="1"/>
  <c r="H225" i="207"/>
  <c r="H225" i="206"/>
  <c r="F232" i="207"/>
  <c r="F232" i="206"/>
  <c r="O201" i="207"/>
  <c r="O201" i="206"/>
  <c r="N221" i="207"/>
  <c r="N220" i="207" s="1"/>
  <c r="F225" i="207"/>
  <c r="F225" i="206"/>
  <c r="F239" i="207"/>
  <c r="F239" i="206"/>
  <c r="L201" i="207"/>
  <c r="L201" i="206"/>
  <c r="H223" i="207"/>
  <c r="H223" i="206"/>
  <c r="L220" i="207"/>
  <c r="N203" i="207"/>
  <c r="N203" i="206"/>
  <c r="K222" i="207"/>
  <c r="K221" i="207" s="1"/>
  <c r="K220" i="207" s="1"/>
  <c r="K222" i="206"/>
  <c r="K221" i="206" s="1"/>
  <c r="K220" i="206" s="1"/>
  <c r="N201" i="207"/>
  <c r="N200" i="207" s="1"/>
  <c r="N199" i="207" s="1"/>
  <c r="N201" i="206"/>
  <c r="N200" i="206" s="1"/>
  <c r="N199" i="206" s="1"/>
  <c r="L220" i="206"/>
  <c r="F228" i="165"/>
  <c r="K221" i="165"/>
  <c r="L203" i="165"/>
  <c r="H208" i="165"/>
  <c r="F222" i="165"/>
  <c r="H222" i="165"/>
  <c r="E426" i="165"/>
  <c r="N200" i="165"/>
  <c r="F208" i="165"/>
  <c r="E218" i="165"/>
  <c r="J219" i="165"/>
  <c r="O218" i="165"/>
  <c r="H195" i="167"/>
  <c r="J179" i="167"/>
  <c r="H222" i="207" l="1"/>
  <c r="H221" i="207" s="1"/>
  <c r="H220" i="207" s="1"/>
  <c r="H222" i="206"/>
  <c r="H221" i="206" s="1"/>
  <c r="H220" i="206" s="1"/>
  <c r="F208" i="207"/>
  <c r="F208" i="206"/>
  <c r="F222" i="207"/>
  <c r="F222" i="206"/>
  <c r="F228" i="207"/>
  <c r="F228" i="206"/>
  <c r="H208" i="207"/>
  <c r="H208" i="206"/>
  <c r="L203" i="207"/>
  <c r="L200" i="207" s="1"/>
  <c r="L199" i="207" s="1"/>
  <c r="L203" i="206"/>
  <c r="L200" i="206" s="1"/>
  <c r="L199" i="206" s="1"/>
  <c r="H221" i="165"/>
  <c r="F221" i="165"/>
  <c r="L200" i="165"/>
  <c r="E217" i="165"/>
  <c r="P219" i="165"/>
  <c r="O217" i="165"/>
  <c r="I195" i="167"/>
  <c r="G195" i="167" s="1"/>
  <c r="J218" i="165"/>
  <c r="K203" i="165"/>
  <c r="F203" i="165"/>
  <c r="G279" i="167"/>
  <c r="G277" i="167"/>
  <c r="G262" i="167"/>
  <c r="G257" i="167"/>
  <c r="G247" i="167"/>
  <c r="G220" i="167"/>
  <c r="J218" i="167"/>
  <c r="F221" i="206" l="1"/>
  <c r="F220" i="206" s="1"/>
  <c r="F221" i="207"/>
  <c r="F220" i="207" s="1"/>
  <c r="F203" i="206"/>
  <c r="F203" i="207"/>
  <c r="K203" i="207"/>
  <c r="K200" i="207" s="1"/>
  <c r="K203" i="206"/>
  <c r="K200" i="206" s="1"/>
  <c r="K200" i="165"/>
  <c r="J217" i="165"/>
  <c r="H201" i="165"/>
  <c r="F201" i="165"/>
  <c r="H203" i="165"/>
  <c r="G201" i="165"/>
  <c r="P218" i="165"/>
  <c r="O19" i="165"/>
  <c r="E19" i="165"/>
  <c r="F201" i="207" l="1"/>
  <c r="F201" i="206"/>
  <c r="O19" i="207"/>
  <c r="O19" i="206"/>
  <c r="H201" i="207"/>
  <c r="H201" i="206"/>
  <c r="G201" i="207"/>
  <c r="G200" i="207" s="1"/>
  <c r="G199" i="207" s="1"/>
  <c r="G201" i="206"/>
  <c r="G200" i="206" s="1"/>
  <c r="G199" i="206" s="1"/>
  <c r="F200" i="207"/>
  <c r="F199" i="207" s="1"/>
  <c r="E19" i="207"/>
  <c r="E19" i="206"/>
  <c r="H203" i="207"/>
  <c r="H203" i="206"/>
  <c r="F200" i="206"/>
  <c r="F199" i="206" s="1"/>
  <c r="K199" i="206"/>
  <c r="K199" i="207"/>
  <c r="J19" i="165"/>
  <c r="G200" i="165"/>
  <c r="F200" i="165"/>
  <c r="P217" i="165"/>
  <c r="H200" i="165"/>
  <c r="J159" i="167"/>
  <c r="J19" i="207" l="1"/>
  <c r="J19" i="206"/>
  <c r="H200" i="206"/>
  <c r="H199" i="206" s="1"/>
  <c r="H200" i="207"/>
  <c r="H199" i="207" s="1"/>
  <c r="P19" i="165"/>
  <c r="L183" i="165"/>
  <c r="L155" i="165"/>
  <c r="N183" i="165"/>
  <c r="N155" i="165"/>
  <c r="J173" i="167"/>
  <c r="J169" i="167"/>
  <c r="J158" i="167"/>
  <c r="J153" i="167"/>
  <c r="J147" i="167"/>
  <c r="J143" i="167"/>
  <c r="J142" i="167"/>
  <c r="J141" i="167"/>
  <c r="J140" i="167"/>
  <c r="J139" i="167"/>
  <c r="N183" i="207" l="1"/>
  <c r="N183" i="206"/>
  <c r="L155" i="207"/>
  <c r="L155" i="206"/>
  <c r="L183" i="207"/>
  <c r="L183" i="206"/>
  <c r="N155" i="207"/>
  <c r="N155" i="206"/>
  <c r="P19" i="207"/>
  <c r="P19" i="206"/>
  <c r="L145" i="165"/>
  <c r="N145" i="165"/>
  <c r="J114" i="167"/>
  <c r="N145" i="207" l="1"/>
  <c r="N140" i="207" s="1"/>
  <c r="N139" i="207" s="1"/>
  <c r="N145" i="206"/>
  <c r="N140" i="206" s="1"/>
  <c r="N139" i="206" s="1"/>
  <c r="L145" i="207"/>
  <c r="L140" i="207" s="1"/>
  <c r="L139" i="207" s="1"/>
  <c r="L145" i="206"/>
  <c r="L140" i="206" s="1"/>
  <c r="L139" i="206" s="1"/>
  <c r="N140" i="165"/>
  <c r="L140" i="165"/>
  <c r="H155" i="165"/>
  <c r="G183" i="165"/>
  <c r="H141" i="165"/>
  <c r="H183" i="165"/>
  <c r="G155" i="165"/>
  <c r="J161" i="167"/>
  <c r="J133" i="167" s="1"/>
  <c r="K183" i="165"/>
  <c r="H183" i="207" l="1"/>
  <c r="H183" i="206"/>
  <c r="K183" i="207"/>
  <c r="K183" i="206"/>
  <c r="G183" i="207"/>
  <c r="G183" i="206"/>
  <c r="G155" i="207"/>
  <c r="G155" i="206"/>
  <c r="H155" i="207"/>
  <c r="H155" i="206"/>
  <c r="H141" i="207"/>
  <c r="H141" i="206"/>
  <c r="K145" i="165"/>
  <c r="G145" i="165"/>
  <c r="H145" i="165"/>
  <c r="H122" i="165"/>
  <c r="G122" i="165"/>
  <c r="F122" i="165"/>
  <c r="F112" i="165" l="1"/>
  <c r="F122" i="207"/>
  <c r="F122" i="206"/>
  <c r="H112" i="165"/>
  <c r="H122" i="207"/>
  <c r="H122" i="206"/>
  <c r="H145" i="207"/>
  <c r="H140" i="207" s="1"/>
  <c r="H139" i="207" s="1"/>
  <c r="H145" i="206"/>
  <c r="H140" i="206" s="1"/>
  <c r="H139" i="206" s="1"/>
  <c r="G145" i="207"/>
  <c r="G140" i="207" s="1"/>
  <c r="G139" i="207" s="1"/>
  <c r="G145" i="206"/>
  <c r="G140" i="206" s="1"/>
  <c r="G139" i="206" s="1"/>
  <c r="G112" i="165"/>
  <c r="G122" i="207"/>
  <c r="G122" i="206"/>
  <c r="K145" i="207"/>
  <c r="K140" i="207" s="1"/>
  <c r="K145" i="206"/>
  <c r="K140" i="206" s="1"/>
  <c r="K140" i="165"/>
  <c r="G140" i="165"/>
  <c r="H140" i="165"/>
  <c r="K328" i="165"/>
  <c r="K139" i="207" l="1"/>
  <c r="H112" i="207"/>
  <c r="H108" i="207" s="1"/>
  <c r="H107" i="207" s="1"/>
  <c r="H112" i="206"/>
  <c r="H108" i="206" s="1"/>
  <c r="H107" i="206" s="1"/>
  <c r="K328" i="207"/>
  <c r="K328" i="206"/>
  <c r="K139" i="206"/>
  <c r="G112" i="207"/>
  <c r="G108" i="207" s="1"/>
  <c r="G107" i="207" s="1"/>
  <c r="G112" i="206"/>
  <c r="G108" i="206" s="1"/>
  <c r="G107" i="206" s="1"/>
  <c r="F112" i="207"/>
  <c r="F108" i="207" s="1"/>
  <c r="F107" i="207" s="1"/>
  <c r="F112" i="206"/>
  <c r="F108" i="206" s="1"/>
  <c r="F107" i="206" s="1"/>
  <c r="F108" i="165"/>
  <c r="H108" i="165"/>
  <c r="G108" i="165"/>
  <c r="K327" i="165"/>
  <c r="L61" i="165"/>
  <c r="K327" i="207" l="1"/>
  <c r="K320" i="207" s="1"/>
  <c r="K327" i="206"/>
  <c r="K320" i="206" s="1"/>
  <c r="L61" i="207"/>
  <c r="L61" i="206"/>
  <c r="K320" i="165"/>
  <c r="N61" i="165"/>
  <c r="L64" i="165"/>
  <c r="O61" i="165"/>
  <c r="N64" i="165"/>
  <c r="N64" i="207" l="1"/>
  <c r="N64" i="206"/>
  <c r="O61" i="207"/>
  <c r="O61" i="206"/>
  <c r="L64" i="207"/>
  <c r="L64" i="206"/>
  <c r="N61" i="207"/>
  <c r="N61" i="206"/>
  <c r="K319" i="206"/>
  <c r="K429" i="206"/>
  <c r="K319" i="207"/>
  <c r="K429" i="207"/>
  <c r="N51" i="165"/>
  <c r="L51" i="165"/>
  <c r="L51" i="207" l="1"/>
  <c r="L51" i="206"/>
  <c r="K443" i="206"/>
  <c r="K440" i="206"/>
  <c r="K443" i="207"/>
  <c r="K440" i="207"/>
  <c r="N51" i="207"/>
  <c r="N51" i="206"/>
  <c r="N49" i="165"/>
  <c r="L49" i="165"/>
  <c r="G61" i="167"/>
  <c r="L49" i="207" l="1"/>
  <c r="L48" i="207" s="1"/>
  <c r="L49" i="206"/>
  <c r="L48" i="206" s="1"/>
  <c r="N49" i="207"/>
  <c r="N48" i="207" s="1"/>
  <c r="N49" i="206"/>
  <c r="N48" i="206" s="1"/>
  <c r="N48" i="165"/>
  <c r="L48" i="165"/>
  <c r="N47" i="206" l="1"/>
  <c r="N429" i="206"/>
  <c r="N440" i="206" s="1"/>
  <c r="N47" i="207"/>
  <c r="N429" i="207"/>
  <c r="N440" i="207" s="1"/>
  <c r="L47" i="206"/>
  <c r="L429" i="206"/>
  <c r="L440" i="206" s="1"/>
  <c r="L47" i="207"/>
  <c r="L429" i="207"/>
  <c r="L440" i="207" s="1"/>
  <c r="H61" i="165"/>
  <c r="H61" i="207" l="1"/>
  <c r="H61" i="206"/>
  <c r="H67" i="165"/>
  <c r="J44" i="167"/>
  <c r="M44" i="167" s="1"/>
  <c r="O45" i="165"/>
  <c r="E45" i="165"/>
  <c r="J33" i="167"/>
  <c r="M33" i="167" s="1"/>
  <c r="H67" i="207" l="1"/>
  <c r="H67" i="206"/>
  <c r="E45" i="207"/>
  <c r="E45" i="206"/>
  <c r="O45" i="207"/>
  <c r="O45" i="206"/>
  <c r="H49" i="165"/>
  <c r="J45" i="165"/>
  <c r="E77" i="170"/>
  <c r="H44" i="167"/>
  <c r="J45" i="207" l="1"/>
  <c r="J45" i="206"/>
  <c r="H49" i="207"/>
  <c r="H48" i="207" s="1"/>
  <c r="H47" i="207" s="1"/>
  <c r="H49" i="206"/>
  <c r="H48" i="206" s="1"/>
  <c r="H47" i="206" s="1"/>
  <c r="H48" i="165"/>
  <c r="P45" i="165"/>
  <c r="I44" i="167"/>
  <c r="L44" i="167" s="1"/>
  <c r="K44" i="167"/>
  <c r="P45" i="207" l="1"/>
  <c r="P45" i="206"/>
  <c r="G44" i="167"/>
  <c r="G19" i="167"/>
  <c r="G17" i="165"/>
  <c r="G16" i="165" s="1"/>
  <c r="G17" i="207" l="1"/>
  <c r="G17" i="206"/>
  <c r="H17" i="165"/>
  <c r="H16" i="165" s="1"/>
  <c r="H312" i="165"/>
  <c r="G312" i="165"/>
  <c r="G312" i="207" l="1"/>
  <c r="G312" i="206"/>
  <c r="H312" i="207"/>
  <c r="H312" i="206"/>
  <c r="H17" i="207"/>
  <c r="H17" i="206"/>
  <c r="H311" i="165"/>
  <c r="G311" i="165"/>
  <c r="O197" i="165"/>
  <c r="E197" i="165"/>
  <c r="O188" i="165"/>
  <c r="E188" i="165"/>
  <c r="O185" i="165"/>
  <c r="E185" i="165"/>
  <c r="O166" i="165"/>
  <c r="E166" i="165"/>
  <c r="O165" i="165"/>
  <c r="O163" i="165"/>
  <c r="E163" i="165"/>
  <c r="O162" i="165"/>
  <c r="E162" i="165"/>
  <c r="O160" i="165"/>
  <c r="E160" i="165"/>
  <c r="O157" i="165"/>
  <c r="E157" i="165"/>
  <c r="E156" i="165"/>
  <c r="O154" i="165"/>
  <c r="E154" i="165"/>
  <c r="O152" i="165"/>
  <c r="E152" i="165"/>
  <c r="O151" i="165"/>
  <c r="E151" i="165"/>
  <c r="O150" i="165"/>
  <c r="E150" i="165"/>
  <c r="O149" i="165"/>
  <c r="E149" i="165"/>
  <c r="O148" i="165"/>
  <c r="E148" i="165"/>
  <c r="O147" i="165"/>
  <c r="O142" i="165"/>
  <c r="E142" i="165"/>
  <c r="O147" i="207" l="1"/>
  <c r="O147" i="206"/>
  <c r="E163" i="207"/>
  <c r="E163" i="206"/>
  <c r="E148" i="207"/>
  <c r="E148" i="206"/>
  <c r="E150" i="207"/>
  <c r="E150" i="206"/>
  <c r="E152" i="207"/>
  <c r="E152" i="206"/>
  <c r="E156" i="207"/>
  <c r="E156" i="206"/>
  <c r="O160" i="207"/>
  <c r="O160" i="206"/>
  <c r="O163" i="207"/>
  <c r="O163" i="206"/>
  <c r="E185" i="207"/>
  <c r="E185" i="206"/>
  <c r="H311" i="207"/>
  <c r="H285" i="207" s="1"/>
  <c r="H284" i="207" s="1"/>
  <c r="H311" i="206"/>
  <c r="H285" i="206" s="1"/>
  <c r="H284" i="206" s="1"/>
  <c r="O148" i="207"/>
  <c r="O148" i="206"/>
  <c r="O152" i="207"/>
  <c r="O152" i="206"/>
  <c r="E162" i="207"/>
  <c r="E162" i="206"/>
  <c r="O165" i="207"/>
  <c r="O165" i="206"/>
  <c r="O185" i="207"/>
  <c r="O185" i="206"/>
  <c r="O149" i="207"/>
  <c r="O149" i="206"/>
  <c r="O151" i="207"/>
  <c r="O151" i="206"/>
  <c r="O154" i="207"/>
  <c r="O154" i="206"/>
  <c r="E160" i="207"/>
  <c r="E160" i="206"/>
  <c r="O166" i="207"/>
  <c r="O166" i="206"/>
  <c r="O188" i="207"/>
  <c r="O188" i="206"/>
  <c r="G311" i="207"/>
  <c r="G285" i="207" s="1"/>
  <c r="G311" i="206"/>
  <c r="G285" i="206" s="1"/>
  <c r="E142" i="207"/>
  <c r="E142" i="206"/>
  <c r="O150" i="207"/>
  <c r="O150" i="206"/>
  <c r="O142" i="207"/>
  <c r="O142" i="206"/>
  <c r="E149" i="207"/>
  <c r="E149" i="206"/>
  <c r="E151" i="207"/>
  <c r="E151" i="206"/>
  <c r="E154" i="207"/>
  <c r="E154" i="206"/>
  <c r="O157" i="207"/>
  <c r="O157" i="206"/>
  <c r="O162" i="207"/>
  <c r="O162" i="206"/>
  <c r="E166" i="207"/>
  <c r="E166" i="206"/>
  <c r="E188" i="207"/>
  <c r="E188" i="206"/>
  <c r="H429" i="207"/>
  <c r="E157" i="207"/>
  <c r="E157" i="206"/>
  <c r="H285" i="165"/>
  <c r="K155" i="167"/>
  <c r="G285" i="165"/>
  <c r="G429" i="165" s="1"/>
  <c r="K163" i="167"/>
  <c r="H148" i="167"/>
  <c r="O187" i="165"/>
  <c r="E187" i="165"/>
  <c r="E155" i="165"/>
  <c r="J160" i="165"/>
  <c r="J163" i="165"/>
  <c r="J148" i="165"/>
  <c r="H141" i="167"/>
  <c r="H143" i="167"/>
  <c r="H146" i="167"/>
  <c r="H154" i="167"/>
  <c r="J151" i="165"/>
  <c r="J157" i="165"/>
  <c r="J162" i="165"/>
  <c r="O141" i="165"/>
  <c r="J150" i="165"/>
  <c r="J152" i="165"/>
  <c r="J149" i="165"/>
  <c r="J154" i="165"/>
  <c r="E141" i="165"/>
  <c r="H142" i="167"/>
  <c r="H144" i="167"/>
  <c r="H153" i="167"/>
  <c r="J185" i="165"/>
  <c r="E147" i="165"/>
  <c r="F146" i="165"/>
  <c r="E165" i="165"/>
  <c r="F164" i="165"/>
  <c r="E184" i="165"/>
  <c r="F183" i="165"/>
  <c r="J142" i="165"/>
  <c r="H173" i="167"/>
  <c r="E196" i="165"/>
  <c r="E194" i="165" s="1"/>
  <c r="J197" i="165"/>
  <c r="O196" i="165"/>
  <c r="O194" i="165" s="1"/>
  <c r="H169" i="167"/>
  <c r="J188" i="165"/>
  <c r="J184" i="165"/>
  <c r="O183" i="165"/>
  <c r="H159" i="167"/>
  <c r="J166" i="165"/>
  <c r="J165" i="165"/>
  <c r="O164" i="165"/>
  <c r="H147" i="167"/>
  <c r="J156" i="165"/>
  <c r="O155" i="165"/>
  <c r="J147" i="165"/>
  <c r="O146" i="165"/>
  <c r="H140" i="167"/>
  <c r="O155" i="207" l="1"/>
  <c r="O155" i="206"/>
  <c r="F146" i="207"/>
  <c r="F146" i="206"/>
  <c r="J162" i="207"/>
  <c r="J162" i="206"/>
  <c r="J163" i="207"/>
  <c r="J163" i="206"/>
  <c r="O187" i="207"/>
  <c r="O187" i="206"/>
  <c r="J156" i="207"/>
  <c r="J156" i="206"/>
  <c r="J166" i="207"/>
  <c r="J166" i="206"/>
  <c r="J188" i="207"/>
  <c r="J188" i="206"/>
  <c r="E194" i="207"/>
  <c r="E194" i="206"/>
  <c r="E147" i="207"/>
  <c r="E147" i="206"/>
  <c r="J152" i="207"/>
  <c r="J152" i="206"/>
  <c r="J157" i="207"/>
  <c r="J157" i="206"/>
  <c r="J160" i="207"/>
  <c r="J160" i="206"/>
  <c r="G284" i="207"/>
  <c r="G429" i="207"/>
  <c r="G440" i="207" s="1"/>
  <c r="J184" i="207"/>
  <c r="J184" i="206"/>
  <c r="O146" i="207"/>
  <c r="O146" i="206"/>
  <c r="F164" i="207"/>
  <c r="F164" i="206"/>
  <c r="J185" i="207"/>
  <c r="J185" i="206"/>
  <c r="E141" i="207"/>
  <c r="E141" i="206"/>
  <c r="J150" i="207"/>
  <c r="J150" i="206"/>
  <c r="J151" i="207"/>
  <c r="J151" i="206"/>
  <c r="H429" i="206"/>
  <c r="H442" i="206" s="1"/>
  <c r="J165" i="207"/>
  <c r="J165" i="206"/>
  <c r="J149" i="207"/>
  <c r="J149" i="206"/>
  <c r="G284" i="206"/>
  <c r="G429" i="206"/>
  <c r="G440" i="206" s="1"/>
  <c r="J147" i="207"/>
  <c r="J147" i="206"/>
  <c r="O164" i="207"/>
  <c r="O164" i="206"/>
  <c r="O183" i="207"/>
  <c r="O183" i="206"/>
  <c r="J142" i="207"/>
  <c r="J142" i="206"/>
  <c r="E165" i="207"/>
  <c r="E165" i="206"/>
  <c r="J154" i="207"/>
  <c r="J154" i="206"/>
  <c r="O141" i="207"/>
  <c r="O141" i="206"/>
  <c r="J148" i="207"/>
  <c r="J148" i="206"/>
  <c r="E187" i="207"/>
  <c r="E187" i="206"/>
  <c r="H440" i="207"/>
  <c r="H442" i="207"/>
  <c r="F183" i="207"/>
  <c r="F183" i="206"/>
  <c r="E184" i="207"/>
  <c r="E184" i="206"/>
  <c r="E155" i="207"/>
  <c r="E155" i="206"/>
  <c r="O194" i="207"/>
  <c r="O194" i="206"/>
  <c r="H161" i="167"/>
  <c r="G163" i="167"/>
  <c r="I148" i="167"/>
  <c r="I155" i="167"/>
  <c r="L155" i="167" s="1"/>
  <c r="P151" i="165"/>
  <c r="P163" i="165"/>
  <c r="J187" i="165"/>
  <c r="P166" i="165"/>
  <c r="F145" i="165"/>
  <c r="O145" i="165"/>
  <c r="P160" i="165"/>
  <c r="P150" i="165"/>
  <c r="P148" i="165"/>
  <c r="P157" i="165"/>
  <c r="P149" i="165"/>
  <c r="P162" i="165"/>
  <c r="P152" i="165"/>
  <c r="P154" i="165"/>
  <c r="P185" i="165"/>
  <c r="P156" i="165"/>
  <c r="O186" i="165"/>
  <c r="J141" i="165"/>
  <c r="E164" i="165"/>
  <c r="I141" i="167"/>
  <c r="I142" i="167"/>
  <c r="I140" i="167"/>
  <c r="P188" i="165"/>
  <c r="P197" i="165"/>
  <c r="P147" i="165"/>
  <c r="E186" i="165"/>
  <c r="E183" i="165"/>
  <c r="H139" i="167"/>
  <c r="I146" i="167"/>
  <c r="I144" i="167"/>
  <c r="I154" i="167"/>
  <c r="I143" i="167"/>
  <c r="I153" i="167"/>
  <c r="P165" i="165"/>
  <c r="H158" i="167"/>
  <c r="P142" i="165"/>
  <c r="P184" i="165"/>
  <c r="E146" i="165"/>
  <c r="I173" i="167"/>
  <c r="G173" i="167" s="1"/>
  <c r="J196" i="165"/>
  <c r="J194" i="165" s="1"/>
  <c r="I169" i="167"/>
  <c r="I161" i="167"/>
  <c r="J183" i="165"/>
  <c r="I159" i="167"/>
  <c r="I158" i="167"/>
  <c r="J164" i="165"/>
  <c r="I147" i="167"/>
  <c r="J155" i="165"/>
  <c r="I139" i="167"/>
  <c r="J146" i="165"/>
  <c r="E410" i="165"/>
  <c r="J408" i="165"/>
  <c r="E408" i="165"/>
  <c r="O405" i="165"/>
  <c r="E405" i="165"/>
  <c r="O395" i="165"/>
  <c r="E395" i="165"/>
  <c r="O363" i="165"/>
  <c r="E363" i="165"/>
  <c r="O356" i="165"/>
  <c r="E356" i="165"/>
  <c r="O347" i="165"/>
  <c r="E347" i="165"/>
  <c r="E315" i="165"/>
  <c r="J314" i="165"/>
  <c r="E314" i="165"/>
  <c r="E313" i="165"/>
  <c r="O306" i="165"/>
  <c r="E306" i="165"/>
  <c r="O305" i="165"/>
  <c r="E305" i="165"/>
  <c r="E303" i="165"/>
  <c r="O300" i="165"/>
  <c r="E300" i="165"/>
  <c r="O296" i="165"/>
  <c r="E296" i="165"/>
  <c r="O295" i="165"/>
  <c r="E295" i="165"/>
  <c r="O293" i="165"/>
  <c r="E293" i="165"/>
  <c r="O292" i="165"/>
  <c r="E292" i="165"/>
  <c r="O289" i="165"/>
  <c r="E289" i="165"/>
  <c r="O287" i="165"/>
  <c r="E287" i="165"/>
  <c r="M284" i="165"/>
  <c r="L284" i="165"/>
  <c r="K284" i="165"/>
  <c r="I284" i="165"/>
  <c r="H284" i="165"/>
  <c r="G284" i="165"/>
  <c r="F284" i="165"/>
  <c r="N284" i="165"/>
  <c r="E277" i="165"/>
  <c r="O274" i="165"/>
  <c r="E274" i="165"/>
  <c r="O268" i="165"/>
  <c r="E268" i="165"/>
  <c r="O266" i="165"/>
  <c r="E266" i="165"/>
  <c r="O265" i="165"/>
  <c r="E265" i="165"/>
  <c r="O264" i="165"/>
  <c r="O259" i="165"/>
  <c r="E259" i="165"/>
  <c r="M256" i="165"/>
  <c r="L256" i="165"/>
  <c r="K256" i="165"/>
  <c r="M218" i="167" s="1"/>
  <c r="H256" i="165"/>
  <c r="F256" i="165"/>
  <c r="N256" i="165"/>
  <c r="I256" i="165"/>
  <c r="G256" i="165"/>
  <c r="H440" i="206" l="1"/>
  <c r="J314" i="207"/>
  <c r="J314" i="206"/>
  <c r="O274" i="207"/>
  <c r="O274" i="206"/>
  <c r="E289" i="207"/>
  <c r="E289" i="206"/>
  <c r="E293" i="207"/>
  <c r="E293" i="206"/>
  <c r="E303" i="207"/>
  <c r="E303" i="206"/>
  <c r="O356" i="207"/>
  <c r="O356" i="206"/>
  <c r="O395" i="207"/>
  <c r="O395" i="206"/>
  <c r="J408" i="207"/>
  <c r="J408" i="206"/>
  <c r="J155" i="207"/>
  <c r="J155" i="206"/>
  <c r="P142" i="207"/>
  <c r="P142" i="206"/>
  <c r="P156" i="207"/>
  <c r="P156" i="206"/>
  <c r="P162" i="207"/>
  <c r="P162" i="206"/>
  <c r="P150" i="207"/>
  <c r="P150" i="206"/>
  <c r="P166" i="207"/>
  <c r="P166" i="206"/>
  <c r="E274" i="207"/>
  <c r="E274" i="206"/>
  <c r="O292" i="207"/>
  <c r="O292" i="206"/>
  <c r="O300" i="207"/>
  <c r="O300" i="206"/>
  <c r="E395" i="207"/>
  <c r="E395" i="206"/>
  <c r="P148" i="207"/>
  <c r="P148" i="206"/>
  <c r="O266" i="207"/>
  <c r="O266" i="206"/>
  <c r="E265" i="207"/>
  <c r="E265" i="206"/>
  <c r="E268" i="207"/>
  <c r="E268" i="206"/>
  <c r="E277" i="207"/>
  <c r="E277" i="206"/>
  <c r="O289" i="207"/>
  <c r="O289" i="206"/>
  <c r="O293" i="207"/>
  <c r="O293" i="206"/>
  <c r="O296" i="207"/>
  <c r="O296" i="206"/>
  <c r="E305" i="207"/>
  <c r="E305" i="206"/>
  <c r="E313" i="207"/>
  <c r="E313" i="206"/>
  <c r="E347" i="207"/>
  <c r="E347" i="206"/>
  <c r="E363" i="207"/>
  <c r="E363" i="206"/>
  <c r="E405" i="207"/>
  <c r="E405" i="206"/>
  <c r="E410" i="207"/>
  <c r="E410" i="206"/>
  <c r="J183" i="207"/>
  <c r="J183" i="206"/>
  <c r="P188" i="207"/>
  <c r="P188" i="206"/>
  <c r="E164" i="207"/>
  <c r="E164" i="206"/>
  <c r="P185" i="207"/>
  <c r="P185" i="206"/>
  <c r="P149" i="207"/>
  <c r="P149" i="206"/>
  <c r="P160" i="207"/>
  <c r="P160" i="206"/>
  <c r="J187" i="207"/>
  <c r="J187" i="206"/>
  <c r="O259" i="207"/>
  <c r="O259" i="206"/>
  <c r="E266" i="207"/>
  <c r="E266" i="206"/>
  <c r="O287" i="207"/>
  <c r="O287" i="206"/>
  <c r="O295" i="207"/>
  <c r="O295" i="206"/>
  <c r="E306" i="207"/>
  <c r="E306" i="206"/>
  <c r="E356" i="207"/>
  <c r="E356" i="206"/>
  <c r="E408" i="207"/>
  <c r="E408" i="206"/>
  <c r="P147" i="207"/>
  <c r="P147" i="206"/>
  <c r="O186" i="207"/>
  <c r="O186" i="206"/>
  <c r="P152" i="207"/>
  <c r="P152" i="206"/>
  <c r="P151" i="207"/>
  <c r="P151" i="206"/>
  <c r="O264" i="207"/>
  <c r="O264" i="206"/>
  <c r="E259" i="207"/>
  <c r="E259" i="206"/>
  <c r="O268" i="207"/>
  <c r="O268" i="206"/>
  <c r="E287" i="207"/>
  <c r="E287" i="206"/>
  <c r="E295" i="207"/>
  <c r="E295" i="206"/>
  <c r="E300" i="207"/>
  <c r="E300" i="206"/>
  <c r="O305" i="207"/>
  <c r="O305" i="206"/>
  <c r="E314" i="207"/>
  <c r="E314" i="206"/>
  <c r="O347" i="207"/>
  <c r="O347" i="206"/>
  <c r="O363" i="207"/>
  <c r="O363" i="206"/>
  <c r="O405" i="207"/>
  <c r="O405" i="206"/>
  <c r="J146" i="207"/>
  <c r="J146" i="206"/>
  <c r="J164" i="207"/>
  <c r="J164" i="206"/>
  <c r="E146" i="207"/>
  <c r="E146" i="206"/>
  <c r="P165" i="207"/>
  <c r="P165" i="206"/>
  <c r="E186" i="207"/>
  <c r="E186" i="206"/>
  <c r="J141" i="207"/>
  <c r="J141" i="206"/>
  <c r="P154" i="207"/>
  <c r="P154" i="206"/>
  <c r="O145" i="207"/>
  <c r="O145" i="206"/>
  <c r="P163" i="207"/>
  <c r="P163" i="206"/>
  <c r="E183" i="207"/>
  <c r="E183" i="206"/>
  <c r="P184" i="207"/>
  <c r="P184" i="206"/>
  <c r="P157" i="206"/>
  <c r="P157" i="207"/>
  <c r="F145" i="206"/>
  <c r="F140" i="206" s="1"/>
  <c r="F145" i="207"/>
  <c r="F140" i="207" s="1"/>
  <c r="J194" i="207"/>
  <c r="J194" i="206"/>
  <c r="O306" i="207"/>
  <c r="O306" i="206"/>
  <c r="E296" i="207"/>
  <c r="E296" i="206"/>
  <c r="E292" i="207"/>
  <c r="E292" i="206"/>
  <c r="O265" i="207"/>
  <c r="O265" i="206"/>
  <c r="I282" i="167"/>
  <c r="K257" i="167"/>
  <c r="K238" i="167"/>
  <c r="K251" i="167"/>
  <c r="I350" i="167"/>
  <c r="K254" i="167"/>
  <c r="L163" i="167"/>
  <c r="H261" i="167"/>
  <c r="K275" i="167"/>
  <c r="O291" i="165"/>
  <c r="E291" i="165"/>
  <c r="E145" i="165"/>
  <c r="H227" i="167"/>
  <c r="E346" i="165"/>
  <c r="O346" i="165"/>
  <c r="I133" i="167"/>
  <c r="E304" i="165"/>
  <c r="O304" i="165"/>
  <c r="O258" i="165"/>
  <c r="E258" i="165"/>
  <c r="E312" i="165"/>
  <c r="P187" i="165"/>
  <c r="J186" i="165"/>
  <c r="J145" i="165"/>
  <c r="P146" i="165"/>
  <c r="H317" i="167"/>
  <c r="H313" i="167" s="1"/>
  <c r="P196" i="165"/>
  <c r="P194" i="165" s="1"/>
  <c r="E302" i="165"/>
  <c r="P155" i="165"/>
  <c r="J266" i="165"/>
  <c r="H225" i="167"/>
  <c r="H231" i="167"/>
  <c r="H249" i="167"/>
  <c r="J306" i="165"/>
  <c r="P141" i="165"/>
  <c r="J265" i="165"/>
  <c r="J268" i="165"/>
  <c r="J289" i="165"/>
  <c r="J293" i="165"/>
  <c r="J296" i="165"/>
  <c r="E394" i="165"/>
  <c r="J399" i="165"/>
  <c r="O190" i="165"/>
  <c r="O394" i="165"/>
  <c r="E404" i="165"/>
  <c r="P164" i="165"/>
  <c r="J295" i="165"/>
  <c r="P183" i="165"/>
  <c r="F140" i="165"/>
  <c r="E355" i="165"/>
  <c r="E286" i="165"/>
  <c r="J308" i="165"/>
  <c r="J356" i="165"/>
  <c r="O355" i="165"/>
  <c r="J363" i="165"/>
  <c r="O362" i="165"/>
  <c r="E407" i="165"/>
  <c r="J300" i="165"/>
  <c r="O299" i="165"/>
  <c r="J407" i="165"/>
  <c r="H352" i="167"/>
  <c r="H348" i="167" s="1"/>
  <c r="E409" i="165"/>
  <c r="J277" i="165"/>
  <c r="O276" i="165"/>
  <c r="J303" i="165"/>
  <c r="J312" i="165"/>
  <c r="E362" i="165"/>
  <c r="J405" i="165"/>
  <c r="O404" i="165"/>
  <c r="J410" i="165"/>
  <c r="O409" i="165"/>
  <c r="H282" i="167"/>
  <c r="H263" i="167"/>
  <c r="J305" i="165"/>
  <c r="H260" i="167"/>
  <c r="E299" i="165"/>
  <c r="O286" i="165"/>
  <c r="J292" i="165"/>
  <c r="H250" i="167"/>
  <c r="J274" i="165"/>
  <c r="H241" i="167"/>
  <c r="E276" i="165"/>
  <c r="J264" i="165"/>
  <c r="O263" i="165"/>
  <c r="E263" i="165"/>
  <c r="J347" i="165"/>
  <c r="J395" i="165"/>
  <c r="J259" i="165"/>
  <c r="H283" i="167"/>
  <c r="G283" i="167" s="1"/>
  <c r="P315" i="165"/>
  <c r="J287" i="165"/>
  <c r="H281" i="167"/>
  <c r="G281" i="167" s="1"/>
  <c r="P313" i="165"/>
  <c r="P314" i="165"/>
  <c r="P408" i="165"/>
  <c r="J347" i="207" l="1"/>
  <c r="J347" i="206"/>
  <c r="J305" i="207"/>
  <c r="J305" i="206"/>
  <c r="J312" i="207"/>
  <c r="J312" i="206"/>
  <c r="O355" i="207"/>
  <c r="O355" i="206"/>
  <c r="J399" i="207"/>
  <c r="Q399" i="207" s="1"/>
  <c r="J399" i="206"/>
  <c r="Q399" i="206" s="1"/>
  <c r="E346" i="207"/>
  <c r="E345" i="207" s="1"/>
  <c r="E346" i="206"/>
  <c r="E345" i="206" s="1"/>
  <c r="J303" i="207"/>
  <c r="J303" i="206"/>
  <c r="E407" i="207"/>
  <c r="E407" i="206"/>
  <c r="J356" i="207"/>
  <c r="J356" i="206"/>
  <c r="E404" i="207"/>
  <c r="E404" i="206"/>
  <c r="E394" i="207"/>
  <c r="E394" i="206"/>
  <c r="J268" i="207"/>
  <c r="J268" i="206"/>
  <c r="P146" i="207"/>
  <c r="P146" i="206"/>
  <c r="E312" i="207"/>
  <c r="E312" i="206"/>
  <c r="E304" i="207"/>
  <c r="E304" i="206"/>
  <c r="P314" i="207"/>
  <c r="P314" i="206"/>
  <c r="E276" i="207"/>
  <c r="E276" i="206"/>
  <c r="J410" i="207"/>
  <c r="J410" i="206"/>
  <c r="E409" i="207"/>
  <c r="E409" i="206"/>
  <c r="E355" i="207"/>
  <c r="E355" i="206"/>
  <c r="P164" i="207"/>
  <c r="P164" i="206"/>
  <c r="J289" i="207"/>
  <c r="J289" i="206"/>
  <c r="J266" i="207"/>
  <c r="J266" i="206"/>
  <c r="P313" i="207"/>
  <c r="P313" i="206"/>
  <c r="O286" i="207"/>
  <c r="O286" i="206"/>
  <c r="O404" i="207"/>
  <c r="O404" i="206"/>
  <c r="E299" i="207"/>
  <c r="E299" i="206"/>
  <c r="J405" i="207"/>
  <c r="J405" i="206"/>
  <c r="O276" i="207"/>
  <c r="O276" i="206"/>
  <c r="J407" i="207"/>
  <c r="J407" i="206"/>
  <c r="O362" i="207"/>
  <c r="O362" i="206"/>
  <c r="J308" i="207"/>
  <c r="J308" i="206"/>
  <c r="O394" i="207"/>
  <c r="O394" i="206"/>
  <c r="J296" i="207"/>
  <c r="J296" i="206"/>
  <c r="E302" i="207"/>
  <c r="E302" i="206"/>
  <c r="J145" i="207"/>
  <c r="J145" i="206"/>
  <c r="E258" i="207"/>
  <c r="E258" i="206"/>
  <c r="J292" i="207"/>
  <c r="J292" i="206"/>
  <c r="J300" i="207"/>
  <c r="J300" i="206"/>
  <c r="P187" i="207"/>
  <c r="P187" i="206"/>
  <c r="O291" i="207"/>
  <c r="O291" i="206"/>
  <c r="E263" i="207"/>
  <c r="E263" i="206"/>
  <c r="J259" i="207"/>
  <c r="J259" i="206"/>
  <c r="J274" i="207"/>
  <c r="J274" i="206"/>
  <c r="P408" i="207"/>
  <c r="P408" i="206"/>
  <c r="J287" i="207"/>
  <c r="J287" i="206"/>
  <c r="J395" i="207"/>
  <c r="J395" i="206"/>
  <c r="J264" i="207"/>
  <c r="J264" i="206"/>
  <c r="O409" i="207"/>
  <c r="O409" i="206"/>
  <c r="E362" i="207"/>
  <c r="E362" i="206"/>
  <c r="J277" i="207"/>
  <c r="J277" i="206"/>
  <c r="O299" i="207"/>
  <c r="O299" i="206"/>
  <c r="J363" i="207"/>
  <c r="J363" i="206"/>
  <c r="E286" i="207"/>
  <c r="E286" i="206"/>
  <c r="J295" i="207"/>
  <c r="J295" i="206"/>
  <c r="J293" i="207"/>
  <c r="J293" i="206"/>
  <c r="P141" i="207"/>
  <c r="P141" i="206"/>
  <c r="J186" i="207"/>
  <c r="J186" i="206"/>
  <c r="O258" i="207"/>
  <c r="O258" i="206"/>
  <c r="O346" i="207"/>
  <c r="O345" i="207" s="1"/>
  <c r="O346" i="206"/>
  <c r="O345" i="206" s="1"/>
  <c r="P183" i="207"/>
  <c r="P183" i="206"/>
  <c r="F139" i="207"/>
  <c r="F429" i="207"/>
  <c r="F440" i="207" s="1"/>
  <c r="F139" i="206"/>
  <c r="F429" i="206"/>
  <c r="F440" i="206" s="1"/>
  <c r="E145" i="207"/>
  <c r="E145" i="206"/>
  <c r="P155" i="206"/>
  <c r="P155" i="207"/>
  <c r="O190" i="207"/>
  <c r="O140" i="207" s="1"/>
  <c r="O190" i="206"/>
  <c r="O140" i="206" s="1"/>
  <c r="P194" i="207"/>
  <c r="P194" i="206"/>
  <c r="O304" i="207"/>
  <c r="O304" i="206"/>
  <c r="J306" i="207"/>
  <c r="J306" i="206"/>
  <c r="E291" i="207"/>
  <c r="E291" i="206"/>
  <c r="O263" i="207"/>
  <c r="O263" i="206"/>
  <c r="J265" i="206"/>
  <c r="J265" i="207"/>
  <c r="H219" i="167"/>
  <c r="H218" i="167" s="1"/>
  <c r="L238" i="167"/>
  <c r="L257" i="167"/>
  <c r="Q399" i="165"/>
  <c r="H246" i="167"/>
  <c r="H245" i="167" s="1"/>
  <c r="L222" i="167"/>
  <c r="L275" i="167"/>
  <c r="J291" i="165"/>
  <c r="I227" i="167"/>
  <c r="G227" i="167" s="1"/>
  <c r="J346" i="165"/>
  <c r="O262" i="165"/>
  <c r="E359" i="165"/>
  <c r="F36" i="108"/>
  <c r="O359" i="165"/>
  <c r="E273" i="165"/>
  <c r="E262" i="165"/>
  <c r="F429" i="165"/>
  <c r="L344" i="167"/>
  <c r="J307" i="165"/>
  <c r="G222" i="167"/>
  <c r="E290" i="165"/>
  <c r="J258" i="165"/>
  <c r="O290" i="165"/>
  <c r="J398" i="165"/>
  <c r="P145" i="165"/>
  <c r="P295" i="165"/>
  <c r="P293" i="165"/>
  <c r="I317" i="167"/>
  <c r="I313" i="167" s="1"/>
  <c r="P289" i="165"/>
  <c r="P266" i="165"/>
  <c r="G282" i="167"/>
  <c r="J302" i="165"/>
  <c r="E301" i="165"/>
  <c r="P399" i="165"/>
  <c r="P193" i="165"/>
  <c r="E192" i="165"/>
  <c r="H171" i="167"/>
  <c r="G171" i="167" s="1"/>
  <c r="P306" i="165"/>
  <c r="P268" i="165"/>
  <c r="P296" i="165"/>
  <c r="P265" i="165"/>
  <c r="G344" i="167"/>
  <c r="G341" i="167" s="1"/>
  <c r="P300" i="165"/>
  <c r="J355" i="165"/>
  <c r="O345" i="165"/>
  <c r="P407" i="165"/>
  <c r="P264" i="165"/>
  <c r="P292" i="165"/>
  <c r="E311" i="165"/>
  <c r="J311" i="165"/>
  <c r="O273" i="165"/>
  <c r="I249" i="167"/>
  <c r="I225" i="167"/>
  <c r="G225" i="167" s="1"/>
  <c r="P186" i="165"/>
  <c r="P305" i="165"/>
  <c r="J404" i="165"/>
  <c r="J276" i="165"/>
  <c r="I254" i="167"/>
  <c r="O140" i="165"/>
  <c r="O406" i="165"/>
  <c r="O397" i="165"/>
  <c r="E345" i="165"/>
  <c r="I251" i="167"/>
  <c r="I231" i="167"/>
  <c r="G231" i="167" s="1"/>
  <c r="J190" i="165"/>
  <c r="I261" i="167"/>
  <c r="G261" i="167" s="1"/>
  <c r="P274" i="165"/>
  <c r="I278" i="167"/>
  <c r="G278" i="167" s="1"/>
  <c r="P405" i="165"/>
  <c r="I241" i="167"/>
  <c r="G241" i="167" s="1"/>
  <c r="G350" i="167"/>
  <c r="P277" i="165"/>
  <c r="P356" i="165"/>
  <c r="P303" i="165"/>
  <c r="P347" i="165"/>
  <c r="I352" i="167"/>
  <c r="G352" i="167" s="1"/>
  <c r="J409" i="165"/>
  <c r="J362" i="165"/>
  <c r="P363" i="165"/>
  <c r="I260" i="167"/>
  <c r="G260" i="167" s="1"/>
  <c r="J299" i="165"/>
  <c r="P410" i="165"/>
  <c r="P308" i="165"/>
  <c r="E406" i="165"/>
  <c r="P395" i="165"/>
  <c r="J394" i="165"/>
  <c r="P312" i="165"/>
  <c r="I263" i="167"/>
  <c r="I250" i="167"/>
  <c r="G250" i="167" s="1"/>
  <c r="P287" i="165"/>
  <c r="J286" i="165"/>
  <c r="G238" i="167"/>
  <c r="J263" i="165"/>
  <c r="P259" i="165"/>
  <c r="J286" i="207" l="1"/>
  <c r="J286" i="206"/>
  <c r="P347" i="207"/>
  <c r="P347" i="206"/>
  <c r="P264" i="207"/>
  <c r="P264" i="206"/>
  <c r="J307" i="207"/>
  <c r="J307" i="206"/>
  <c r="E358" i="165"/>
  <c r="E359" i="207"/>
  <c r="E359" i="206"/>
  <c r="O344" i="206"/>
  <c r="J345" i="206"/>
  <c r="J344" i="206" s="1"/>
  <c r="E344" i="206"/>
  <c r="P259" i="207"/>
  <c r="P259" i="206"/>
  <c r="P287" i="207"/>
  <c r="P287" i="206"/>
  <c r="J394" i="207"/>
  <c r="J394" i="206"/>
  <c r="P410" i="207"/>
  <c r="P410" i="206"/>
  <c r="J362" i="207"/>
  <c r="J362" i="206"/>
  <c r="P303" i="207"/>
  <c r="P303" i="206"/>
  <c r="P186" i="207"/>
  <c r="P186" i="206"/>
  <c r="J311" i="207"/>
  <c r="J311" i="206"/>
  <c r="P407" i="207"/>
  <c r="P407" i="206"/>
  <c r="G20" i="197"/>
  <c r="P399" i="207"/>
  <c r="P399" i="206"/>
  <c r="P266" i="207"/>
  <c r="P266" i="206"/>
  <c r="P295" i="207"/>
  <c r="P295" i="206"/>
  <c r="J258" i="207"/>
  <c r="J258" i="206"/>
  <c r="E273" i="207"/>
  <c r="E273" i="206"/>
  <c r="O344" i="207"/>
  <c r="J345" i="207"/>
  <c r="J344" i="207" s="1"/>
  <c r="E344" i="207"/>
  <c r="P312" i="207"/>
  <c r="P312" i="206"/>
  <c r="P300" i="207"/>
  <c r="P300" i="206"/>
  <c r="P293" i="207"/>
  <c r="P293" i="206"/>
  <c r="E262" i="207"/>
  <c r="E262" i="206"/>
  <c r="J291" i="207"/>
  <c r="J291" i="206"/>
  <c r="P395" i="207"/>
  <c r="P395" i="206"/>
  <c r="J299" i="207"/>
  <c r="J299" i="206"/>
  <c r="J409" i="207"/>
  <c r="J409" i="206"/>
  <c r="P356" i="207"/>
  <c r="P356" i="206"/>
  <c r="P405" i="207"/>
  <c r="P405" i="206"/>
  <c r="O397" i="207"/>
  <c r="O397" i="206"/>
  <c r="O393" i="206" s="1"/>
  <c r="O392" i="206" s="1"/>
  <c r="J276" i="207"/>
  <c r="J276" i="206"/>
  <c r="E311" i="207"/>
  <c r="E311" i="206"/>
  <c r="E301" i="207"/>
  <c r="E301" i="206"/>
  <c r="P289" i="207"/>
  <c r="P289" i="206"/>
  <c r="O359" i="207"/>
  <c r="O359" i="206"/>
  <c r="J346" i="207"/>
  <c r="J346" i="206"/>
  <c r="P308" i="207"/>
  <c r="P308" i="206"/>
  <c r="P363" i="207"/>
  <c r="P363" i="206"/>
  <c r="P274" i="207"/>
  <c r="P274" i="206"/>
  <c r="P305" i="207"/>
  <c r="P305" i="206"/>
  <c r="P268" i="207"/>
  <c r="P268" i="206"/>
  <c r="O290" i="207"/>
  <c r="O290" i="206"/>
  <c r="E406" i="207"/>
  <c r="E403" i="207" s="1"/>
  <c r="E406" i="206"/>
  <c r="E403" i="206" s="1"/>
  <c r="P277" i="207"/>
  <c r="P277" i="206"/>
  <c r="O406" i="207"/>
  <c r="O403" i="207" s="1"/>
  <c r="O406" i="206"/>
  <c r="O403" i="206" s="1"/>
  <c r="J404" i="207"/>
  <c r="J404" i="206"/>
  <c r="J355" i="207"/>
  <c r="J355" i="206"/>
  <c r="E192" i="207"/>
  <c r="E192" i="206"/>
  <c r="J302" i="207"/>
  <c r="J302" i="206"/>
  <c r="J398" i="207"/>
  <c r="J398" i="206"/>
  <c r="O393" i="207"/>
  <c r="O392" i="207" s="1"/>
  <c r="G348" i="167"/>
  <c r="P193" i="206"/>
  <c r="P193" i="207"/>
  <c r="P145" i="206"/>
  <c r="P145" i="207"/>
  <c r="J190" i="207"/>
  <c r="J190" i="206"/>
  <c r="O139" i="206"/>
  <c r="J140" i="206"/>
  <c r="O139" i="207"/>
  <c r="J140" i="207"/>
  <c r="P306" i="206"/>
  <c r="P306" i="207"/>
  <c r="P296" i="207"/>
  <c r="P296" i="206"/>
  <c r="E290" i="207"/>
  <c r="E290" i="206"/>
  <c r="P292" i="207"/>
  <c r="P292" i="206"/>
  <c r="O273" i="207"/>
  <c r="O273" i="206"/>
  <c r="O262" i="207"/>
  <c r="O262" i="206"/>
  <c r="J263" i="207"/>
  <c r="J263" i="206"/>
  <c r="P265" i="206"/>
  <c r="P265" i="207"/>
  <c r="G219" i="167"/>
  <c r="G249" i="167"/>
  <c r="I246" i="167"/>
  <c r="I245" i="167" s="1"/>
  <c r="G245" i="167" s="1"/>
  <c r="P291" i="165"/>
  <c r="G254" i="167"/>
  <c r="L254" i="167"/>
  <c r="J359" i="165"/>
  <c r="E270" i="165"/>
  <c r="P346" i="165"/>
  <c r="J262" i="165"/>
  <c r="O393" i="165"/>
  <c r="J273" i="165"/>
  <c r="G251" i="167"/>
  <c r="L251" i="167"/>
  <c r="G263" i="167"/>
  <c r="I348" i="167"/>
  <c r="I219" i="167"/>
  <c r="I218" i="167" s="1"/>
  <c r="J304" i="165"/>
  <c r="P307" i="165"/>
  <c r="O358" i="165"/>
  <c r="P258" i="165"/>
  <c r="O270" i="165"/>
  <c r="J290" i="165"/>
  <c r="P398" i="165"/>
  <c r="E191" i="165"/>
  <c r="G317" i="167"/>
  <c r="G313" i="167" s="1"/>
  <c r="P192" i="165"/>
  <c r="E298" i="165"/>
  <c r="H133" i="167"/>
  <c r="P302" i="165"/>
  <c r="J301" i="165"/>
  <c r="O298" i="165"/>
  <c r="P263" i="165"/>
  <c r="O403" i="165"/>
  <c r="J397" i="165"/>
  <c r="P311" i="165"/>
  <c r="P409" i="165"/>
  <c r="J406" i="165"/>
  <c r="E397" i="165"/>
  <c r="P286" i="165"/>
  <c r="E403" i="165"/>
  <c r="P362" i="165"/>
  <c r="P404" i="165"/>
  <c r="P394" i="165"/>
  <c r="P276" i="165"/>
  <c r="P299" i="165"/>
  <c r="P355" i="165"/>
  <c r="O338" i="165"/>
  <c r="E338" i="165"/>
  <c r="O337" i="165"/>
  <c r="E337" i="165"/>
  <c r="O336" i="165"/>
  <c r="E336" i="165"/>
  <c r="O335" i="165"/>
  <c r="E335" i="165"/>
  <c r="E334" i="165"/>
  <c r="O329" i="165"/>
  <c r="E329" i="165"/>
  <c r="O322" i="165"/>
  <c r="E322" i="165"/>
  <c r="N319" i="165"/>
  <c r="M319" i="165"/>
  <c r="I319" i="165"/>
  <c r="H319" i="165"/>
  <c r="G319" i="165"/>
  <c r="F319" i="165"/>
  <c r="P345" i="206" l="1"/>
  <c r="Q345" i="206" s="1"/>
  <c r="E402" i="206"/>
  <c r="O402" i="206"/>
  <c r="J403" i="206"/>
  <c r="J402" i="206" s="1"/>
  <c r="O402" i="207"/>
  <c r="J403" i="207"/>
  <c r="J402" i="207" s="1"/>
  <c r="E402" i="207"/>
  <c r="E337" i="207"/>
  <c r="E337" i="206"/>
  <c r="P404" i="207"/>
  <c r="P404" i="206"/>
  <c r="J290" i="207"/>
  <c r="J290" i="206"/>
  <c r="E329" i="207"/>
  <c r="E329" i="206"/>
  <c r="O335" i="207"/>
  <c r="O335" i="206"/>
  <c r="P299" i="207"/>
  <c r="P299" i="206"/>
  <c r="P362" i="207"/>
  <c r="P362" i="206"/>
  <c r="J406" i="207"/>
  <c r="J406" i="206"/>
  <c r="P302" i="207"/>
  <c r="P302" i="206"/>
  <c r="O322" i="207"/>
  <c r="O322" i="206"/>
  <c r="P355" i="207"/>
  <c r="P355" i="206"/>
  <c r="E397" i="207"/>
  <c r="E393" i="207" s="1"/>
  <c r="E392" i="207" s="1"/>
  <c r="E397" i="206"/>
  <c r="E393" i="206" s="1"/>
  <c r="E392" i="206" s="1"/>
  <c r="J301" i="207"/>
  <c r="J301" i="206"/>
  <c r="P307" i="207"/>
  <c r="P307" i="206"/>
  <c r="J359" i="207"/>
  <c r="J359" i="206"/>
  <c r="O329" i="207"/>
  <c r="O329" i="206"/>
  <c r="E336" i="207"/>
  <c r="E336" i="206"/>
  <c r="P276" i="207"/>
  <c r="P276" i="206"/>
  <c r="P409" i="207"/>
  <c r="P409" i="206"/>
  <c r="E191" i="207"/>
  <c r="E191" i="206"/>
  <c r="P258" i="207"/>
  <c r="P258" i="206"/>
  <c r="P346" i="207"/>
  <c r="P346" i="206"/>
  <c r="E335" i="207"/>
  <c r="E335" i="206"/>
  <c r="J397" i="207"/>
  <c r="J393" i="207" s="1"/>
  <c r="J392" i="207" s="1"/>
  <c r="J397" i="206"/>
  <c r="J393" i="206" s="1"/>
  <c r="J392" i="206" s="1"/>
  <c r="E322" i="207"/>
  <c r="E322" i="206"/>
  <c r="E334" i="207"/>
  <c r="E334" i="206"/>
  <c r="O336" i="207"/>
  <c r="O336" i="206"/>
  <c r="P394" i="207"/>
  <c r="P394" i="206"/>
  <c r="P286" i="207"/>
  <c r="P286" i="206"/>
  <c r="P311" i="207"/>
  <c r="P311" i="206"/>
  <c r="E298" i="207"/>
  <c r="E285" i="207" s="1"/>
  <c r="E284" i="207" s="1"/>
  <c r="E298" i="206"/>
  <c r="E285" i="206" s="1"/>
  <c r="E284" i="206" s="1"/>
  <c r="P398" i="207"/>
  <c r="P398" i="206"/>
  <c r="O358" i="207"/>
  <c r="O354" i="207" s="1"/>
  <c r="O353" i="207" s="1"/>
  <c r="O358" i="206"/>
  <c r="O354" i="206" s="1"/>
  <c r="O353" i="206" s="1"/>
  <c r="E270" i="207"/>
  <c r="E257" i="207" s="1"/>
  <c r="E256" i="207" s="1"/>
  <c r="E270" i="206"/>
  <c r="E257" i="206" s="1"/>
  <c r="E256" i="206" s="1"/>
  <c r="P345" i="207"/>
  <c r="E358" i="207"/>
  <c r="E354" i="207" s="1"/>
  <c r="E358" i="206"/>
  <c r="E354" i="206" s="1"/>
  <c r="P192" i="206"/>
  <c r="P192" i="207"/>
  <c r="J139" i="206"/>
  <c r="J139" i="207"/>
  <c r="O337" i="207"/>
  <c r="O337" i="206"/>
  <c r="O298" i="207"/>
  <c r="O285" i="207" s="1"/>
  <c r="O298" i="206"/>
  <c r="O285" i="206" s="1"/>
  <c r="J304" i="206"/>
  <c r="J304" i="207"/>
  <c r="P291" i="207"/>
  <c r="P291" i="206"/>
  <c r="O270" i="207"/>
  <c r="O257" i="207" s="1"/>
  <c r="O270" i="206"/>
  <c r="O257" i="206" s="1"/>
  <c r="J273" i="207"/>
  <c r="J273" i="206"/>
  <c r="J262" i="206"/>
  <c r="J262" i="207"/>
  <c r="P263" i="206"/>
  <c r="P263" i="207"/>
  <c r="E354" i="165"/>
  <c r="K313" i="167" s="1"/>
  <c r="E285" i="165"/>
  <c r="G246" i="167"/>
  <c r="O285" i="165"/>
  <c r="E393" i="165"/>
  <c r="J393" i="165"/>
  <c r="P359" i="165"/>
  <c r="O354" i="165"/>
  <c r="E257" i="165"/>
  <c r="E256" i="165" s="1"/>
  <c r="K218" i="167" s="1"/>
  <c r="O257" i="165"/>
  <c r="P304" i="165"/>
  <c r="E190" i="165"/>
  <c r="P262" i="165"/>
  <c r="P290" i="165"/>
  <c r="J358" i="165"/>
  <c r="J329" i="165"/>
  <c r="J270" i="165"/>
  <c r="G218" i="167"/>
  <c r="J298" i="165"/>
  <c r="P191" i="165"/>
  <c r="P301" i="165"/>
  <c r="P273" i="165"/>
  <c r="E321" i="165"/>
  <c r="J336" i="165"/>
  <c r="J338" i="165"/>
  <c r="P406" i="165"/>
  <c r="O321" i="165"/>
  <c r="E328" i="165"/>
  <c r="J335" i="165"/>
  <c r="J337" i="165"/>
  <c r="P397" i="165"/>
  <c r="O328" i="165"/>
  <c r="J322" i="165"/>
  <c r="E333" i="165"/>
  <c r="L319" i="165"/>
  <c r="O334" i="165"/>
  <c r="K319" i="165"/>
  <c r="P403" i="207" l="1"/>
  <c r="P344" i="206"/>
  <c r="J335" i="207"/>
  <c r="J335" i="206"/>
  <c r="O328" i="207"/>
  <c r="O328" i="206"/>
  <c r="J336" i="207"/>
  <c r="J336" i="206"/>
  <c r="J329" i="207"/>
  <c r="J329" i="206"/>
  <c r="E353" i="206"/>
  <c r="Q403" i="207"/>
  <c r="P402" i="207"/>
  <c r="E328" i="207"/>
  <c r="E328" i="206"/>
  <c r="E190" i="207"/>
  <c r="E140" i="207" s="1"/>
  <c r="E190" i="206"/>
  <c r="E140" i="206" s="1"/>
  <c r="P397" i="207"/>
  <c r="P393" i="207" s="1"/>
  <c r="P397" i="206"/>
  <c r="P393" i="206" s="1"/>
  <c r="O321" i="207"/>
  <c r="O321" i="206"/>
  <c r="E321" i="207"/>
  <c r="E321" i="206"/>
  <c r="J358" i="207"/>
  <c r="J354" i="207" s="1"/>
  <c r="J353" i="207" s="1"/>
  <c r="J358" i="206"/>
  <c r="J354" i="206" s="1"/>
  <c r="J353" i="206" s="1"/>
  <c r="P359" i="207"/>
  <c r="P359" i="206"/>
  <c r="E353" i="207"/>
  <c r="J322" i="207"/>
  <c r="J322" i="206"/>
  <c r="P301" i="207"/>
  <c r="P301" i="206"/>
  <c r="Q345" i="207"/>
  <c r="P344" i="207"/>
  <c r="O334" i="207"/>
  <c r="O334" i="206"/>
  <c r="E333" i="207"/>
  <c r="E333" i="206"/>
  <c r="P406" i="207"/>
  <c r="P406" i="206"/>
  <c r="P403" i="206"/>
  <c r="P191" i="206"/>
  <c r="P191" i="207"/>
  <c r="J337" i="207"/>
  <c r="J337" i="206"/>
  <c r="O284" i="206"/>
  <c r="J285" i="206"/>
  <c r="J298" i="206"/>
  <c r="J298" i="207"/>
  <c r="P304" i="206"/>
  <c r="P304" i="207"/>
  <c r="O284" i="207"/>
  <c r="J285" i="207"/>
  <c r="P290" i="207"/>
  <c r="P290" i="206"/>
  <c r="J257" i="206"/>
  <c r="P257" i="206" s="1"/>
  <c r="O256" i="206"/>
  <c r="O256" i="207"/>
  <c r="J257" i="207"/>
  <c r="P257" i="207" s="1"/>
  <c r="P273" i="207"/>
  <c r="P273" i="206"/>
  <c r="J270" i="207"/>
  <c r="J270" i="206"/>
  <c r="P262" i="206"/>
  <c r="P262" i="207"/>
  <c r="G298" i="167"/>
  <c r="P393" i="165"/>
  <c r="Q393" i="165" s="1"/>
  <c r="J354" i="165"/>
  <c r="J285" i="165"/>
  <c r="P285" i="165" s="1"/>
  <c r="Q285" i="165" s="1"/>
  <c r="E140" i="165"/>
  <c r="P190" i="165"/>
  <c r="P270" i="165"/>
  <c r="P358" i="165"/>
  <c r="P336" i="165"/>
  <c r="P337" i="165"/>
  <c r="O284" i="165"/>
  <c r="E284" i="165"/>
  <c r="K245" i="167"/>
  <c r="P335" i="165"/>
  <c r="O256" i="165"/>
  <c r="J257" i="165"/>
  <c r="P338" i="165"/>
  <c r="J321" i="165"/>
  <c r="O327" i="165"/>
  <c r="E327" i="165"/>
  <c r="J328" i="165"/>
  <c r="E331" i="165"/>
  <c r="P298" i="165"/>
  <c r="P329" i="165"/>
  <c r="P322" i="165"/>
  <c r="O333" i="165"/>
  <c r="J334" i="165"/>
  <c r="P354" i="207" l="1"/>
  <c r="J256" i="206"/>
  <c r="J256" i="207"/>
  <c r="E327" i="207"/>
  <c r="E327" i="206"/>
  <c r="O333" i="207"/>
  <c r="O333" i="206"/>
  <c r="E331" i="207"/>
  <c r="E331" i="206"/>
  <c r="J321" i="207"/>
  <c r="J321" i="206"/>
  <c r="P335" i="207"/>
  <c r="P335" i="206"/>
  <c r="Q354" i="207"/>
  <c r="P353" i="207"/>
  <c r="E139" i="206"/>
  <c r="P140" i="206"/>
  <c r="P322" i="207"/>
  <c r="P322" i="206"/>
  <c r="J328" i="207"/>
  <c r="J328" i="206"/>
  <c r="P336" i="207"/>
  <c r="P336" i="206"/>
  <c r="Q403" i="206"/>
  <c r="P402" i="206"/>
  <c r="E139" i="207"/>
  <c r="P140" i="207"/>
  <c r="P329" i="207"/>
  <c r="P329" i="206"/>
  <c r="P392" i="207"/>
  <c r="Q393" i="207"/>
  <c r="P354" i="206"/>
  <c r="P358" i="207"/>
  <c r="P358" i="206"/>
  <c r="J334" i="207"/>
  <c r="J334" i="206"/>
  <c r="O327" i="207"/>
  <c r="O327" i="206"/>
  <c r="Q393" i="206"/>
  <c r="P392" i="206"/>
  <c r="P190" i="207"/>
  <c r="P190" i="206"/>
  <c r="P337" i="207"/>
  <c r="P337" i="206"/>
  <c r="J284" i="207"/>
  <c r="P285" i="207"/>
  <c r="P298" i="206"/>
  <c r="P298" i="207"/>
  <c r="J284" i="206"/>
  <c r="P285" i="206"/>
  <c r="P270" i="207"/>
  <c r="P270" i="206"/>
  <c r="Q257" i="206"/>
  <c r="P256" i="206"/>
  <c r="Q257" i="207"/>
  <c r="P256" i="207"/>
  <c r="P354" i="165"/>
  <c r="Q354" i="165" s="1"/>
  <c r="L313" i="167"/>
  <c r="L245" i="167"/>
  <c r="J284" i="165"/>
  <c r="P284" i="165"/>
  <c r="E330" i="165"/>
  <c r="J256" i="165"/>
  <c r="L218" i="167" s="1"/>
  <c r="P257" i="165"/>
  <c r="Q257" i="165" s="1"/>
  <c r="P321" i="165"/>
  <c r="P328" i="165"/>
  <c r="J327" i="165"/>
  <c r="O331" i="165"/>
  <c r="P334" i="165"/>
  <c r="J333" i="165"/>
  <c r="P334" i="207" l="1"/>
  <c r="P334" i="206"/>
  <c r="P139" i="207"/>
  <c r="Q140" i="207"/>
  <c r="P321" i="207"/>
  <c r="P321" i="206"/>
  <c r="J327" i="207"/>
  <c r="J327" i="206"/>
  <c r="P353" i="206"/>
  <c r="Q354" i="206"/>
  <c r="P139" i="206"/>
  <c r="Q140" i="206"/>
  <c r="J333" i="207"/>
  <c r="J333" i="206"/>
  <c r="P328" i="207"/>
  <c r="P328" i="206"/>
  <c r="E330" i="207"/>
  <c r="E320" i="207" s="1"/>
  <c r="E319" i="207" s="1"/>
  <c r="E330" i="206"/>
  <c r="E320" i="206" s="1"/>
  <c r="E319" i="206" s="1"/>
  <c r="O331" i="207"/>
  <c r="O331" i="206"/>
  <c r="Q285" i="206"/>
  <c r="P284" i="206"/>
  <c r="Q285" i="207"/>
  <c r="P284" i="207"/>
  <c r="E320" i="165"/>
  <c r="E319" i="165" s="1"/>
  <c r="O330" i="165"/>
  <c r="P256" i="165"/>
  <c r="P333" i="165"/>
  <c r="P327" i="165"/>
  <c r="J331" i="165"/>
  <c r="P327" i="207" l="1"/>
  <c r="P327" i="206"/>
  <c r="P333" i="207"/>
  <c r="P333" i="206"/>
  <c r="O330" i="207"/>
  <c r="O320" i="207" s="1"/>
  <c r="O330" i="206"/>
  <c r="O320" i="206" s="1"/>
  <c r="J331" i="207"/>
  <c r="J331" i="206"/>
  <c r="O320" i="165"/>
  <c r="J330" i="165"/>
  <c r="P331" i="165"/>
  <c r="J216" i="167"/>
  <c r="H216" i="167"/>
  <c r="P331" i="207" l="1"/>
  <c r="P331" i="206"/>
  <c r="O319" i="206"/>
  <c r="J320" i="206"/>
  <c r="J330" i="207"/>
  <c r="J330" i="206"/>
  <c r="O319" i="207"/>
  <c r="J320" i="207"/>
  <c r="P330" i="165"/>
  <c r="O319" i="165"/>
  <c r="J320" i="165"/>
  <c r="J319" i="206" l="1"/>
  <c r="P320" i="206"/>
  <c r="J319" i="207"/>
  <c r="P320" i="207"/>
  <c r="P330" i="207"/>
  <c r="P330" i="206"/>
  <c r="P320" i="165"/>
  <c r="Q320" i="165" s="1"/>
  <c r="J319" i="165"/>
  <c r="M333" i="167"/>
  <c r="G332" i="167"/>
  <c r="G331" i="167"/>
  <c r="J306" i="167"/>
  <c r="M306" i="167" s="1"/>
  <c r="J212" i="167"/>
  <c r="J211" i="167"/>
  <c r="J210" i="167"/>
  <c r="J209" i="167"/>
  <c r="J207" i="167"/>
  <c r="J204" i="167"/>
  <c r="J203" i="167"/>
  <c r="J202" i="167"/>
  <c r="J198" i="167"/>
  <c r="G191" i="167"/>
  <c r="G190" i="167"/>
  <c r="J189" i="167"/>
  <c r="G188" i="167"/>
  <c r="J187" i="167"/>
  <c r="J184" i="167"/>
  <c r="G185" i="167"/>
  <c r="G166" i="167"/>
  <c r="G165" i="167"/>
  <c r="G162" i="167"/>
  <c r="G156" i="167"/>
  <c r="J131" i="167"/>
  <c r="H131" i="167"/>
  <c r="G130" i="167"/>
  <c r="J122" i="167"/>
  <c r="J121" i="167"/>
  <c r="J120" i="167"/>
  <c r="J119" i="167"/>
  <c r="J113" i="167"/>
  <c r="J99" i="167"/>
  <c r="J59" i="167" s="1"/>
  <c r="G68" i="167"/>
  <c r="G64" i="167"/>
  <c r="G45" i="167"/>
  <c r="J43" i="167"/>
  <c r="M43" i="167" s="1"/>
  <c r="J42" i="167"/>
  <c r="J34" i="167"/>
  <c r="M34" i="167" s="1"/>
  <c r="G24" i="167"/>
  <c r="O428" i="165"/>
  <c r="O422" i="165"/>
  <c r="O414" i="165"/>
  <c r="G411" i="165"/>
  <c r="E414" i="165"/>
  <c r="N411" i="165"/>
  <c r="M411" i="165"/>
  <c r="L411" i="165"/>
  <c r="K411" i="165"/>
  <c r="I411" i="165"/>
  <c r="H411" i="165"/>
  <c r="G402" i="165"/>
  <c r="N402" i="165"/>
  <c r="M402" i="165"/>
  <c r="L402" i="165"/>
  <c r="K402" i="165"/>
  <c r="I402" i="165"/>
  <c r="F402" i="165"/>
  <c r="N392" i="165"/>
  <c r="M392" i="165"/>
  <c r="I392" i="165"/>
  <c r="H392" i="165"/>
  <c r="G392" i="165"/>
  <c r="O385" i="165"/>
  <c r="O382" i="165"/>
  <c r="O381" i="165"/>
  <c r="E381" i="165"/>
  <c r="N372" i="165"/>
  <c r="M372" i="165"/>
  <c r="I372" i="165"/>
  <c r="H372" i="165"/>
  <c r="G372" i="165"/>
  <c r="L372" i="165"/>
  <c r="G353" i="165"/>
  <c r="N353" i="165"/>
  <c r="M353" i="165"/>
  <c r="I353" i="165"/>
  <c r="H353" i="165"/>
  <c r="N344" i="165"/>
  <c r="M344" i="165"/>
  <c r="L344" i="165"/>
  <c r="K344" i="165"/>
  <c r="I344" i="165"/>
  <c r="F344" i="165"/>
  <c r="O245" i="165"/>
  <c r="O242" i="165"/>
  <c r="E242" i="165"/>
  <c r="O241" i="165"/>
  <c r="E241" i="165"/>
  <c r="O240" i="165"/>
  <c r="O236" i="165"/>
  <c r="J235" i="165"/>
  <c r="E235" i="165"/>
  <c r="O233" i="165"/>
  <c r="E233" i="165"/>
  <c r="O231" i="165"/>
  <c r="O230" i="165"/>
  <c r="E230" i="165"/>
  <c r="E227" i="165"/>
  <c r="E226" i="165"/>
  <c r="O224" i="165"/>
  <c r="N220" i="165"/>
  <c r="M220" i="165"/>
  <c r="L220" i="165"/>
  <c r="I220" i="165"/>
  <c r="O210" i="165"/>
  <c r="E210" i="165"/>
  <c r="E209" i="165"/>
  <c r="E206" i="165"/>
  <c r="O205" i="165"/>
  <c r="E205" i="165"/>
  <c r="O204" i="165"/>
  <c r="E204" i="165"/>
  <c r="H199" i="165"/>
  <c r="E202" i="165"/>
  <c r="N199" i="165"/>
  <c r="M199" i="165"/>
  <c r="L199" i="165"/>
  <c r="G199" i="165"/>
  <c r="M139" i="165"/>
  <c r="L139" i="165"/>
  <c r="I139" i="165"/>
  <c r="I131" i="167"/>
  <c r="E137" i="165"/>
  <c r="O124" i="165"/>
  <c r="O123" i="165"/>
  <c r="E123" i="165"/>
  <c r="O121" i="165"/>
  <c r="O119" i="165"/>
  <c r="E117" i="165"/>
  <c r="O116" i="165"/>
  <c r="E116" i="165"/>
  <c r="O115" i="165"/>
  <c r="J114" i="165"/>
  <c r="E114" i="165"/>
  <c r="E113" i="165"/>
  <c r="O110" i="165"/>
  <c r="N107" i="165"/>
  <c r="M107" i="165"/>
  <c r="L107" i="165"/>
  <c r="I107" i="165"/>
  <c r="O93" i="165"/>
  <c r="E93" i="165"/>
  <c r="O68" i="165"/>
  <c r="O66" i="165"/>
  <c r="E65" i="165"/>
  <c r="E62" i="165"/>
  <c r="E60" i="165"/>
  <c r="O53" i="165"/>
  <c r="E53" i="165"/>
  <c r="E52" i="165"/>
  <c r="E50" i="165"/>
  <c r="M47" i="165"/>
  <c r="I47" i="165"/>
  <c r="O44" i="165"/>
  <c r="O41" i="165"/>
  <c r="E33" i="165"/>
  <c r="O31" i="165"/>
  <c r="E31" i="165"/>
  <c r="O21" i="165"/>
  <c r="E18" i="165"/>
  <c r="G15" i="165"/>
  <c r="O21" i="207" l="1"/>
  <c r="O21" i="206"/>
  <c r="O41" i="207"/>
  <c r="O41" i="206"/>
  <c r="E60" i="207"/>
  <c r="E60" i="206"/>
  <c r="O68" i="207"/>
  <c r="O68" i="206"/>
  <c r="E113" i="207"/>
  <c r="E113" i="206"/>
  <c r="E116" i="207"/>
  <c r="E116" i="206"/>
  <c r="O121" i="207"/>
  <c r="O121" i="206"/>
  <c r="E209" i="207"/>
  <c r="E209" i="206"/>
  <c r="E226" i="207"/>
  <c r="E226" i="206"/>
  <c r="O231" i="207"/>
  <c r="O231" i="206"/>
  <c r="J235" i="207"/>
  <c r="J235" i="206"/>
  <c r="O241" i="207"/>
  <c r="O241" i="206"/>
  <c r="O385" i="207"/>
  <c r="O385" i="206"/>
  <c r="E31" i="207"/>
  <c r="E31" i="206"/>
  <c r="O44" i="207"/>
  <c r="O44" i="206"/>
  <c r="E62" i="207"/>
  <c r="E62" i="206"/>
  <c r="E93" i="207"/>
  <c r="E93" i="206"/>
  <c r="E114" i="206"/>
  <c r="E114" i="207"/>
  <c r="O116" i="207"/>
  <c r="O116" i="206"/>
  <c r="E123" i="207"/>
  <c r="E123" i="206"/>
  <c r="E202" i="207"/>
  <c r="E202" i="206"/>
  <c r="E205" i="207"/>
  <c r="E205" i="206"/>
  <c r="E210" i="207"/>
  <c r="E210" i="206"/>
  <c r="E227" i="207"/>
  <c r="E227" i="206"/>
  <c r="E233" i="207"/>
  <c r="E233" i="206"/>
  <c r="O236" i="207"/>
  <c r="O236" i="206"/>
  <c r="E242" i="207"/>
  <c r="E242" i="206"/>
  <c r="E381" i="207"/>
  <c r="E381" i="206"/>
  <c r="O414" i="207"/>
  <c r="O414" i="206"/>
  <c r="O31" i="207"/>
  <c r="O31" i="206"/>
  <c r="E53" i="207"/>
  <c r="E53" i="206"/>
  <c r="E65" i="207"/>
  <c r="E65" i="206"/>
  <c r="O93" i="207"/>
  <c r="O93" i="206"/>
  <c r="J114" i="207"/>
  <c r="J114" i="206"/>
  <c r="E117" i="207"/>
  <c r="E117" i="206"/>
  <c r="O123" i="207"/>
  <c r="O123" i="206"/>
  <c r="O205" i="207"/>
  <c r="O205" i="206"/>
  <c r="O210" i="207"/>
  <c r="O210" i="206"/>
  <c r="E230" i="207"/>
  <c r="E230" i="206"/>
  <c r="O233" i="207"/>
  <c r="O233" i="206"/>
  <c r="O240" i="207"/>
  <c r="O240" i="206"/>
  <c r="O242" i="207"/>
  <c r="O242" i="206"/>
  <c r="O381" i="207"/>
  <c r="O381" i="206"/>
  <c r="O422" i="207"/>
  <c r="O422" i="206"/>
  <c r="E18" i="207"/>
  <c r="E18" i="206"/>
  <c r="E33" i="207"/>
  <c r="E33" i="206"/>
  <c r="O53" i="207"/>
  <c r="O53" i="206"/>
  <c r="O66" i="207"/>
  <c r="O66" i="206"/>
  <c r="O110" i="207"/>
  <c r="O110" i="206"/>
  <c r="O115" i="207"/>
  <c r="O115" i="206"/>
  <c r="O119" i="207"/>
  <c r="O119" i="206"/>
  <c r="O124" i="207"/>
  <c r="O124" i="206"/>
  <c r="E204" i="207"/>
  <c r="E204" i="206"/>
  <c r="O224" i="207"/>
  <c r="O224" i="206"/>
  <c r="O230" i="207"/>
  <c r="O230" i="206"/>
  <c r="E235" i="207"/>
  <c r="E235" i="206"/>
  <c r="E241" i="207"/>
  <c r="E241" i="206"/>
  <c r="O382" i="207"/>
  <c r="O382" i="206"/>
  <c r="E414" i="207"/>
  <c r="E414" i="206"/>
  <c r="E206" i="206"/>
  <c r="E206" i="207"/>
  <c r="O204" i="206"/>
  <c r="O204" i="207"/>
  <c r="E52" i="206"/>
  <c r="E52" i="207"/>
  <c r="P319" i="207"/>
  <c r="Q320" i="207"/>
  <c r="Q320" i="206"/>
  <c r="P319" i="206"/>
  <c r="E50" i="206"/>
  <c r="E50" i="207"/>
  <c r="K331" i="167"/>
  <c r="H60" i="167"/>
  <c r="K60" i="167" s="1"/>
  <c r="E92" i="165"/>
  <c r="O29" i="165"/>
  <c r="H182" i="167"/>
  <c r="H75" i="167"/>
  <c r="K75" i="167" s="1"/>
  <c r="H177" i="167"/>
  <c r="H187" i="167"/>
  <c r="H199" i="167"/>
  <c r="O109" i="165"/>
  <c r="O92" i="165"/>
  <c r="H189" i="167"/>
  <c r="H73" i="167"/>
  <c r="K73" i="167" s="1"/>
  <c r="H111" i="167"/>
  <c r="H115" i="167"/>
  <c r="H63" i="167"/>
  <c r="J176" i="167"/>
  <c r="M42" i="167"/>
  <c r="O51" i="165"/>
  <c r="E51" i="165"/>
  <c r="O40" i="165"/>
  <c r="O43" i="165"/>
  <c r="O67" i="165"/>
  <c r="O120" i="165"/>
  <c r="H179" i="167"/>
  <c r="O223" i="165"/>
  <c r="O244" i="165"/>
  <c r="E413" i="165"/>
  <c r="O427" i="165"/>
  <c r="H78" i="167"/>
  <c r="O384" i="165"/>
  <c r="P319" i="165"/>
  <c r="E32" i="165"/>
  <c r="P117" i="165"/>
  <c r="H201" i="167"/>
  <c r="E232" i="165"/>
  <c r="O234" i="165"/>
  <c r="O413" i="165"/>
  <c r="O118" i="165"/>
  <c r="O208" i="165"/>
  <c r="O232" i="165"/>
  <c r="O421" i="165"/>
  <c r="P33" i="165"/>
  <c r="O64" i="165"/>
  <c r="E208" i="165"/>
  <c r="E201" i="165"/>
  <c r="O239" i="165"/>
  <c r="O229" i="165"/>
  <c r="E225" i="165"/>
  <c r="O122" i="165"/>
  <c r="E61" i="165"/>
  <c r="H67" i="167"/>
  <c r="K67" i="167" s="1"/>
  <c r="H34" i="167"/>
  <c r="K34" i="167" s="1"/>
  <c r="H33" i="167"/>
  <c r="K33" i="167" s="1"/>
  <c r="N15" i="165"/>
  <c r="I15" i="165"/>
  <c r="I429" i="165"/>
  <c r="I440" i="165" s="1"/>
  <c r="M15" i="165"/>
  <c r="M429" i="165"/>
  <c r="K392" i="165"/>
  <c r="K353" i="165"/>
  <c r="F372" i="165"/>
  <c r="G333" i="167"/>
  <c r="G325" i="167" s="1"/>
  <c r="H324" i="167"/>
  <c r="J121" i="165"/>
  <c r="E124" i="165"/>
  <c r="I324" i="167"/>
  <c r="K199" i="165"/>
  <c r="E224" i="165"/>
  <c r="J224" i="165"/>
  <c r="J41" i="165"/>
  <c r="J65" i="165"/>
  <c r="J241" i="165"/>
  <c r="L47" i="165"/>
  <c r="E115" i="165"/>
  <c r="J422" i="165"/>
  <c r="J340" i="167"/>
  <c r="M340" i="167" s="1"/>
  <c r="J233" i="165"/>
  <c r="J382" i="165"/>
  <c r="O392" i="165"/>
  <c r="J206" i="165"/>
  <c r="J205" i="165"/>
  <c r="J226" i="165"/>
  <c r="H402" i="165"/>
  <c r="E21" i="165"/>
  <c r="E27" i="165"/>
  <c r="J31" i="165"/>
  <c r="J44" i="165"/>
  <c r="J53" i="165"/>
  <c r="J62" i="165"/>
  <c r="J66" i="165"/>
  <c r="G107" i="165"/>
  <c r="I113" i="167"/>
  <c r="E119" i="165"/>
  <c r="N139" i="165"/>
  <c r="H184" i="167"/>
  <c r="J231" i="165"/>
  <c r="H210" i="167"/>
  <c r="J242" i="165"/>
  <c r="H296" i="167"/>
  <c r="H297" i="167"/>
  <c r="E344" i="165"/>
  <c r="H306" i="167"/>
  <c r="K306" i="167" s="1"/>
  <c r="E382" i="165"/>
  <c r="J385" i="165"/>
  <c r="J414" i="165"/>
  <c r="J428" i="165"/>
  <c r="E44" i="165"/>
  <c r="J204" i="165"/>
  <c r="J210" i="165"/>
  <c r="H291" i="167"/>
  <c r="J381" i="165"/>
  <c r="N47" i="165"/>
  <c r="J116" i="165"/>
  <c r="J119" i="165"/>
  <c r="H121" i="167"/>
  <c r="J124" i="165"/>
  <c r="J209" i="165"/>
  <c r="E240" i="165"/>
  <c r="E245" i="165"/>
  <c r="G344" i="165"/>
  <c r="L392" i="165"/>
  <c r="O18" i="165"/>
  <c r="E66" i="165"/>
  <c r="J93" i="165"/>
  <c r="J115" i="165"/>
  <c r="E231" i="165"/>
  <c r="J236" i="165"/>
  <c r="H211" i="167"/>
  <c r="H302" i="167"/>
  <c r="J30" i="167"/>
  <c r="J68" i="165"/>
  <c r="F107" i="165"/>
  <c r="H107" i="165"/>
  <c r="J21" i="165"/>
  <c r="E68" i="165"/>
  <c r="H99" i="167"/>
  <c r="E110" i="165"/>
  <c r="J110" i="165"/>
  <c r="E121" i="165"/>
  <c r="J123" i="165"/>
  <c r="G139" i="165"/>
  <c r="G220" i="165"/>
  <c r="H220" i="165"/>
  <c r="J230" i="165"/>
  <c r="H204" i="167"/>
  <c r="I205" i="167"/>
  <c r="J240" i="165"/>
  <c r="J245" i="165"/>
  <c r="H344" i="165"/>
  <c r="E402" i="165"/>
  <c r="G131" i="167"/>
  <c r="G180" i="167"/>
  <c r="G206" i="167"/>
  <c r="J347" i="167"/>
  <c r="M347" i="167" s="1"/>
  <c r="H113" i="167"/>
  <c r="P114" i="165"/>
  <c r="F353" i="165"/>
  <c r="J50" i="165"/>
  <c r="L353" i="165"/>
  <c r="L429" i="165"/>
  <c r="O113" i="165"/>
  <c r="H139" i="165"/>
  <c r="F139" i="165"/>
  <c r="H202" i="167"/>
  <c r="G17" i="167"/>
  <c r="H15" i="165"/>
  <c r="E236" i="165"/>
  <c r="F220" i="165"/>
  <c r="K372" i="165"/>
  <c r="E385" i="165"/>
  <c r="O227" i="165"/>
  <c r="H205" i="167"/>
  <c r="P235" i="165"/>
  <c r="J302" i="167"/>
  <c r="F392" i="165"/>
  <c r="J205" i="167"/>
  <c r="J197" i="167" s="1"/>
  <c r="J128" i="167"/>
  <c r="J107" i="167" s="1"/>
  <c r="O27" i="165"/>
  <c r="O137" i="165"/>
  <c r="J291" i="167"/>
  <c r="O353" i="165"/>
  <c r="E422" i="165"/>
  <c r="G26" i="167"/>
  <c r="G134" i="167"/>
  <c r="J324" i="167"/>
  <c r="O27" i="207" l="1"/>
  <c r="O27" i="206"/>
  <c r="E385" i="207"/>
  <c r="E385" i="206"/>
  <c r="J50" i="207"/>
  <c r="J50" i="206"/>
  <c r="P235" i="207"/>
  <c r="P235" i="206"/>
  <c r="O112" i="165"/>
  <c r="O113" i="207"/>
  <c r="O113" i="206"/>
  <c r="E110" i="207"/>
  <c r="E110" i="206"/>
  <c r="J115" i="207"/>
  <c r="J115" i="206"/>
  <c r="J209" i="207"/>
  <c r="J209" i="206"/>
  <c r="J116" i="207"/>
  <c r="J116" i="206"/>
  <c r="J210" i="207"/>
  <c r="J210" i="206"/>
  <c r="J414" i="207"/>
  <c r="J414" i="206"/>
  <c r="E119" i="207"/>
  <c r="E119" i="206"/>
  <c r="J62" i="207"/>
  <c r="J62" i="206"/>
  <c r="J205" i="207"/>
  <c r="J205" i="206"/>
  <c r="J233" i="207"/>
  <c r="J233" i="206"/>
  <c r="J224" i="207"/>
  <c r="J224" i="206"/>
  <c r="E124" i="207"/>
  <c r="E124" i="206"/>
  <c r="O122" i="207"/>
  <c r="O122" i="206"/>
  <c r="E201" i="207"/>
  <c r="E201" i="206"/>
  <c r="O421" i="207"/>
  <c r="O421" i="206"/>
  <c r="O413" i="207"/>
  <c r="O413" i="206"/>
  <c r="P117" i="207"/>
  <c r="P117" i="206"/>
  <c r="O223" i="207"/>
  <c r="O223" i="206"/>
  <c r="O43" i="207"/>
  <c r="O43" i="206"/>
  <c r="O109" i="207"/>
  <c r="O109" i="206"/>
  <c r="J230" i="207"/>
  <c r="J230" i="206"/>
  <c r="J93" i="207"/>
  <c r="J93" i="206"/>
  <c r="J124" i="207"/>
  <c r="J124" i="206"/>
  <c r="J385" i="207"/>
  <c r="J385" i="206"/>
  <c r="J231" i="207"/>
  <c r="J231" i="206"/>
  <c r="J53" i="207"/>
  <c r="J53" i="206"/>
  <c r="E21" i="207"/>
  <c r="E21" i="206"/>
  <c r="J206" i="207"/>
  <c r="J206" i="206"/>
  <c r="J241" i="207"/>
  <c r="J241" i="206"/>
  <c r="E224" i="207"/>
  <c r="E224" i="206"/>
  <c r="J121" i="207"/>
  <c r="J121" i="206"/>
  <c r="E225" i="207"/>
  <c r="E225" i="206"/>
  <c r="E208" i="207"/>
  <c r="E208" i="206"/>
  <c r="O232" i="207"/>
  <c r="O232" i="206"/>
  <c r="O234" i="207"/>
  <c r="O234" i="206"/>
  <c r="E32" i="207"/>
  <c r="E32" i="206"/>
  <c r="O40" i="207"/>
  <c r="O40" i="206"/>
  <c r="P114" i="206"/>
  <c r="P114" i="207"/>
  <c r="J123" i="207"/>
  <c r="J123" i="206"/>
  <c r="O227" i="207"/>
  <c r="O227" i="206"/>
  <c r="E236" i="207"/>
  <c r="E236" i="206"/>
  <c r="J240" i="207"/>
  <c r="J240" i="206"/>
  <c r="E121" i="207"/>
  <c r="E121" i="206"/>
  <c r="E68" i="207"/>
  <c r="E68" i="206"/>
  <c r="J68" i="207"/>
  <c r="J68" i="206"/>
  <c r="J236" i="207"/>
  <c r="J236" i="206"/>
  <c r="E66" i="207"/>
  <c r="E66" i="206"/>
  <c r="J381" i="207"/>
  <c r="J381" i="206"/>
  <c r="E44" i="207"/>
  <c r="E44" i="206"/>
  <c r="E382" i="207"/>
  <c r="E382" i="206"/>
  <c r="J44" i="207"/>
  <c r="J44" i="206"/>
  <c r="J422" i="207"/>
  <c r="J422" i="206"/>
  <c r="O229" i="207"/>
  <c r="O229" i="206"/>
  <c r="O208" i="207"/>
  <c r="O208" i="206"/>
  <c r="E232" i="207"/>
  <c r="E232" i="206"/>
  <c r="E413" i="207"/>
  <c r="E413" i="206"/>
  <c r="O120" i="207"/>
  <c r="O120" i="206"/>
  <c r="O29" i="207"/>
  <c r="O29" i="206"/>
  <c r="J110" i="207"/>
  <c r="J110" i="206"/>
  <c r="J21" i="207"/>
  <c r="J21" i="206"/>
  <c r="E231" i="207"/>
  <c r="E231" i="206"/>
  <c r="O18" i="207"/>
  <c r="O18" i="206"/>
  <c r="E240" i="207"/>
  <c r="E240" i="206"/>
  <c r="J119" i="207"/>
  <c r="J119" i="206"/>
  <c r="J242" i="207"/>
  <c r="J242" i="206"/>
  <c r="J66" i="207"/>
  <c r="J66" i="206"/>
  <c r="J31" i="207"/>
  <c r="J31" i="206"/>
  <c r="J226" i="207"/>
  <c r="J226" i="206"/>
  <c r="J382" i="207"/>
  <c r="J382" i="206"/>
  <c r="E115" i="207"/>
  <c r="E115" i="206"/>
  <c r="J41" i="207"/>
  <c r="J41" i="206"/>
  <c r="E61" i="207"/>
  <c r="E61" i="206"/>
  <c r="O239" i="207"/>
  <c r="O239" i="206"/>
  <c r="P33" i="207"/>
  <c r="P33" i="206"/>
  <c r="O118" i="207"/>
  <c r="O118" i="206"/>
  <c r="O384" i="207"/>
  <c r="O384" i="206"/>
  <c r="O67" i="207"/>
  <c r="O67" i="206"/>
  <c r="O92" i="207"/>
  <c r="O92" i="206"/>
  <c r="E92" i="207"/>
  <c r="E92" i="206"/>
  <c r="E27" i="207"/>
  <c r="E27" i="206"/>
  <c r="J204" i="207"/>
  <c r="J204" i="206"/>
  <c r="E51" i="206"/>
  <c r="E51" i="207"/>
  <c r="O64" i="207"/>
  <c r="O64" i="206"/>
  <c r="J65" i="207"/>
  <c r="J65" i="206"/>
  <c r="E422" i="207"/>
  <c r="E422" i="206"/>
  <c r="O51" i="206"/>
  <c r="O51" i="207"/>
  <c r="L331" i="167"/>
  <c r="O49" i="165"/>
  <c r="O42" i="165"/>
  <c r="K63" i="167"/>
  <c r="H286" i="167"/>
  <c r="K286" i="167" s="1"/>
  <c r="J16" i="167"/>
  <c r="M15" i="167" s="1"/>
  <c r="I60" i="167"/>
  <c r="L60" i="167" s="1"/>
  <c r="J29" i="165"/>
  <c r="K24" i="167"/>
  <c r="E29" i="165"/>
  <c r="K337" i="167"/>
  <c r="J92" i="165"/>
  <c r="I182" i="167"/>
  <c r="G182" i="167" s="1"/>
  <c r="I115" i="167"/>
  <c r="G115" i="167" s="1"/>
  <c r="I199" i="167"/>
  <c r="G199" i="167" s="1"/>
  <c r="J109" i="165"/>
  <c r="E109" i="165"/>
  <c r="O228" i="165"/>
  <c r="I75" i="167"/>
  <c r="L75" i="167" s="1"/>
  <c r="E203" i="165"/>
  <c r="O36" i="165"/>
  <c r="L337" i="167"/>
  <c r="O419" i="165"/>
  <c r="E26" i="165"/>
  <c r="O26" i="165"/>
  <c r="O380" i="165"/>
  <c r="P32" i="165"/>
  <c r="J208" i="165"/>
  <c r="J413" i="165"/>
  <c r="J223" i="165"/>
  <c r="E122" i="165"/>
  <c r="E421" i="165"/>
  <c r="J234" i="165"/>
  <c r="I179" i="167"/>
  <c r="G179" i="167" s="1"/>
  <c r="J384" i="165"/>
  <c r="I79" i="167"/>
  <c r="L79" i="167" s="1"/>
  <c r="J421" i="165"/>
  <c r="I78" i="167"/>
  <c r="G78" i="167" s="1"/>
  <c r="E223" i="165"/>
  <c r="J120" i="165"/>
  <c r="O203" i="165"/>
  <c r="E229" i="165"/>
  <c r="E244" i="165"/>
  <c r="E118" i="165"/>
  <c r="J232" i="165"/>
  <c r="J40" i="165"/>
  <c r="O426" i="165"/>
  <c r="O243" i="165"/>
  <c r="E234" i="165"/>
  <c r="J244" i="165"/>
  <c r="O17" i="165"/>
  <c r="E239" i="165"/>
  <c r="J118" i="165"/>
  <c r="J427" i="165"/>
  <c r="I67" i="167"/>
  <c r="L67" i="167" s="1"/>
  <c r="E120" i="165"/>
  <c r="I114" i="167"/>
  <c r="E384" i="165"/>
  <c r="M30" i="167"/>
  <c r="E43" i="165"/>
  <c r="J43" i="165"/>
  <c r="E64" i="165"/>
  <c r="H79" i="167"/>
  <c r="J61" i="165"/>
  <c r="E67" i="165"/>
  <c r="H81" i="167"/>
  <c r="J67" i="165"/>
  <c r="I81" i="167"/>
  <c r="J239" i="165"/>
  <c r="P381" i="165"/>
  <c r="J229" i="165"/>
  <c r="O225" i="165"/>
  <c r="J122" i="165"/>
  <c r="H114" i="167"/>
  <c r="I34" i="167"/>
  <c r="L34" i="167" s="1"/>
  <c r="I33" i="167"/>
  <c r="L33" i="167" s="1"/>
  <c r="E17" i="165"/>
  <c r="J64" i="165"/>
  <c r="E74" i="170"/>
  <c r="K15" i="165"/>
  <c r="K429" i="165"/>
  <c r="F47" i="165"/>
  <c r="H47" i="165"/>
  <c r="H429" i="165"/>
  <c r="H442" i="165" s="1"/>
  <c r="G47" i="165"/>
  <c r="N429" i="165"/>
  <c r="N440" i="165" s="1"/>
  <c r="M324" i="167"/>
  <c r="J312" i="167"/>
  <c r="M313" i="167"/>
  <c r="P41" i="165"/>
  <c r="I198" i="167"/>
  <c r="I184" i="167"/>
  <c r="G184" i="167" s="1"/>
  <c r="I120" i="167"/>
  <c r="P241" i="165"/>
  <c r="G144" i="167"/>
  <c r="P230" i="165"/>
  <c r="P116" i="165"/>
  <c r="P53" i="165"/>
  <c r="H122" i="167"/>
  <c r="I42" i="167"/>
  <c r="F199" i="165"/>
  <c r="P210" i="165"/>
  <c r="I204" i="167"/>
  <c r="G204" i="167" s="1"/>
  <c r="P123" i="165"/>
  <c r="P206" i="165"/>
  <c r="P231" i="165"/>
  <c r="P242" i="165"/>
  <c r="P62" i="165"/>
  <c r="P205" i="165"/>
  <c r="J60" i="165"/>
  <c r="L333" i="167"/>
  <c r="G142" i="167"/>
  <c r="P414" i="165"/>
  <c r="H42" i="167"/>
  <c r="G324" i="167"/>
  <c r="P119" i="165"/>
  <c r="P233" i="165"/>
  <c r="P428" i="165"/>
  <c r="P226" i="165"/>
  <c r="P209" i="165"/>
  <c r="P21" i="165"/>
  <c r="J202" i="165"/>
  <c r="H198" i="167"/>
  <c r="G113" i="167"/>
  <c r="H347" i="167"/>
  <c r="K347" i="167" s="1"/>
  <c r="P224" i="165"/>
  <c r="P66" i="165"/>
  <c r="G205" i="167"/>
  <c r="P65" i="165"/>
  <c r="P121" i="165"/>
  <c r="H120" i="167"/>
  <c r="P44" i="165"/>
  <c r="K333" i="167"/>
  <c r="H43" i="167"/>
  <c r="K43" i="167" s="1"/>
  <c r="P31" i="165"/>
  <c r="P245" i="165"/>
  <c r="H209" i="167"/>
  <c r="P93" i="165"/>
  <c r="I210" i="167"/>
  <c r="G210" i="167" s="1"/>
  <c r="H203" i="167"/>
  <c r="H176" i="167"/>
  <c r="P382" i="165"/>
  <c r="I187" i="167"/>
  <c r="G187" i="167" s="1"/>
  <c r="P115" i="165"/>
  <c r="I99" i="167"/>
  <c r="G99" i="167" s="1"/>
  <c r="P68" i="165"/>
  <c r="J175" i="167"/>
  <c r="M175" i="167" s="1"/>
  <c r="I121" i="167"/>
  <c r="G121" i="167" s="1"/>
  <c r="P110" i="165"/>
  <c r="M440" i="165"/>
  <c r="G158" i="167"/>
  <c r="I207" i="167"/>
  <c r="J392" i="165"/>
  <c r="J52" i="165"/>
  <c r="G159" i="167"/>
  <c r="G148" i="167"/>
  <c r="H30" i="167"/>
  <c r="J27" i="165"/>
  <c r="G143" i="167"/>
  <c r="I209" i="167"/>
  <c r="G293" i="167"/>
  <c r="G141" i="167"/>
  <c r="I122" i="167"/>
  <c r="I119" i="167"/>
  <c r="G146" i="167"/>
  <c r="H119" i="167"/>
  <c r="H212" i="167"/>
  <c r="J227" i="165"/>
  <c r="P124" i="165"/>
  <c r="P240" i="165"/>
  <c r="J58" i="167"/>
  <c r="P204" i="165"/>
  <c r="I202" i="167"/>
  <c r="G202" i="167" s="1"/>
  <c r="J18" i="165"/>
  <c r="I189" i="167"/>
  <c r="G189" i="167" s="1"/>
  <c r="I203" i="167"/>
  <c r="J137" i="165"/>
  <c r="I128" i="167" s="1"/>
  <c r="I212" i="167"/>
  <c r="I211" i="167"/>
  <c r="G211" i="167" s="1"/>
  <c r="G155" i="167"/>
  <c r="G147" i="167"/>
  <c r="I43" i="167"/>
  <c r="L43" i="167" s="1"/>
  <c r="G140" i="167"/>
  <c r="H340" i="167"/>
  <c r="K340" i="167" s="1"/>
  <c r="J132" i="167"/>
  <c r="M132" i="167" s="1"/>
  <c r="K139" i="165"/>
  <c r="K220" i="165"/>
  <c r="P422" i="165"/>
  <c r="O344" i="165"/>
  <c r="J345" i="165"/>
  <c r="K47" i="165"/>
  <c r="J196" i="167"/>
  <c r="P385" i="165"/>
  <c r="J113" i="165"/>
  <c r="L15" i="165"/>
  <c r="O402" i="165"/>
  <c r="J403" i="165"/>
  <c r="H207" i="167"/>
  <c r="P236" i="165"/>
  <c r="F15" i="165"/>
  <c r="K107" i="165"/>
  <c r="P50" i="165"/>
  <c r="P385" i="207" l="1"/>
  <c r="P385" i="206"/>
  <c r="P124" i="206"/>
  <c r="P124" i="207"/>
  <c r="P110" i="207"/>
  <c r="P110" i="206"/>
  <c r="P21" i="207"/>
  <c r="P21" i="206"/>
  <c r="P233" i="207"/>
  <c r="P233" i="206"/>
  <c r="P414" i="207"/>
  <c r="P414" i="206"/>
  <c r="P205" i="207"/>
  <c r="P205" i="206"/>
  <c r="P116" i="207"/>
  <c r="P116" i="206"/>
  <c r="J122" i="207"/>
  <c r="J122" i="206"/>
  <c r="J239" i="207"/>
  <c r="J239" i="206"/>
  <c r="E67" i="207"/>
  <c r="E67" i="206"/>
  <c r="J43" i="207"/>
  <c r="J43" i="206"/>
  <c r="J118" i="207"/>
  <c r="J118" i="206"/>
  <c r="E234" i="207"/>
  <c r="E234" i="206"/>
  <c r="J232" i="207"/>
  <c r="J232" i="206"/>
  <c r="J421" i="207"/>
  <c r="J421" i="206"/>
  <c r="J234" i="207"/>
  <c r="J234" i="206"/>
  <c r="J413" i="207"/>
  <c r="J413" i="206"/>
  <c r="O26" i="207"/>
  <c r="O26" i="206"/>
  <c r="O36" i="207"/>
  <c r="O36" i="206"/>
  <c r="E109" i="207"/>
  <c r="E109" i="206"/>
  <c r="J112" i="165"/>
  <c r="J113" i="207"/>
  <c r="J113" i="206"/>
  <c r="J227" i="207"/>
  <c r="J227" i="206"/>
  <c r="P115" i="207"/>
  <c r="P115" i="206"/>
  <c r="P44" i="207"/>
  <c r="P44" i="206"/>
  <c r="P209" i="207"/>
  <c r="P209" i="206"/>
  <c r="P119" i="207"/>
  <c r="P119" i="206"/>
  <c r="P62" i="207"/>
  <c r="P62" i="206"/>
  <c r="P123" i="207"/>
  <c r="P123" i="206"/>
  <c r="P230" i="207"/>
  <c r="P230" i="206"/>
  <c r="O225" i="207"/>
  <c r="O225" i="206"/>
  <c r="J61" i="207"/>
  <c r="J61" i="206"/>
  <c r="E43" i="207"/>
  <c r="E43" i="206"/>
  <c r="E120" i="207"/>
  <c r="E120" i="206"/>
  <c r="E239" i="207"/>
  <c r="E239" i="206"/>
  <c r="E118" i="207"/>
  <c r="E118" i="206"/>
  <c r="J120" i="207"/>
  <c r="J120" i="206"/>
  <c r="J208" i="207"/>
  <c r="J208" i="206"/>
  <c r="J109" i="207"/>
  <c r="J109" i="206"/>
  <c r="J92" i="207"/>
  <c r="J92" i="206"/>
  <c r="J29" i="207"/>
  <c r="J29" i="206"/>
  <c r="P236" i="207"/>
  <c r="P236" i="206"/>
  <c r="P31" i="207"/>
  <c r="P31" i="206"/>
  <c r="P66" i="207"/>
  <c r="P66" i="206"/>
  <c r="P226" i="207"/>
  <c r="P226" i="206"/>
  <c r="P242" i="207"/>
  <c r="P242" i="206"/>
  <c r="J229" i="207"/>
  <c r="J229" i="206"/>
  <c r="J67" i="207"/>
  <c r="J67" i="206"/>
  <c r="E223" i="207"/>
  <c r="E223" i="206"/>
  <c r="J384" i="207"/>
  <c r="J384" i="206"/>
  <c r="E122" i="207"/>
  <c r="E122" i="206"/>
  <c r="P32" i="207"/>
  <c r="P32" i="206"/>
  <c r="O419" i="207"/>
  <c r="O419" i="206"/>
  <c r="O412" i="206" s="1"/>
  <c r="O411" i="206" s="1"/>
  <c r="O42" i="207"/>
  <c r="O16" i="207" s="1"/>
  <c r="O42" i="206"/>
  <c r="O16" i="206" s="1"/>
  <c r="O412" i="207"/>
  <c r="O411" i="207" s="1"/>
  <c r="J18" i="207"/>
  <c r="J18" i="206"/>
  <c r="P240" i="207"/>
  <c r="P240" i="206"/>
  <c r="J27" i="207"/>
  <c r="J27" i="206"/>
  <c r="P68" i="207"/>
  <c r="P68" i="206"/>
  <c r="P382" i="207"/>
  <c r="P382" i="206"/>
  <c r="P93" i="207"/>
  <c r="P93" i="206"/>
  <c r="P121" i="207"/>
  <c r="P121" i="206"/>
  <c r="P224" i="207"/>
  <c r="P224" i="206"/>
  <c r="J202" i="207"/>
  <c r="J202" i="206"/>
  <c r="P231" i="207"/>
  <c r="P231" i="206"/>
  <c r="P210" i="207"/>
  <c r="P210" i="206"/>
  <c r="P53" i="207"/>
  <c r="P53" i="206"/>
  <c r="P241" i="207"/>
  <c r="P241" i="206"/>
  <c r="P41" i="207"/>
  <c r="P41" i="206"/>
  <c r="P381" i="207"/>
  <c r="P381" i="206"/>
  <c r="E64" i="207"/>
  <c r="E64" i="206"/>
  <c r="E384" i="207"/>
  <c r="E384" i="206"/>
  <c r="J40" i="207"/>
  <c r="J40" i="206"/>
  <c r="E229" i="207"/>
  <c r="E229" i="206"/>
  <c r="J223" i="207"/>
  <c r="J223" i="206"/>
  <c r="O380" i="207"/>
  <c r="O380" i="206"/>
  <c r="O228" i="207"/>
  <c r="O228" i="206"/>
  <c r="E29" i="207"/>
  <c r="E29" i="206"/>
  <c r="O112" i="207"/>
  <c r="O112" i="206"/>
  <c r="E17" i="207"/>
  <c r="E17" i="206"/>
  <c r="O17" i="207"/>
  <c r="O17" i="206"/>
  <c r="E26" i="207"/>
  <c r="E26" i="206"/>
  <c r="E203" i="206"/>
  <c r="E200" i="206" s="1"/>
  <c r="E199" i="206" s="1"/>
  <c r="E203" i="207"/>
  <c r="E200" i="207" s="1"/>
  <c r="E199" i="207" s="1"/>
  <c r="P206" i="207"/>
  <c r="P206" i="206"/>
  <c r="P204" i="207"/>
  <c r="P204" i="206"/>
  <c r="O203" i="207"/>
  <c r="O200" i="207" s="1"/>
  <c r="O203" i="206"/>
  <c r="O200" i="206" s="1"/>
  <c r="P65" i="207"/>
  <c r="P65" i="206"/>
  <c r="J64" i="207"/>
  <c r="J64" i="206"/>
  <c r="J60" i="206"/>
  <c r="J60" i="207"/>
  <c r="P50" i="206"/>
  <c r="P50" i="207"/>
  <c r="P422" i="207"/>
  <c r="P422" i="206"/>
  <c r="E421" i="207"/>
  <c r="E421" i="206"/>
  <c r="J52" i="207"/>
  <c r="J52" i="206"/>
  <c r="O49" i="206"/>
  <c r="O48" i="206" s="1"/>
  <c r="O49" i="207"/>
  <c r="O48" i="207" s="1"/>
  <c r="E112" i="165"/>
  <c r="H107" i="167"/>
  <c r="G122" i="167"/>
  <c r="E42" i="165"/>
  <c r="J42" i="165"/>
  <c r="E49" i="165"/>
  <c r="H16" i="167"/>
  <c r="H59" i="167"/>
  <c r="P29" i="165"/>
  <c r="I111" i="167"/>
  <c r="I107" i="167" s="1"/>
  <c r="E380" i="165"/>
  <c r="P109" i="165"/>
  <c r="P92" i="165"/>
  <c r="I177" i="167"/>
  <c r="I176" i="167" s="1"/>
  <c r="I73" i="167"/>
  <c r="L73" i="167" s="1"/>
  <c r="E228" i="165"/>
  <c r="J380" i="165"/>
  <c r="J228" i="165"/>
  <c r="G75" i="167"/>
  <c r="G60" i="167"/>
  <c r="I63" i="167"/>
  <c r="L63" i="167" s="1"/>
  <c r="G128" i="167"/>
  <c r="H197" i="167"/>
  <c r="H196" i="167" s="1"/>
  <c r="O48" i="165"/>
  <c r="E200" i="165"/>
  <c r="L42" i="167"/>
  <c r="O412" i="165"/>
  <c r="J353" i="165"/>
  <c r="J36" i="165"/>
  <c r="J419" i="165"/>
  <c r="O129" i="165"/>
  <c r="H440" i="165"/>
  <c r="O25" i="165"/>
  <c r="O16" i="165" s="1"/>
  <c r="J16" i="165" s="1"/>
  <c r="J26" i="165"/>
  <c r="J51" i="165"/>
  <c r="E222" i="165"/>
  <c r="O377" i="165"/>
  <c r="P345" i="165"/>
  <c r="Q345" i="165" s="1"/>
  <c r="G67" i="167"/>
  <c r="E25" i="165"/>
  <c r="J203" i="165"/>
  <c r="P61" i="165"/>
  <c r="P234" i="165"/>
  <c r="I201" i="167"/>
  <c r="G201" i="167" s="1"/>
  <c r="P244" i="165"/>
  <c r="P208" i="165"/>
  <c r="P232" i="165"/>
  <c r="P413" i="165"/>
  <c r="P40" i="165"/>
  <c r="P118" i="165"/>
  <c r="J243" i="165"/>
  <c r="O200" i="165"/>
  <c r="J17" i="165"/>
  <c r="P120" i="165"/>
  <c r="P223" i="165"/>
  <c r="P427" i="165"/>
  <c r="P421" i="165"/>
  <c r="J426" i="165"/>
  <c r="E243" i="165"/>
  <c r="P384" i="165"/>
  <c r="K42" i="167"/>
  <c r="G42" i="167"/>
  <c r="P64" i="165"/>
  <c r="P67" i="165"/>
  <c r="G81" i="167"/>
  <c r="K79" i="167"/>
  <c r="G79" i="167"/>
  <c r="K30" i="167"/>
  <c r="P239" i="165"/>
  <c r="P229" i="165"/>
  <c r="O222" i="165"/>
  <c r="J225" i="165"/>
  <c r="J201" i="165"/>
  <c r="P122" i="165"/>
  <c r="P43" i="165"/>
  <c r="G33" i="167"/>
  <c r="J106" i="167"/>
  <c r="M106" i="167" s="1"/>
  <c r="H285" i="167"/>
  <c r="H175" i="167"/>
  <c r="G198" i="167"/>
  <c r="J15" i="167"/>
  <c r="G120" i="167"/>
  <c r="I296" i="167"/>
  <c r="G296" i="167" s="1"/>
  <c r="P60" i="165"/>
  <c r="I291" i="167"/>
  <c r="P52" i="165"/>
  <c r="G114" i="167"/>
  <c r="G312" i="167"/>
  <c r="G34" i="167"/>
  <c r="P202" i="165"/>
  <c r="G153" i="167"/>
  <c r="G43" i="167"/>
  <c r="F103" i="170" s="1"/>
  <c r="G119" i="167"/>
  <c r="G154" i="167"/>
  <c r="G209" i="167"/>
  <c r="G203" i="167"/>
  <c r="M58" i="167"/>
  <c r="P18" i="165"/>
  <c r="G161" i="167"/>
  <c r="G207" i="167"/>
  <c r="G212" i="167"/>
  <c r="I347" i="167"/>
  <c r="L347" i="167" s="1"/>
  <c r="I306" i="167"/>
  <c r="L306" i="167" s="1"/>
  <c r="G308" i="167"/>
  <c r="G307" i="167" s="1"/>
  <c r="P27" i="165"/>
  <c r="L440" i="165"/>
  <c r="I340" i="167"/>
  <c r="L340" i="167" s="1"/>
  <c r="G347" i="167"/>
  <c r="P227" i="165"/>
  <c r="I297" i="167"/>
  <c r="G297" i="167" s="1"/>
  <c r="G169" i="167"/>
  <c r="I30" i="167"/>
  <c r="I16" i="167" s="1"/>
  <c r="P137" i="165"/>
  <c r="I302" i="167"/>
  <c r="G302" i="167" s="1"/>
  <c r="G440" i="165"/>
  <c r="G340" i="167"/>
  <c r="P113" i="165"/>
  <c r="J344" i="165"/>
  <c r="E139" i="165"/>
  <c r="O139" i="165"/>
  <c r="J140" i="165"/>
  <c r="H312" i="167"/>
  <c r="E353" i="165"/>
  <c r="E392" i="165"/>
  <c r="J402" i="165"/>
  <c r="P403" i="165"/>
  <c r="Q403" i="165" s="1"/>
  <c r="H132" i="167"/>
  <c r="K132" i="167" s="1"/>
  <c r="O15" i="207" l="1"/>
  <c r="J16" i="207"/>
  <c r="J15" i="207" s="1"/>
  <c r="O15" i="206"/>
  <c r="J16" i="206"/>
  <c r="J15" i="206" s="1"/>
  <c r="E16" i="165"/>
  <c r="P16" i="165" s="1"/>
  <c r="Q16" i="165" s="1"/>
  <c r="P112" i="165"/>
  <c r="P113" i="207"/>
  <c r="P113" i="206"/>
  <c r="P227" i="207"/>
  <c r="P227" i="206"/>
  <c r="J201" i="207"/>
  <c r="J201" i="206"/>
  <c r="P239" i="207"/>
  <c r="P239" i="206"/>
  <c r="P40" i="207"/>
  <c r="P40" i="206"/>
  <c r="O25" i="207"/>
  <c r="O25" i="206"/>
  <c r="J36" i="207"/>
  <c r="J36" i="206"/>
  <c r="J380" i="207"/>
  <c r="J380" i="206"/>
  <c r="P92" i="207"/>
  <c r="P92" i="206"/>
  <c r="P29" i="207"/>
  <c r="P29" i="206"/>
  <c r="J42" i="207"/>
  <c r="J42" i="206"/>
  <c r="E112" i="207"/>
  <c r="E108" i="207" s="1"/>
  <c r="E107" i="207" s="1"/>
  <c r="E112" i="206"/>
  <c r="E108" i="206" s="1"/>
  <c r="E107" i="206" s="1"/>
  <c r="J225" i="207"/>
  <c r="J225" i="206"/>
  <c r="P67" i="207"/>
  <c r="P67" i="206"/>
  <c r="P384" i="207"/>
  <c r="P384" i="206"/>
  <c r="P413" i="207"/>
  <c r="P413" i="206"/>
  <c r="E222" i="207"/>
  <c r="E222" i="206"/>
  <c r="E228" i="207"/>
  <c r="E228" i="206"/>
  <c r="P109" i="207"/>
  <c r="P109" i="206"/>
  <c r="E42" i="207"/>
  <c r="E16" i="207" s="1"/>
  <c r="E42" i="206"/>
  <c r="E16" i="206" s="1"/>
  <c r="J112" i="207"/>
  <c r="J112" i="206"/>
  <c r="P43" i="207"/>
  <c r="P43" i="206"/>
  <c r="O222" i="207"/>
  <c r="O221" i="207" s="1"/>
  <c r="O222" i="206"/>
  <c r="O221" i="206" s="1"/>
  <c r="P223" i="207"/>
  <c r="P223" i="206"/>
  <c r="P232" i="207"/>
  <c r="P232" i="206"/>
  <c r="P234" i="207"/>
  <c r="P234" i="206"/>
  <c r="O129" i="207"/>
  <c r="O108" i="207" s="1"/>
  <c r="O129" i="206"/>
  <c r="O108" i="206" s="1"/>
  <c r="E380" i="207"/>
  <c r="E380" i="206"/>
  <c r="P18" i="207"/>
  <c r="P18" i="206"/>
  <c r="P202" i="207"/>
  <c r="P202" i="206"/>
  <c r="P122" i="207"/>
  <c r="P122" i="206"/>
  <c r="P229" i="207"/>
  <c r="P229" i="206"/>
  <c r="P120" i="207"/>
  <c r="P120" i="206"/>
  <c r="P118" i="207"/>
  <c r="P118" i="206"/>
  <c r="P208" i="207"/>
  <c r="P208" i="206"/>
  <c r="P61" i="207"/>
  <c r="P61" i="206"/>
  <c r="J26" i="207"/>
  <c r="J26" i="206"/>
  <c r="J419" i="207"/>
  <c r="J412" i="207" s="1"/>
  <c r="J411" i="207" s="1"/>
  <c r="J419" i="206"/>
  <c r="J412" i="206" s="1"/>
  <c r="J411" i="206" s="1"/>
  <c r="J228" i="207"/>
  <c r="J228" i="206"/>
  <c r="J17" i="206"/>
  <c r="J17" i="207"/>
  <c r="P27" i="207"/>
  <c r="P27" i="206"/>
  <c r="E25" i="207"/>
  <c r="E25" i="206"/>
  <c r="O377" i="207"/>
  <c r="O373" i="207" s="1"/>
  <c r="O377" i="206"/>
  <c r="O373" i="206" s="1"/>
  <c r="O199" i="207"/>
  <c r="J200" i="207"/>
  <c r="O199" i="206"/>
  <c r="J200" i="206"/>
  <c r="J203" i="207"/>
  <c r="J203" i="206"/>
  <c r="P64" i="206"/>
  <c r="P64" i="207"/>
  <c r="P60" i="206"/>
  <c r="P60" i="207"/>
  <c r="E49" i="207"/>
  <c r="E48" i="207" s="1"/>
  <c r="E47" i="207" s="1"/>
  <c r="E49" i="206"/>
  <c r="E48" i="206" s="1"/>
  <c r="E47" i="206" s="1"/>
  <c r="P421" i="207"/>
  <c r="P421" i="206"/>
  <c r="J51" i="207"/>
  <c r="J51" i="206"/>
  <c r="J48" i="206"/>
  <c r="O47" i="206"/>
  <c r="O47" i="207"/>
  <c r="J48" i="207"/>
  <c r="P52" i="206"/>
  <c r="P52" i="207"/>
  <c r="J49" i="165"/>
  <c r="P42" i="165"/>
  <c r="D105" i="170"/>
  <c r="E105" i="170" s="1"/>
  <c r="D104" i="170"/>
  <c r="E104" i="170" s="1"/>
  <c r="I286" i="167"/>
  <c r="L286" i="167" s="1"/>
  <c r="G73" i="167"/>
  <c r="P228" i="165"/>
  <c r="O373" i="165"/>
  <c r="O372" i="165" s="1"/>
  <c r="E48" i="165"/>
  <c r="O199" i="165"/>
  <c r="E199" i="165"/>
  <c r="E108" i="165"/>
  <c r="J48" i="165"/>
  <c r="J47" i="165" s="1"/>
  <c r="O108" i="165"/>
  <c r="J412" i="165"/>
  <c r="J411" i="165" s="1"/>
  <c r="P36" i="165"/>
  <c r="J377" i="165"/>
  <c r="G111" i="167"/>
  <c r="G107" i="167" s="1"/>
  <c r="O221" i="165"/>
  <c r="O220" i="165" s="1"/>
  <c r="E221" i="165"/>
  <c r="E220" i="165" s="1"/>
  <c r="J129" i="165"/>
  <c r="J139" i="165"/>
  <c r="P140" i="165"/>
  <c r="Q140" i="165" s="1"/>
  <c r="I59" i="167"/>
  <c r="I58" i="167" s="1"/>
  <c r="O47" i="165"/>
  <c r="P51" i="165"/>
  <c r="P26" i="165"/>
  <c r="E377" i="165"/>
  <c r="P203" i="165"/>
  <c r="G36" i="108"/>
  <c r="G63" i="167"/>
  <c r="K175" i="167"/>
  <c r="K15" i="167"/>
  <c r="J200" i="165"/>
  <c r="P380" i="165"/>
  <c r="P17" i="165"/>
  <c r="J25" i="165"/>
  <c r="J222" i="165"/>
  <c r="P201" i="165"/>
  <c r="P426" i="165"/>
  <c r="P225" i="165"/>
  <c r="O411" i="165"/>
  <c r="P243" i="165"/>
  <c r="H58" i="167"/>
  <c r="G177" i="167"/>
  <c r="G176" i="167" s="1"/>
  <c r="H106" i="167"/>
  <c r="G306" i="167"/>
  <c r="G291" i="167"/>
  <c r="G286" i="167" s="1"/>
  <c r="H15" i="167"/>
  <c r="I312" i="167"/>
  <c r="L30" i="167"/>
  <c r="J296" i="167"/>
  <c r="I175" i="167"/>
  <c r="G30" i="167"/>
  <c r="G16" i="167" s="1"/>
  <c r="I132" i="167"/>
  <c r="L132" i="167" s="1"/>
  <c r="G139" i="167"/>
  <c r="G133" i="167" s="1"/>
  <c r="J297" i="167"/>
  <c r="P392" i="165"/>
  <c r="P402" i="165"/>
  <c r="P344" i="165"/>
  <c r="P353" i="165"/>
  <c r="E15" i="206" l="1"/>
  <c r="P16" i="206"/>
  <c r="P15" i="206" s="1"/>
  <c r="P16" i="207"/>
  <c r="P15" i="207" s="1"/>
  <c r="E15" i="207"/>
  <c r="O107" i="206"/>
  <c r="O429" i="206"/>
  <c r="O443" i="206" s="1"/>
  <c r="O107" i="207"/>
  <c r="O429" i="207"/>
  <c r="O440" i="207" s="1"/>
  <c r="P228" i="207"/>
  <c r="P228" i="206"/>
  <c r="O220" i="207"/>
  <c r="J221" i="207"/>
  <c r="J220" i="207" s="1"/>
  <c r="P225" i="207"/>
  <c r="P225" i="206"/>
  <c r="J25" i="207"/>
  <c r="J25" i="206"/>
  <c r="P42" i="207"/>
  <c r="P42" i="206"/>
  <c r="E221" i="206"/>
  <c r="P112" i="207"/>
  <c r="P112" i="206"/>
  <c r="J222" i="207"/>
  <c r="J222" i="206"/>
  <c r="E377" i="207"/>
  <c r="E373" i="207" s="1"/>
  <c r="E372" i="207" s="1"/>
  <c r="E377" i="206"/>
  <c r="E373" i="206" s="1"/>
  <c r="E372" i="206" s="1"/>
  <c r="J129" i="207"/>
  <c r="J108" i="207" s="1"/>
  <c r="J107" i="207" s="1"/>
  <c r="J129" i="206"/>
  <c r="J108" i="206" s="1"/>
  <c r="E221" i="207"/>
  <c r="P201" i="207"/>
  <c r="P201" i="206"/>
  <c r="P380" i="207"/>
  <c r="P380" i="206"/>
  <c r="O220" i="206"/>
  <c r="J221" i="206"/>
  <c r="J220" i="206" s="1"/>
  <c r="P17" i="207"/>
  <c r="P17" i="206"/>
  <c r="P26" i="207"/>
  <c r="P26" i="206"/>
  <c r="J377" i="207"/>
  <c r="J377" i="206"/>
  <c r="O372" i="206"/>
  <c r="J373" i="206"/>
  <c r="O372" i="207"/>
  <c r="J373" i="207"/>
  <c r="P203" i="207"/>
  <c r="P203" i="206"/>
  <c r="J199" i="206"/>
  <c r="P200" i="206"/>
  <c r="J199" i="207"/>
  <c r="P200" i="207"/>
  <c r="J49" i="207"/>
  <c r="J49" i="206"/>
  <c r="P48" i="207"/>
  <c r="J47" i="207"/>
  <c r="J429" i="207"/>
  <c r="J47" i="206"/>
  <c r="P48" i="206"/>
  <c r="P51" i="206"/>
  <c r="P51" i="207"/>
  <c r="P36" i="206"/>
  <c r="P36" i="207"/>
  <c r="G59" i="167"/>
  <c r="G58" i="167" s="1"/>
  <c r="P49" i="165"/>
  <c r="O429" i="165"/>
  <c r="K106" i="167"/>
  <c r="E103" i="170"/>
  <c r="J286" i="167"/>
  <c r="M286" i="167" s="1"/>
  <c r="L58" i="167"/>
  <c r="L15" i="167"/>
  <c r="J373" i="165"/>
  <c r="J372" i="165" s="1"/>
  <c r="L324" i="167" s="1"/>
  <c r="E373" i="165"/>
  <c r="E372" i="165" s="1"/>
  <c r="K324" i="167" s="1"/>
  <c r="E107" i="165"/>
  <c r="P48" i="165"/>
  <c r="Q48" i="165" s="1"/>
  <c r="P200" i="165"/>
  <c r="Q200" i="165" s="1"/>
  <c r="J108" i="165"/>
  <c r="P129" i="165"/>
  <c r="O15" i="165"/>
  <c r="P377" i="165"/>
  <c r="K58" i="167"/>
  <c r="J199" i="165"/>
  <c r="L175" i="167"/>
  <c r="E47" i="165"/>
  <c r="J221" i="165"/>
  <c r="P221" i="165" s="1"/>
  <c r="Q221" i="165" s="1"/>
  <c r="E15" i="165"/>
  <c r="P222" i="165"/>
  <c r="P25" i="165"/>
  <c r="O107" i="165"/>
  <c r="G175" i="167"/>
  <c r="I106" i="167"/>
  <c r="G106" i="167"/>
  <c r="G15" i="167"/>
  <c r="I285" i="167"/>
  <c r="G132" i="167"/>
  <c r="I15" i="167"/>
  <c r="P139" i="165"/>
  <c r="O443" i="207" l="1"/>
  <c r="O440" i="206"/>
  <c r="J107" i="206"/>
  <c r="J429" i="206"/>
  <c r="J440" i="206" s="1"/>
  <c r="E220" i="207"/>
  <c r="P221" i="207"/>
  <c r="P221" i="206"/>
  <c r="E220" i="206"/>
  <c r="P222" i="207"/>
  <c r="P222" i="206"/>
  <c r="P129" i="206"/>
  <c r="P108" i="206" s="1"/>
  <c r="P129" i="207"/>
  <c r="P108" i="207" s="1"/>
  <c r="Q16" i="206"/>
  <c r="Q16" i="207"/>
  <c r="P25" i="207"/>
  <c r="P25" i="206"/>
  <c r="J372" i="206"/>
  <c r="P373" i="206"/>
  <c r="J372" i="207"/>
  <c r="P373" i="207"/>
  <c r="P377" i="207"/>
  <c r="P377" i="206"/>
  <c r="P199" i="206"/>
  <c r="Q200" i="206"/>
  <c r="Q200" i="207"/>
  <c r="P199" i="207"/>
  <c r="J443" i="207"/>
  <c r="J440" i="207"/>
  <c r="P49" i="206"/>
  <c r="P49" i="207"/>
  <c r="P47" i="206"/>
  <c r="Q48" i="206"/>
  <c r="P47" i="207"/>
  <c r="Q48" i="207"/>
  <c r="L106" i="167"/>
  <c r="J359" i="167"/>
  <c r="N352" i="167" s="1"/>
  <c r="J15" i="165"/>
  <c r="P199" i="165"/>
  <c r="P373" i="165"/>
  <c r="Q373" i="165" s="1"/>
  <c r="P47" i="165"/>
  <c r="P108" i="165"/>
  <c r="Q108" i="165" s="1"/>
  <c r="J220" i="165"/>
  <c r="P220" i="165"/>
  <c r="J107" i="165"/>
  <c r="J429" i="165"/>
  <c r="G285" i="167"/>
  <c r="J285" i="167"/>
  <c r="J443" i="206" l="1"/>
  <c r="P220" i="207"/>
  <c r="Q221" i="207"/>
  <c r="Q108" i="207"/>
  <c r="P107" i="207"/>
  <c r="Q108" i="206"/>
  <c r="P107" i="206"/>
  <c r="P220" i="206"/>
  <c r="Q221" i="206"/>
  <c r="P372" i="207"/>
  <c r="Q373" i="207"/>
  <c r="P372" i="206"/>
  <c r="Q373" i="206"/>
  <c r="L359" i="167"/>
  <c r="P15" i="165"/>
  <c r="P372" i="165"/>
  <c r="P107" i="165"/>
  <c r="I216" i="167" l="1"/>
  <c r="I197" i="167" s="1"/>
  <c r="I359" i="167" s="1"/>
  <c r="M352" i="167" s="1"/>
  <c r="G216" i="167" l="1"/>
  <c r="G197" i="167" l="1"/>
  <c r="I196" i="167"/>
  <c r="G196" i="167" l="1"/>
  <c r="M19" i="107"/>
  <c r="O19" i="107"/>
  <c r="Q19" i="107" l="1"/>
  <c r="G150" i="107" l="1"/>
  <c r="F140" i="108"/>
  <c r="G149" i="107"/>
  <c r="F139" i="108"/>
  <c r="G147" i="107"/>
  <c r="F137" i="108"/>
  <c r="F138" i="108"/>
  <c r="G148" i="107"/>
  <c r="G145" i="107"/>
  <c r="F135" i="108"/>
  <c r="G146" i="107"/>
  <c r="F136" i="108"/>
  <c r="G143" i="107"/>
  <c r="F133" i="108"/>
  <c r="G142" i="107"/>
  <c r="F132" i="108"/>
  <c r="G141" i="107"/>
  <c r="F131" i="108"/>
  <c r="G140" i="107"/>
  <c r="F130" i="108"/>
  <c r="G139" i="107"/>
  <c r="F129" i="108"/>
  <c r="G138" i="107"/>
  <c r="F128" i="108"/>
  <c r="G137" i="107"/>
  <c r="F127" i="108"/>
  <c r="G136" i="107"/>
  <c r="F126" i="108"/>
  <c r="G135" i="107"/>
  <c r="F125" i="108"/>
  <c r="G134" i="107"/>
  <c r="F124" i="108"/>
  <c r="G133" i="107"/>
  <c r="F123" i="108"/>
  <c r="G131" i="107"/>
  <c r="F121" i="108"/>
  <c r="G91" i="107"/>
  <c r="G89" i="107"/>
  <c r="G88" i="107"/>
  <c r="G87" i="107"/>
  <c r="G86" i="107"/>
  <c r="G84" i="107"/>
  <c r="G83" i="107"/>
  <c r="G82" i="107"/>
  <c r="G81" i="107"/>
  <c r="G80" i="107"/>
  <c r="G79" i="107"/>
  <c r="G78" i="107"/>
  <c r="G77" i="107"/>
  <c r="G76" i="107"/>
  <c r="G75" i="107"/>
  <c r="G74" i="107"/>
  <c r="G73" i="107"/>
  <c r="G72" i="107"/>
  <c r="G71" i="107"/>
  <c r="G70" i="107"/>
  <c r="G69" i="107"/>
  <c r="G68" i="107"/>
  <c r="G67" i="107"/>
  <c r="G66" i="107"/>
  <c r="G64" i="107"/>
  <c r="G18" i="107"/>
  <c r="G158" i="107"/>
  <c r="F149" i="108"/>
  <c r="K177" i="107"/>
  <c r="J168" i="108"/>
  <c r="J142" i="108" l="1"/>
  <c r="G16" i="107"/>
  <c r="G15" i="107" s="1"/>
  <c r="G14" i="107" s="1"/>
  <c r="G13" i="107"/>
  <c r="G12" i="107" s="1"/>
  <c r="G29" i="107" s="1"/>
  <c r="O18" i="107"/>
  <c r="K12" i="107"/>
  <c r="K29" i="107" s="1"/>
  <c r="L12" i="107"/>
  <c r="L29" i="107" s="1"/>
  <c r="J12" i="107"/>
  <c r="J29" i="107" s="1"/>
  <c r="H12" i="107"/>
  <c r="H29" i="107" s="1"/>
  <c r="O17" i="107"/>
  <c r="N17" i="107"/>
  <c r="M17" i="107"/>
  <c r="K443" i="165" l="1"/>
  <c r="O16" i="107"/>
  <c r="O15" i="107" s="1"/>
  <c r="O14" i="107" s="1"/>
  <c r="L196" i="167"/>
  <c r="M196" i="167"/>
  <c r="O13" i="107"/>
  <c r="O12" i="107" s="1"/>
  <c r="O29" i="107" s="1"/>
  <c r="Q17" i="107"/>
  <c r="O443" i="165" l="1"/>
  <c r="J440" i="165"/>
  <c r="K440" i="165"/>
  <c r="N18" i="107"/>
  <c r="O440" i="165" l="1"/>
  <c r="J443" i="165"/>
  <c r="J441" i="165"/>
  <c r="N16" i="107"/>
  <c r="N15" i="107" s="1"/>
  <c r="N14" i="107" s="1"/>
  <c r="N13" i="107"/>
  <c r="N12" i="107" s="1"/>
  <c r="F12" i="107"/>
  <c r="K196" i="167" l="1"/>
  <c r="F29" i="107"/>
  <c r="D24" i="108"/>
  <c r="E36" i="108" l="1"/>
  <c r="I142" i="108" s="1"/>
  <c r="E24" i="108"/>
  <c r="E431" i="165"/>
  <c r="M18" i="107"/>
  <c r="Q18" i="107" s="1"/>
  <c r="M13" i="107" l="1"/>
  <c r="M12" i="107" s="1"/>
  <c r="M29" i="107" s="1"/>
  <c r="M16" i="107"/>
  <c r="M15" i="107" s="1"/>
  <c r="M14" i="107" s="1"/>
  <c r="Q16" i="107"/>
  <c r="Q15" i="107" s="1"/>
  <c r="Q14" i="107" s="1"/>
  <c r="Q13" i="107" l="1"/>
  <c r="Q12" i="107" s="1"/>
  <c r="Q29" i="107" s="1"/>
  <c r="Q431" i="165" l="1"/>
  <c r="E420" i="165"/>
  <c r="E420" i="207" l="1"/>
  <c r="E420" i="206"/>
  <c r="H357" i="167"/>
  <c r="G357" i="167" s="1"/>
  <c r="G354" i="167" s="1"/>
  <c r="G359" i="167" s="1"/>
  <c r="K352" i="167" s="1"/>
  <c r="E419" i="165"/>
  <c r="P420" i="165"/>
  <c r="F411" i="165"/>
  <c r="P420" i="207" l="1"/>
  <c r="P420" i="206"/>
  <c r="E419" i="207"/>
  <c r="E412" i="207" s="1"/>
  <c r="E419" i="206"/>
  <c r="E412" i="206" s="1"/>
  <c r="H354" i="167"/>
  <c r="H353" i="167" s="1"/>
  <c r="G353" i="167"/>
  <c r="E412" i="165"/>
  <c r="P419" i="165"/>
  <c r="P419" i="207" l="1"/>
  <c r="P412" i="207" s="1"/>
  <c r="P419" i="206"/>
  <c r="P412" i="206" s="1"/>
  <c r="E411" i="206"/>
  <c r="E429" i="206"/>
  <c r="E411" i="207"/>
  <c r="E429" i="207"/>
  <c r="H359" i="167"/>
  <c r="L352" i="167" s="1"/>
  <c r="E429" i="165"/>
  <c r="P412" i="165"/>
  <c r="Q412" i="165" s="1"/>
  <c r="E411" i="165"/>
  <c r="F440" i="165"/>
  <c r="D29" i="172" l="1"/>
  <c r="E29" i="172" s="1"/>
  <c r="G29" i="172" s="1"/>
  <c r="E443" i="165"/>
  <c r="E441" i="206"/>
  <c r="F443" i="206"/>
  <c r="E440" i="206"/>
  <c r="F441" i="206"/>
  <c r="E443" i="206"/>
  <c r="E440" i="207"/>
  <c r="F443" i="207"/>
  <c r="E443" i="207"/>
  <c r="F441" i="207"/>
  <c r="E441" i="207"/>
  <c r="P411" i="206"/>
  <c r="Q412" i="206"/>
  <c r="P429" i="206"/>
  <c r="Q412" i="207"/>
  <c r="P411" i="207"/>
  <c r="P429" i="207"/>
  <c r="K359" i="167"/>
  <c r="D25" i="172"/>
  <c r="D15" i="172" s="1"/>
  <c r="D34" i="172" s="1"/>
  <c r="F443" i="165"/>
  <c r="F441" i="165"/>
  <c r="P411" i="165"/>
  <c r="P429" i="165"/>
  <c r="Q429" i="165" s="1"/>
  <c r="E440" i="165"/>
  <c r="E441" i="165"/>
  <c r="P440" i="206" l="1"/>
  <c r="Q429" i="206"/>
  <c r="P441" i="206"/>
  <c r="P441" i="207"/>
  <c r="Q429" i="207"/>
  <c r="P440" i="207"/>
  <c r="P440" i="165"/>
  <c r="P441" i="165"/>
  <c r="D58" i="172"/>
  <c r="D56" i="170"/>
  <c r="E56" i="170" s="1"/>
  <c r="E25" i="172" l="1"/>
  <c r="D54" i="172"/>
  <c r="C29" i="172"/>
  <c r="C25" i="172" s="1"/>
  <c r="F29" i="172"/>
  <c r="F25" i="172" s="1"/>
  <c r="E58" i="172"/>
  <c r="D48" i="172" l="1"/>
  <c r="D59" i="172" s="1"/>
  <c r="C15" i="172"/>
  <c r="C34" i="172" s="1"/>
  <c r="F15" i="172"/>
  <c r="F34" i="172" s="1"/>
  <c r="E15" i="172"/>
  <c r="E54" i="172"/>
  <c r="F58" i="172"/>
  <c r="F54" i="172" s="1"/>
  <c r="G25" i="172"/>
  <c r="C58" i="172"/>
  <c r="C54" i="172" s="1"/>
  <c r="E66" i="170"/>
  <c r="D51" i="170"/>
  <c r="D65" i="170" s="1"/>
  <c r="E34" i="172" l="1"/>
  <c r="G15" i="172"/>
  <c r="E48" i="172"/>
  <c r="E59" i="172" s="1"/>
  <c r="F48" i="172"/>
  <c r="F59" i="172" s="1"/>
  <c r="C48" i="172"/>
  <c r="C59" i="172" s="1"/>
  <c r="D30" i="170"/>
  <c r="E30" i="170" s="1"/>
  <c r="D64" i="170"/>
  <c r="F30" i="170" l="1"/>
  <c r="E64" i="170"/>
  <c r="E65" i="170"/>
  <c r="K102" i="184" l="1"/>
  <c r="I100" i="184"/>
  <c r="I121" i="184" s="1"/>
  <c r="M121" i="184" s="1"/>
</calcChain>
</file>

<file path=xl/sharedStrings.xml><?xml version="1.0" encoding="utf-8"?>
<sst xmlns="http://schemas.openxmlformats.org/spreadsheetml/2006/main" count="12303" uniqueCount="1637">
  <si>
    <t>Департамент освіти та науки Хмельницької міської ради (головний розпорядник)</t>
  </si>
  <si>
    <t>Департамент освіти та науки Хмельницької міської ради (відповідальний виконавець)</t>
  </si>
  <si>
    <t>1</t>
  </si>
  <si>
    <t>2</t>
  </si>
  <si>
    <t>Проведення навчально-тренувальних зборів і змагань з неолімпійських видів спорту</t>
  </si>
  <si>
    <t>4</t>
  </si>
  <si>
    <t>Надання пільг окремим категоріям громадян з оплати послуг зв'язку</t>
  </si>
  <si>
    <t>Компенсаційні виплати на пільговий проїзд автомобільним транспортом окремим категоріям громадян</t>
  </si>
  <si>
    <t>Компенсаційні виплати за пільговий проїзд окремих категорій громадян на залізничному транспорті</t>
  </si>
  <si>
    <t>Компенсаційні виплати на пільговий проїзд електротранспортом окремим категоріям громадян</t>
  </si>
  <si>
    <t>Утримання клубів для підлітків за місцем проживання</t>
  </si>
  <si>
    <t>Разом</t>
  </si>
  <si>
    <t>Загальний фонд</t>
  </si>
  <si>
    <t>з них</t>
  </si>
  <si>
    <t>3</t>
  </si>
  <si>
    <t>комунальні послуги та енергоносії</t>
  </si>
  <si>
    <t>Код ФКВКБ</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</si>
  <si>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</si>
  <si>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Управління охорони здоров'я Хмельницької міської ради (головний розпорядник)</t>
  </si>
  <si>
    <t>Багатопрофільна стаціонарна медична допомога населенню</t>
  </si>
  <si>
    <t>Код ТПКВКМБ /
ТКВКБМС</t>
  </si>
  <si>
    <t>1110000</t>
  </si>
  <si>
    <t>1100000</t>
  </si>
  <si>
    <t>Управління молоді та спорту Хмельницької міської ради (головний розпорядник)</t>
  </si>
  <si>
    <t>Управління культури і туризму Хмельницької міської ради (головний розпорядник)</t>
  </si>
  <si>
    <t>1500000</t>
  </si>
  <si>
    <t>1510000</t>
  </si>
  <si>
    <t>Фінансове управління Хмельницької міської ради (головний розпорядник)</t>
  </si>
  <si>
    <t>1115031</t>
  </si>
  <si>
    <t>1115032</t>
  </si>
  <si>
    <t>1115061</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</si>
  <si>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</si>
  <si>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1115063</t>
  </si>
  <si>
    <t>Забезпечення діяльності централізованої бухгалтерії</t>
  </si>
  <si>
    <t>Внески до статутного капіталу суб’єктів господарювання</t>
  </si>
  <si>
    <t>Управління молоді та спорту Хмельницької міської ради (відповідальний виконавець)</t>
  </si>
  <si>
    <t>Управління охорони здоров'я Хмельницької міської ради (відповідальний виконавець)</t>
  </si>
  <si>
    <t>Управління праці та соціального захисту населення Хмельницької міської ради (головний розпорядник)</t>
  </si>
  <si>
    <t>Управління праці та соціального захисту населення Хмельницької міської ради (відповідальний виконавець)</t>
  </si>
  <si>
    <t>Управління культури і туризму Хмельницької міської ради (відповідальний виконавець)</t>
  </si>
  <si>
    <t>Фінансове управління Хмельницької міської ради (відповідальний виконавець)</t>
  </si>
  <si>
    <t>Заходи з енергозбереження</t>
  </si>
  <si>
    <t>0133</t>
  </si>
  <si>
    <t>0180</t>
  </si>
  <si>
    <t>1115011</t>
  </si>
  <si>
    <t>Проведення навчально-тренувальних зборів і змагань з олімпійських видів спорту</t>
  </si>
  <si>
    <t>1115012</t>
  </si>
  <si>
    <t>1115022</t>
  </si>
  <si>
    <t>Утримання та навчально-тренувальна робота комунальних дитячо-юнацьких спортивних шкіл</t>
  </si>
  <si>
    <t>Фінансова підтримка дитячо-юнацьких спортивних шкіл фізкультурно-спортивних товариств</t>
  </si>
  <si>
    <t>1060</t>
  </si>
  <si>
    <t>0540</t>
  </si>
  <si>
    <t>Спеціальний фонд</t>
  </si>
  <si>
    <t>видатки споживання</t>
  </si>
  <si>
    <t>оплата праці</t>
  </si>
  <si>
    <t>видатки розвитку</t>
  </si>
  <si>
    <t>Додаток 1</t>
  </si>
  <si>
    <t>Код</t>
  </si>
  <si>
    <t>Податкові надходження</t>
  </si>
  <si>
    <t>Податки на доходи, податки на прибуток, податки на збільшення ринкової вартості</t>
  </si>
  <si>
    <t xml:space="preserve">Податок на доходи фізичних осіб </t>
  </si>
  <si>
    <t xml:space="preserve">Податок на  доходи фізичних осіб, що сплачуються податковими агентами, із доходів платника податку у вигляді заробітної плати </t>
  </si>
  <si>
    <t xml:space="preserve">Податок на  доходи  фізичних осіб з грошового забезпечення, грошових винагород та інших виплат, одержаних військовослужбовцями та особами рядового і начальницького складу, що сплачується податковими агентами </t>
  </si>
  <si>
    <t xml:space="preserve">Податок на доходи фізичних осіб, що сплачується податковими агентами, із доходів платника податку інших ніж заробітна плата </t>
  </si>
  <si>
    <t xml:space="preserve">Податок на доходи доходів фізичних осіб, що сплачуються фізичними особами за результатами річного декларування </t>
  </si>
  <si>
    <t>Податок на прибуток підприємств</t>
  </si>
  <si>
    <t xml:space="preserve"> Податок на прибуток підприємств та фінансових установ комунальної власності </t>
  </si>
  <si>
    <t>Місцеві  податки і збори</t>
  </si>
  <si>
    <t>Податок на майно</t>
  </si>
  <si>
    <t xml:space="preserve">Податок на нерухоме майно, відмінне від земельної ділянки, сплачений юридичними особами, які є власниками об"єктів житлової нерухомості   </t>
  </si>
  <si>
    <t xml:space="preserve">Податок на нерухоме майно, відмінне від земельної ділянки, сплачений фізичними  особами, які є власниками об"єктів житлової нерухомості   </t>
  </si>
  <si>
    <t xml:space="preserve">Податок на нерухоме майно, відмінне від земельної ділянки, сплачений фізичними  особами, які є власниками об"єктів нежитлової нерухомості   </t>
  </si>
  <si>
    <t xml:space="preserve">Податок на нерухоме майно, відмінне від земельної ділянки, сплачений юридичними особами, які є власниками об"єктів нежитлової нерухомості   </t>
  </si>
  <si>
    <t>Земельний податок з юридичних осіб</t>
  </si>
  <si>
    <t>Орендна плата з юридичних осіб</t>
  </si>
  <si>
    <t>Земельний податок з фізичних осіб</t>
  </si>
  <si>
    <t>Орендна плата з фізичних осіб</t>
  </si>
  <si>
    <t>Транспортний податок з фізичних  осіб</t>
  </si>
  <si>
    <t>Транспортний податок з юридичних осіб</t>
  </si>
  <si>
    <t xml:space="preserve">Туристичний збір </t>
  </si>
  <si>
    <t xml:space="preserve">Туристичний збір, сплачений юридичними особами  </t>
  </si>
  <si>
    <t xml:space="preserve">Туристичний збір, сплачений фізичними особами  </t>
  </si>
  <si>
    <t xml:space="preserve">Єдиний податок  </t>
  </si>
  <si>
    <t>Єдиний податок  з фізичних осіб</t>
  </si>
  <si>
    <t xml:space="preserve">Екологічний податок </t>
  </si>
  <si>
    <t>Неподаткові надходження</t>
  </si>
  <si>
    <t xml:space="preserve">Плата за розміщення тимчасово вільних коштів </t>
  </si>
  <si>
    <t>Адміністративні штрафи та інші санкції</t>
  </si>
  <si>
    <t>Адміністративні збори та платежі, доходи від некомерційної господарської діяльності</t>
  </si>
  <si>
    <t xml:space="preserve">Адміністративний збір за державну реєстрацію речових прав на нерухоме майно та їх обтяжень </t>
  </si>
  <si>
    <t xml:space="preserve">Плата за надання інших адміністративних послуг </t>
  </si>
  <si>
    <t xml:space="preserve">Надходження від орендної плати за користування цілісним майновим комплексом та іншим майном, що перебуває в комунальній власності </t>
  </si>
  <si>
    <t xml:space="preserve">Державне мито </t>
  </si>
  <si>
    <t>Державне мито, що сплачується за місцем розгляду та оформлення документів, у тому числі за оформлення документів на спадщину і дарування</t>
  </si>
  <si>
    <t>Державне мито, пов`язане з видачею та оформленням закордонних паспортів (посвідок) та паспортів громадян України</t>
  </si>
  <si>
    <t>Інші неподаткові надходження</t>
  </si>
  <si>
    <t xml:space="preserve">Інші надходження </t>
  </si>
  <si>
    <t xml:space="preserve">Надходження коштів пайової участі у розвитку інфраструктури населеного пункту </t>
  </si>
  <si>
    <t>Власні надходження бюджетних установ</t>
  </si>
  <si>
    <t>Надходження від плати за послуги, що надаються бюджетними установами згідно із законодавством</t>
  </si>
  <si>
    <t>Плата за послуги, що надаються бюджетними установами згідно з їх основною діяльністю</t>
  </si>
  <si>
    <t>Надходження бюджетних установ від додаткової (господарської)  діяльності</t>
  </si>
  <si>
    <t>Плата за оренду майна бюджетних установ</t>
  </si>
  <si>
    <t>Надходження  бюджетних установ від реалізації в установленому порядку майна (крім нерухомого майна)</t>
  </si>
  <si>
    <t>Доходи від операцій з капіталом</t>
  </si>
  <si>
    <t>Надходження від продажу основного капіталу</t>
  </si>
  <si>
    <t xml:space="preserve">Кошти від реалізації безхазяйного майна,знахідок, спадкового майна, майна, одержаного територіальною громадою в порядку спадкування чи дарування, а також валютні цінності і грошові кошти, власники яких невідомі </t>
  </si>
  <si>
    <t xml:space="preserve">Кошти  від відчуження майна, яке належить  Автономній Республіці Крим та майна, що знаходиться у комунальній власності </t>
  </si>
  <si>
    <t>Надходження від продажу землі і нематеріальних активів</t>
  </si>
  <si>
    <t xml:space="preserve">Кошти від продажу землі </t>
  </si>
  <si>
    <t>Кошти від продажу прав на земельні ділянки несільськогосподарського призначення, що перебувають у державній або комунальній власності</t>
  </si>
  <si>
    <t xml:space="preserve">Цільові фонди, утворені Верховною радою Автономної Республіки Крим, органами місцевого самоврядування та місцевими органами виконавчої влади </t>
  </si>
  <si>
    <t xml:space="preserve">Субвенції  </t>
  </si>
  <si>
    <t xml:space="preserve">Освітня субвенція з державного бюджету місцевим бюджетам </t>
  </si>
  <si>
    <t>Додаток 2</t>
  </si>
  <si>
    <t>200000</t>
  </si>
  <si>
    <t>Внутрішнє фінансування</t>
  </si>
  <si>
    <t>208100</t>
  </si>
  <si>
    <t>На початок періоду</t>
  </si>
  <si>
    <t>Передача коштів із загального до бюджету розвитку (спеціального фонду)</t>
  </si>
  <si>
    <t xml:space="preserve">Фінансування за борговими операціями </t>
  </si>
  <si>
    <t xml:space="preserve">Запозичення </t>
  </si>
  <si>
    <t>600000</t>
  </si>
  <si>
    <t>Фінансування за активними операціями</t>
  </si>
  <si>
    <t>Надання кредитів</t>
  </si>
  <si>
    <t>Повернення кредитів</t>
  </si>
  <si>
    <t>Хмельницької міської ради</t>
  </si>
  <si>
    <t xml:space="preserve">Пункти Положення </t>
  </si>
  <si>
    <t>Джерела доходів</t>
  </si>
  <si>
    <t>2.1.1.</t>
  </si>
  <si>
    <t>Кошти за надлишки загальної житлової площі при приватизації державного житлового фонду</t>
  </si>
  <si>
    <t>2.1.2.</t>
  </si>
  <si>
    <t>Кошти за тимчасове користування місцями для розміщення зовнішньої реклами</t>
  </si>
  <si>
    <t>2.1.3.</t>
  </si>
  <si>
    <t>2.1.5.</t>
  </si>
  <si>
    <t xml:space="preserve">Надходження плати за виготовлення бланків і видачу свідоцтв про право власності на житлове (житлові) приміщення у гуртожитку </t>
  </si>
  <si>
    <t xml:space="preserve">Всього по джерелах доходів : </t>
  </si>
  <si>
    <t>Видатки</t>
  </si>
  <si>
    <t>3.2.1.</t>
  </si>
  <si>
    <t>Фінансове забезпечення проведення міських заходів виконавчим комітетом Хмельницької міської ради та управліннями і відділами міської ради</t>
  </si>
  <si>
    <t>3.2.3.</t>
  </si>
  <si>
    <t>Матеріальне забезпечення проведення сесій міської ради, депутатських днів та інших організаційних заходів з діяльності депутатів міської ради</t>
  </si>
  <si>
    <t>3.2.5.</t>
  </si>
  <si>
    <t>3.2.6.</t>
  </si>
  <si>
    <t>Виплата винагороди головам квартальних комітетів</t>
  </si>
  <si>
    <t>3.2.7.</t>
  </si>
  <si>
    <t>Здійснення заходів з приватизації, відчуження та передачі в оренду майна комунальної власності</t>
  </si>
  <si>
    <t>Адміністративний збір з проведення державної реєстрації юридичних осіб, фізичних осіб - підприємців та громадських формувань</t>
  </si>
  <si>
    <t>0200000</t>
  </si>
  <si>
    <t>0210000</t>
  </si>
  <si>
    <t>Виконавчий комітет Хмельницької міської ради (головний розпорядник)</t>
  </si>
  <si>
    <t>Виконавчий комітет Хмельницької міської ради  (відповідальний виконавець)</t>
  </si>
  <si>
    <t>0600000</t>
  </si>
  <si>
    <t>0610000</t>
  </si>
  <si>
    <t>0700000</t>
  </si>
  <si>
    <t>0710000</t>
  </si>
  <si>
    <t>0800000</t>
  </si>
  <si>
    <t>0810000</t>
  </si>
  <si>
    <t>1200000</t>
  </si>
  <si>
    <t>1210000</t>
  </si>
  <si>
    <t>1600000</t>
  </si>
  <si>
    <t>1610000</t>
  </si>
  <si>
    <t>3600000</t>
  </si>
  <si>
    <t>3610000</t>
  </si>
  <si>
    <t>2800000</t>
  </si>
  <si>
    <t>2810000</t>
  </si>
  <si>
    <t>2700000</t>
  </si>
  <si>
    <t>2710000</t>
  </si>
  <si>
    <t>3700000</t>
  </si>
  <si>
    <t>3710000</t>
  </si>
  <si>
    <t>0490</t>
  </si>
  <si>
    <t>4060</t>
  </si>
  <si>
    <t>1014030</t>
  </si>
  <si>
    <t>4030</t>
  </si>
  <si>
    <t>0824</t>
  </si>
  <si>
    <t>Забезпечення діяльності бібліотек</t>
  </si>
  <si>
    <t>1014040</t>
  </si>
  <si>
    <t>4040</t>
  </si>
  <si>
    <t>1014060</t>
  </si>
  <si>
    <t>0828</t>
  </si>
  <si>
    <t>Забезпечення діяльності палаців i будинків культури, клубів, центрів дозвілля та iнших клубних закладів</t>
  </si>
  <si>
    <t>0960</t>
  </si>
  <si>
    <t>0829</t>
  </si>
  <si>
    <t>1113121</t>
  </si>
  <si>
    <t>3121</t>
  </si>
  <si>
    <t>1040</t>
  </si>
  <si>
    <t>5011</t>
  </si>
  <si>
    <t>5012</t>
  </si>
  <si>
    <t>5022</t>
  </si>
  <si>
    <t>1113132</t>
  </si>
  <si>
    <t>3132</t>
  </si>
  <si>
    <t>1090</t>
  </si>
  <si>
    <t>5031</t>
  </si>
  <si>
    <t>5032</t>
  </si>
  <si>
    <t>5061</t>
  </si>
  <si>
    <t>0810</t>
  </si>
  <si>
    <t>5063</t>
  </si>
  <si>
    <t>7670</t>
  </si>
  <si>
    <t>0611010</t>
  </si>
  <si>
    <t>1010</t>
  </si>
  <si>
    <t>1020</t>
  </si>
  <si>
    <t>0910</t>
  </si>
  <si>
    <t>Надання дошкільної освіти</t>
  </si>
  <si>
    <t>0611020</t>
  </si>
  <si>
    <t>0921</t>
  </si>
  <si>
    <t>1030</t>
  </si>
  <si>
    <t>1070</t>
  </si>
  <si>
    <t>0922</t>
  </si>
  <si>
    <t>0611090</t>
  </si>
  <si>
    <t>0930</t>
  </si>
  <si>
    <t>0990</t>
  </si>
  <si>
    <t>2010</t>
  </si>
  <si>
    <t>7640</t>
  </si>
  <si>
    <t>0470</t>
  </si>
  <si>
    <t>0712010</t>
  </si>
  <si>
    <t>0731</t>
  </si>
  <si>
    <t>0712030</t>
  </si>
  <si>
    <t>2030</t>
  </si>
  <si>
    <t>0733</t>
  </si>
  <si>
    <t>Лікарсько-акушерська допомога вагітним, породіллям та новонародженим</t>
  </si>
  <si>
    <t>0712080</t>
  </si>
  <si>
    <t>2080</t>
  </si>
  <si>
    <t>0721</t>
  </si>
  <si>
    <t>0712100</t>
  </si>
  <si>
    <t>2100</t>
  </si>
  <si>
    <t>0722</t>
  </si>
  <si>
    <t>Стоматологічна допомога населенню</t>
  </si>
  <si>
    <t>0712111</t>
  </si>
  <si>
    <t>2111</t>
  </si>
  <si>
    <t>Первинна медична допомога населенню, що надається центрами первинної медичної (медико-санітарної) допомоги</t>
  </si>
  <si>
    <t>0763</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</si>
  <si>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</si>
  <si>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0210150</t>
  </si>
  <si>
    <t>0150</t>
  </si>
  <si>
    <t>0111</t>
  </si>
  <si>
    <t>Керівництво і управління у відповідній сфері у містах (місті Києві), селищах, селах, об’єднаних територіальних громадах</t>
  </si>
  <si>
    <t>0160</t>
  </si>
  <si>
    <t>Реалізація Національної програми інформатизації</t>
  </si>
  <si>
    <t>0217520</t>
  </si>
  <si>
    <t>7520</t>
  </si>
  <si>
    <t>0460</t>
  </si>
  <si>
    <t>0218410</t>
  </si>
  <si>
    <t>8410</t>
  </si>
  <si>
    <t>0830</t>
  </si>
  <si>
    <t>Фінансова підтримка засобів масової інформації</t>
  </si>
  <si>
    <t>0219710</t>
  </si>
  <si>
    <t>9710</t>
  </si>
  <si>
    <t>0210180</t>
  </si>
  <si>
    <t>Інша діяльність у сфері державного управління</t>
  </si>
  <si>
    <t>Заходи з організації рятування на водах</t>
  </si>
  <si>
    <t>8120</t>
  </si>
  <si>
    <t>0320</t>
  </si>
  <si>
    <t>2717630</t>
  </si>
  <si>
    <t>Реалізація програм і заходів в галузі зовнішньоекономічної діяльності</t>
  </si>
  <si>
    <t>7630</t>
  </si>
  <si>
    <t>Інші заходи, пов'язані з економічною діяльністю</t>
  </si>
  <si>
    <t>2717693</t>
  </si>
  <si>
    <t>7693</t>
  </si>
  <si>
    <t>Сприяння розвитку малого та середнього підприємництва</t>
  </si>
  <si>
    <t>0411</t>
  </si>
  <si>
    <t>2717610</t>
  </si>
  <si>
    <t>7610</t>
  </si>
  <si>
    <t>Реалізація інших заходів щодо соціально-економічного розвитку територій</t>
  </si>
  <si>
    <t>0813160</t>
  </si>
  <si>
    <t>3160</t>
  </si>
  <si>
    <t>3104</t>
  </si>
  <si>
    <t>3105</t>
  </si>
  <si>
    <t>0813104</t>
  </si>
  <si>
    <t>0813105</t>
  </si>
  <si>
    <t>0813031</t>
  </si>
  <si>
    <t>3031</t>
  </si>
  <si>
    <t>Надання інших пільг окремим категоріям громадян відповідно до законодавства</t>
  </si>
  <si>
    <t>0813032</t>
  </si>
  <si>
    <t>3032</t>
  </si>
  <si>
    <t>3035</t>
  </si>
  <si>
    <t>0813033</t>
  </si>
  <si>
    <t>3033</t>
  </si>
  <si>
    <t>0813035</t>
  </si>
  <si>
    <t>0813036</t>
  </si>
  <si>
    <t>3036</t>
  </si>
  <si>
    <t>1216011</t>
  </si>
  <si>
    <t>6011</t>
  </si>
  <si>
    <t>Експлуатація та технічне обслуговування житлового фонду</t>
  </si>
  <si>
    <t>0620</t>
  </si>
  <si>
    <t>1216017</t>
  </si>
  <si>
    <t>6017</t>
  </si>
  <si>
    <t>6013</t>
  </si>
  <si>
    <t>Забезпечення діяльності водопровідно-каналізаційного господарства</t>
  </si>
  <si>
    <t>1216030</t>
  </si>
  <si>
    <t>6030</t>
  </si>
  <si>
    <t>Організація благоустрою населених пунктів</t>
  </si>
  <si>
    <t>7426</t>
  </si>
  <si>
    <t>Інші заходи у сфері електротранспорту</t>
  </si>
  <si>
    <t>7461</t>
  </si>
  <si>
    <t>Утримання та розвиток автомобільних доріг та дорожньої інфраструктури за рахунок коштів місцевого бюджету</t>
  </si>
  <si>
    <t>0456</t>
  </si>
  <si>
    <t>1217640</t>
  </si>
  <si>
    <t>6020</t>
  </si>
  <si>
    <t>Забезпечення функціонування підприємств, установ та організацій, що виробляють, виконують та/або надають житлово-комунальні послуги</t>
  </si>
  <si>
    <t>0217680</t>
  </si>
  <si>
    <t>7680</t>
  </si>
  <si>
    <t>1216015</t>
  </si>
  <si>
    <t>6015</t>
  </si>
  <si>
    <t>Забезпечення надійної та безперебійної експлуатації ліфтів</t>
  </si>
  <si>
    <t>0443</t>
  </si>
  <si>
    <t>7310</t>
  </si>
  <si>
    <t>3617130</t>
  </si>
  <si>
    <t>7130</t>
  </si>
  <si>
    <t>0421</t>
  </si>
  <si>
    <t>Будівництвоˈ  освітніх установ та закладів</t>
  </si>
  <si>
    <t>1517321</t>
  </si>
  <si>
    <t>7321</t>
  </si>
  <si>
    <t>1517325</t>
  </si>
  <si>
    <t>7325</t>
  </si>
  <si>
    <t>1517330</t>
  </si>
  <si>
    <t>7330</t>
  </si>
  <si>
    <t>№ п/п</t>
  </si>
  <si>
    <t>Код КПКВ</t>
  </si>
  <si>
    <t>Заходи, на які виділяються кошти</t>
  </si>
  <si>
    <t>Забезпечення діяльності інших закладів у сфері охорони здоров’я</t>
  </si>
  <si>
    <t>Інші програми та заходи у сфері охорони здоров’я</t>
  </si>
  <si>
    <t>0712151</t>
  </si>
  <si>
    <t>0712152</t>
  </si>
  <si>
    <t>2151</t>
  </si>
  <si>
    <t>2152</t>
  </si>
  <si>
    <t>0813192</t>
  </si>
  <si>
    <t>3192</t>
  </si>
  <si>
    <t>0813241</t>
  </si>
  <si>
    <t>0813242</t>
  </si>
  <si>
    <t>3241</t>
  </si>
  <si>
    <t>3242</t>
  </si>
  <si>
    <t>Забезпечення діяльності інших закладів у сфері соціального захисту і соціального забезпечення</t>
  </si>
  <si>
    <t>Інші заходи у сфері соціального захисту і соціального забезпечення</t>
  </si>
  <si>
    <t>1014081</t>
  </si>
  <si>
    <t>4081</t>
  </si>
  <si>
    <t>1014082</t>
  </si>
  <si>
    <t>4082</t>
  </si>
  <si>
    <t>Інші програми та заходи у сфері освіти</t>
  </si>
  <si>
    <t>7691</t>
  </si>
  <si>
    <t>0217691</t>
  </si>
  <si>
    <t>0610</t>
  </si>
  <si>
    <t>6084</t>
  </si>
  <si>
    <t>1116084</t>
  </si>
  <si>
    <t xml:space="preserve">Кошти від продажу земельних ділянок  несільськогосподарського призначення, що перебувають у державній або комунальній власності </t>
  </si>
  <si>
    <t xml:space="preserve">Дотації з місцевих бюджетів іншим місцевим бюджетам </t>
  </si>
  <si>
    <t>Амбулаторно-поліклінічна допомога населенню, крім первинної медичної допомоги</t>
  </si>
  <si>
    <t>0726</t>
  </si>
  <si>
    <t>3180</t>
  </si>
  <si>
    <t>0813180</t>
  </si>
  <si>
    <t>Проведення навчально-тренувальних зборів і змагань та заходів зі спорту осіб з інвалідністю</t>
  </si>
  <si>
    <t>7370</t>
  </si>
  <si>
    <t>1113133</t>
  </si>
  <si>
    <t>3133</t>
  </si>
  <si>
    <t>Інші заходи та заклади молодіжної політики</t>
  </si>
  <si>
    <t>Управління економіки Хмельницької міської ради (головний розпорядник)</t>
  </si>
  <si>
    <t>Управління економіки Хмельницької міської ради (відповідальний виконавець)</t>
  </si>
  <si>
    <t xml:space="preserve">Зовнішнє фінансування </t>
  </si>
  <si>
    <t xml:space="preserve">Позики, надані міжнародними організаціями </t>
  </si>
  <si>
    <t>Одержано позик</t>
  </si>
  <si>
    <t xml:space="preserve">Погашено позик </t>
  </si>
  <si>
    <t>Зовнішні запозичення</t>
  </si>
  <si>
    <t xml:space="preserve">Погашення </t>
  </si>
  <si>
    <t>0170</t>
  </si>
  <si>
    <t>9770</t>
  </si>
  <si>
    <t>Інші субвенції з місцевого бюджету</t>
  </si>
  <si>
    <t>6082</t>
  </si>
  <si>
    <t>Придбання житла для окремих категорій населення відповідно до законодавства</t>
  </si>
  <si>
    <t>0816082</t>
  </si>
  <si>
    <t>3617650</t>
  </si>
  <si>
    <t>7650</t>
  </si>
  <si>
    <t>Проведення експертної грошової оцінки земельної ділянки чи права на неї</t>
  </si>
  <si>
    <t>Організація та проведення громадських робіт</t>
  </si>
  <si>
    <t>3210</t>
  </si>
  <si>
    <t>1050</t>
  </si>
  <si>
    <t xml:space="preserve">Плата за встановлення земельного сервітуту </t>
  </si>
  <si>
    <t xml:space="preserve">Кошти за шкоду, що заподіяна на земельних ділянках державної та комунальної власності, які не надані у користування та не передані у власність, внаслідок їх самовільного зайняття, використання не за цільовим призначенням </t>
  </si>
  <si>
    <t>6012</t>
  </si>
  <si>
    <t>Забезпечення діяльності з виробництва, транспортування, постачання теплової енергії</t>
  </si>
  <si>
    <t>Найменування згідно з Класифікацією фінансування бюджету</t>
  </si>
  <si>
    <t xml:space="preserve">Фінансування за типом кредитора </t>
  </si>
  <si>
    <t>Загальне фінансування</t>
  </si>
  <si>
    <t>Х</t>
  </si>
  <si>
    <t xml:space="preserve">Фінансування за типом боргового зобов'язання </t>
  </si>
  <si>
    <t>Усього</t>
  </si>
  <si>
    <t>усього</t>
  </si>
  <si>
    <t>у тому числі бюджет розвитку</t>
  </si>
  <si>
    <t>загальний фонд</t>
  </si>
  <si>
    <t>спеціальний фонд</t>
  </si>
  <si>
    <t>разом</t>
  </si>
  <si>
    <t>Кредитування, усього</t>
  </si>
  <si>
    <t>Код Функціональної класифікації видатків та кредитування бюджету</t>
  </si>
  <si>
    <t>УСЬОГО</t>
  </si>
  <si>
    <t>5</t>
  </si>
  <si>
    <t>6</t>
  </si>
  <si>
    <t>7</t>
  </si>
  <si>
    <t>8</t>
  </si>
  <si>
    <t>9</t>
  </si>
  <si>
    <t>10</t>
  </si>
  <si>
    <t>11</t>
  </si>
  <si>
    <t>12</t>
  </si>
  <si>
    <t>13</t>
  </si>
  <si>
    <t>14</t>
  </si>
  <si>
    <t>15</t>
  </si>
  <si>
    <t>16</t>
  </si>
  <si>
    <t>(грн)</t>
  </si>
  <si>
    <t>Сума, грн</t>
  </si>
  <si>
    <t>Рішення 19-ї сесії Хмельницької міської ради від 21.02.2001 року №6</t>
  </si>
  <si>
    <t>Рішення 11-ї сесії Хмельницької міської ради від 25.01.2017 року №20</t>
  </si>
  <si>
    <t>Рішення позачергової 10-ї сесії Хмельницької міської ради від 29.12.2016 року №1</t>
  </si>
  <si>
    <t>Оформлення передплати на газети організаціям інвалідів, ветеранів війни і праці, окремим категоріям громадян</t>
  </si>
  <si>
    <t>Рішення позачергової 10-ї сесії Хмельницької міської ради від 29.12.2016 року №4</t>
  </si>
  <si>
    <t>Рішення позачергової 10-ї сесії Хмельницької міської ради від 29.12.2016 року №2</t>
  </si>
  <si>
    <t>7413</t>
  </si>
  <si>
    <t>0451</t>
  </si>
  <si>
    <t>Інші заходи у сфері автотранспорту</t>
  </si>
  <si>
    <t>0810160</t>
  </si>
  <si>
    <t>0710160</t>
  </si>
  <si>
    <t>1510160</t>
  </si>
  <si>
    <t>3610160</t>
  </si>
  <si>
    <t>1610160</t>
  </si>
  <si>
    <t>3710160</t>
  </si>
  <si>
    <t>1210160</t>
  </si>
  <si>
    <t>2810160</t>
  </si>
  <si>
    <t>0817691</t>
  </si>
  <si>
    <t>1217691</t>
  </si>
  <si>
    <t>Рішення 21-ї сесії Хмельницької міської ради від 11.04.2018 року №11</t>
  </si>
  <si>
    <t>у тому числі  бюджет розвитку</t>
  </si>
  <si>
    <t>Офіційні трансферти</t>
  </si>
  <si>
    <t>0813210</t>
  </si>
  <si>
    <t>Забезпечення діяльності інклюзивно-ресурсних центрів</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</si>
  <si>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</si>
  <si>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0613140</t>
  </si>
  <si>
    <t>3140</t>
  </si>
  <si>
    <t>1515043</t>
  </si>
  <si>
    <t>5043</t>
  </si>
  <si>
    <t>0717670</t>
  </si>
  <si>
    <t>Програма «Здоров’я хмельничан» на 2017-2021 роки (із змінами і доповненнями)</t>
  </si>
  <si>
    <t>1517370</t>
  </si>
  <si>
    <t xml:space="preserve">Субвенції з державного бюджету місцевим бюджетам </t>
  </si>
  <si>
    <t>Залишок коштів на 01.01.2020 року</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</si>
  <si>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t>
  </si>
  <si>
    <t>Республіки Крим, органами місцевого самоврядування і місцевими органами виконавчої влади</t>
  </si>
  <si>
    <t>Членські внески до асоціацій органів місцевого самоврядування</t>
  </si>
  <si>
    <t>Субвенція з місцевого бюджету на утримання об'єктів спільного користування чи ліквідацію негативних наслідків діяльності об'єктів спільного користування</t>
  </si>
  <si>
    <t>1900000</t>
  </si>
  <si>
    <t>1910000</t>
  </si>
  <si>
    <t>Управління транспорту та зв'язку Хмельницької міської ради (головний розпорядник)</t>
  </si>
  <si>
    <t>Управління транспорту та зв'язку Хмельницької міської ради (відповідальний виконавець)</t>
  </si>
  <si>
    <t>1910160</t>
  </si>
  <si>
    <t>Програма
бюджетування за участі громадськості (Бюджет участі) міста Хмельницького на 2020 - 2022 роки</t>
  </si>
  <si>
    <t>Рішення 32-ї сесії Хмельницької міської ради від 26.06.2019 року №9</t>
  </si>
  <si>
    <t>Реверсна дотація</t>
  </si>
  <si>
    <t>Обслуговування місцевого боргу</t>
  </si>
  <si>
    <t xml:space="preserve"> 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</si>
  <si>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t>
  </si>
  <si>
    <t>Надання реабілітаційних послуг особам з інвалідністю та дітям з інвалідністю</t>
  </si>
  <si>
    <t>Надання пільгових довгострокових кредитів молодим сім'ям та одиноким молодим громадянам на будівництво/придбання житла</t>
  </si>
  <si>
    <t>1118821</t>
  </si>
  <si>
    <t>1118822</t>
  </si>
  <si>
    <t>8821</t>
  </si>
  <si>
    <t>8822</t>
  </si>
  <si>
    <t>Здійснення заходів із землеустрою</t>
  </si>
  <si>
    <t>Будівництвоˈ інших об'єктів комунальної власності</t>
  </si>
  <si>
    <t>Забезпечення діяльності музеїв i виставок</t>
  </si>
  <si>
    <t>Забезпечення діяльності інших закладів в галузі культури і мистецтва</t>
  </si>
  <si>
    <t>Інші заходи в галузі культури і мистецтва</t>
  </si>
  <si>
    <t>Інша діяльність, пов’язана з експлуатацією об’єктів житлово-комунального господарства</t>
  </si>
  <si>
    <t>1917413</t>
  </si>
  <si>
    <t>1917426</t>
  </si>
  <si>
    <t>Будівництвоˈ об'єктів житлово-комунального господарства</t>
  </si>
  <si>
    <t>3.2.4.</t>
  </si>
  <si>
    <t>3.2.10.</t>
  </si>
  <si>
    <t>3.2.15.</t>
  </si>
  <si>
    <t xml:space="preserve">Субвенції з місцевих бюджетів іншим місцевим бюджетам </t>
  </si>
  <si>
    <t>Субвенція з місцевого бюджету на здійснення переданих видатків у сфері освіти за рахунок коштів освітньої субвенції</t>
  </si>
  <si>
    <t>0712144</t>
  </si>
  <si>
    <t>2144</t>
  </si>
  <si>
    <t>Централізовані заходи з лікування хворих на цукровий та нецукровий діабет</t>
  </si>
  <si>
    <t>0813050</t>
  </si>
  <si>
    <t>3050</t>
  </si>
  <si>
    <t>Пільгове медичне обслуговування осіб, які постраждали внаслідок Чорнобильської катастрофи</t>
  </si>
  <si>
    <t>0813090</t>
  </si>
  <si>
    <t>3090</t>
  </si>
  <si>
    <t>Видатки на поховання учасників бойових дій та осіб з інвалідністю внаслідок війни</t>
  </si>
  <si>
    <t>0813171</t>
  </si>
  <si>
    <t>3171</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</si>
  <si>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</si>
  <si>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 xml:space="preserve">Цільові фонди </t>
  </si>
  <si>
    <t>Усього доходів (без врахування міжбюджетних трансфертів)</t>
  </si>
  <si>
    <t>Рішення 34-ї сесії Хмельницької міської ради від 09.10.2019 року №38</t>
  </si>
  <si>
    <t>(код бюджету)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</si>
  <si>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</si>
  <si>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</si>
  <si>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Додаток 3</t>
  </si>
  <si>
    <t>УСЬОГО:</t>
  </si>
  <si>
    <t>Найменування місцевої / регіональної програми</t>
  </si>
  <si>
    <t>Дата і номер документа, яким затверджено місцеву / регіональну програму</t>
  </si>
  <si>
    <t>Надання загальної середньої освіти спеціальними закладами загальної середньої освіти для дітей, які потребують корекції фізичного та/або розумового розвитку</t>
  </si>
  <si>
    <t>0611030</t>
  </si>
  <si>
    <t>Надання позашкільної освіти закладами позашкільної освіти, заходи із позашкільної роботи з дітьми</t>
  </si>
  <si>
    <t>Підготовка кадрів закладами професійної (професійно-технічної) освіти та іншими закладами освіти</t>
  </si>
  <si>
    <t>Забезпечення діяльності інших закладів у сфері освіти</t>
  </si>
  <si>
    <t>Повернення довгострокових кредитів, наданих громадянам на будівництво/реконструкцію/придбання житла</t>
  </si>
  <si>
    <t>1118842</t>
  </si>
  <si>
    <t>8842</t>
  </si>
  <si>
    <t>0712020</t>
  </si>
  <si>
    <t>Спеціалізована стаціонарна медична допомога населенню</t>
  </si>
  <si>
    <t>0732</t>
  </si>
  <si>
    <t>2020</t>
  </si>
  <si>
    <t>0719770</t>
  </si>
  <si>
    <t>5062</t>
  </si>
  <si>
    <t>Підтримка спорту вищих досягнень та організацій, які здійснюють фізкультурно-спортивну діяльність в регіоні</t>
  </si>
  <si>
    <t>1115062</t>
  </si>
  <si>
    <t>0219800</t>
  </si>
  <si>
    <t>9800</t>
  </si>
  <si>
    <t>Субвенція з місцевого бюджету державному бюджету на виконання програм соціально-економічного розвитку регіонів</t>
  </si>
  <si>
    <t>1517324</t>
  </si>
  <si>
    <t>7324</t>
  </si>
  <si>
    <t>8110</t>
  </si>
  <si>
    <t>Заходи із запобігання та ліквідації надзвичайних ситуацій та наслідків стихійного лиха</t>
  </si>
  <si>
    <t>Придбання обладнання і предметів довгострокового користування</t>
  </si>
  <si>
    <t>2017 - 2022 роки</t>
  </si>
  <si>
    <t>2019 - 2021 роки</t>
  </si>
  <si>
    <t xml:space="preserve">Начальник фінансового управління </t>
  </si>
  <si>
    <t xml:space="preserve">С. ЯМЧУК </t>
  </si>
  <si>
    <t xml:space="preserve">                                   Начальник фінансового управління                                                                                            Ю. САБІЙ</t>
  </si>
  <si>
    <t xml:space="preserve">Рентна плата та плата за використання ішших природних ресурсів </t>
  </si>
  <si>
    <t xml:space="preserve">Рентна плата за спеціальне використання лісових ресурсів </t>
  </si>
  <si>
    <t>Рентна плата за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t>
  </si>
  <si>
    <t xml:space="preserve">Рентна плата за користування надрами </t>
  </si>
  <si>
    <t xml:space="preserve">Рентна плата за користуваання надрами для видобудування корисних копалин загальнодержавного значення </t>
  </si>
  <si>
    <t>Внутрішні податки на товари та послуги</t>
  </si>
  <si>
    <t>Інші податки та збори</t>
  </si>
  <si>
    <t>Надходження  від викидів забруднюючих речовин в атмосферне повітря стаціонарними джерелами забруднення (за винятком викидів в атмосферне повітря двоокису вуглецю)</t>
  </si>
  <si>
    <t>Доходи від власності та підприємницької діяльності</t>
  </si>
  <si>
    <t>Частина чистого прибутку (доходу)  державних або кумунальних унітраних підприємств та їх обєднань, що вилучається до відповідного бюджету</t>
  </si>
  <si>
    <t>Плата за надання адміністративних послуг</t>
  </si>
  <si>
    <t>Надходження від орендної плати за користування цілісним майновим комплексом та іншим державним майном</t>
  </si>
  <si>
    <t xml:space="preserve">Кошти від реалізації скарбів, майна, одержаного державною або територіальною громадою  в порядку спадкування чи дарування, а також валютні цінності і грошові кошти, власники яких невідомі </t>
  </si>
  <si>
    <t xml:space="preserve">Єдиний податок з сільськогосподарських товаровиробників, у яких частка сільськогосподарського виробництва за попередній податковий (звітний) рік дорівнює або перевищує 75 відсотків </t>
  </si>
  <si>
    <t>1400000</t>
  </si>
  <si>
    <t>1410000</t>
  </si>
  <si>
    <t>1410160</t>
  </si>
  <si>
    <t>1410180</t>
  </si>
  <si>
    <t>1416012</t>
  </si>
  <si>
    <t>1416013</t>
  </si>
  <si>
    <t>1416020</t>
  </si>
  <si>
    <t>1416030</t>
  </si>
  <si>
    <t>1417310</t>
  </si>
  <si>
    <t>1417461</t>
  </si>
  <si>
    <t>1417640</t>
  </si>
  <si>
    <t>1417670</t>
  </si>
  <si>
    <t>1417691</t>
  </si>
  <si>
    <t>1418110</t>
  </si>
  <si>
    <t>1418120</t>
  </si>
  <si>
    <t>1418130</t>
  </si>
  <si>
    <t>8130</t>
  </si>
  <si>
    <t>Забезпечення діяльності місцевої пожежної охорони</t>
  </si>
  <si>
    <t>2021 рік</t>
  </si>
  <si>
    <t>Управління комунальної інфраструктури Хмельницької міської ради (головний розпорядник)</t>
  </si>
  <si>
    <t>Управління комунальної інфраструктури Хмельницької міської ради (відповідальний виконавець)</t>
  </si>
  <si>
    <t>Управління житлової політики і майна Хмельницької міської ради (головний розпорядник)</t>
  </si>
  <si>
    <t>Управління житлової політики і майна Хмельницької міської ради (відповідальний виконавець)</t>
  </si>
  <si>
    <t>Індивідуальне навчання, одяг сиротам</t>
  </si>
  <si>
    <t>Виплата 1810 грн сиротам при досягненні 18 років</t>
  </si>
  <si>
    <t>РОЗПОДІЛ</t>
  </si>
  <si>
    <t>Найменування головного розпорядника коштів бюджету  Хмельницької міської територіальної громади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</si>
  <si>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доходів та видатків цільового фонду</t>
  </si>
  <si>
    <t>КОШТОРИС</t>
  </si>
  <si>
    <t>природоохоронних заходів,</t>
  </si>
  <si>
    <t>ПЕРЕЛІК</t>
  </si>
  <si>
    <t>КРЕДИТУВАННЯ</t>
  </si>
  <si>
    <t>ФІНАНСУВАННЯ</t>
  </si>
  <si>
    <t>Найменування головного розпорядника коштів бюджету Хмельницької міської територіальної громади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</si>
  <si>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Державний бюджет України</t>
  </si>
  <si>
    <t>0219770</t>
  </si>
  <si>
    <t>22317200000</t>
  </si>
  <si>
    <t>Районний бюджет Хмельницького району</t>
  </si>
  <si>
    <t>Бюджет Красилівської міської територіальної громади</t>
  </si>
  <si>
    <t>Бюджет Заслучненської сільської територіальної громади</t>
  </si>
  <si>
    <t>22522000000</t>
  </si>
  <si>
    <t>Бюджет Чорноострівської селищної територіальної громади</t>
  </si>
  <si>
    <t>Програма розвитку освіти Хмельницької міської територіальної громади на 2017-2021 роки (із змінами і доповненнями)</t>
  </si>
  <si>
    <t>Комплексна програма «Піклування» в Хмельницькій міській територіальній громаді на 2017 - 2021 роки (із змінами і доповненнями)</t>
  </si>
  <si>
    <t>0210160</t>
  </si>
  <si>
    <t>Рішення 42-ї сесії Хмельницької міської ради від 17.06.2020 року №39</t>
  </si>
  <si>
    <t>1019770</t>
  </si>
  <si>
    <t>Комплексна програма реалізації молодіжної політики та розвитку фізичної культури і спорту у Хмельницькій міській територіальній громаді на 2017 - 2021 роки (із змінами і доповненнями)</t>
  </si>
  <si>
    <t>Рішення позачергової 46-ї сесії Хмельницької міської ради від 07.10.2020 року №3</t>
  </si>
  <si>
    <t>Плата за гарантії, надані Верховною Радою Автономної Республіки    Крим та міськими радами</t>
  </si>
  <si>
    <t>Додаток №5</t>
  </si>
  <si>
    <t>Додаток №7</t>
  </si>
  <si>
    <t>Додаток 8</t>
  </si>
  <si>
    <t>Додаток  9</t>
  </si>
  <si>
    <t>Найменування трансферту /
Найменування бюджету – надавача міжбюджетного трансферту</t>
  </si>
  <si>
    <t>Код Класифікації доходу бюджету /
Код бюджету</t>
  </si>
  <si>
    <t>І. Трансферти до загального фонду бюджету</t>
  </si>
  <si>
    <t>ІІ. Трансферти до спеціального фонду бюджету</t>
  </si>
  <si>
    <t>УСЬОГО за розділами І, ІІ, у тому числі:</t>
  </si>
  <si>
    <t>Код Програмної класифікації видатків та кредитування місцевого бюджету /
Код бюджету</t>
  </si>
  <si>
    <t>Найменування трансферту /
Найменування бюджету – отримувача міжбюджетного трансферту</t>
  </si>
  <si>
    <t>І. Трансферти із загального фонду бюджету</t>
  </si>
  <si>
    <t>ІІ. Трансферти із спеціального фонду бюджету</t>
  </si>
  <si>
    <t>3719110</t>
  </si>
  <si>
    <t>9110</t>
  </si>
  <si>
    <t>41033900</t>
  </si>
  <si>
    <t>41030000</t>
  </si>
  <si>
    <t>1117670</t>
  </si>
  <si>
    <t>2019 - 2023 роки</t>
  </si>
  <si>
    <t>Обласний бюджет Хмельницької області</t>
  </si>
  <si>
    <t>41040000</t>
  </si>
  <si>
    <t>41040200</t>
  </si>
  <si>
    <t>41050000</t>
  </si>
  <si>
    <t xml:space="preserve">Субвеції з місцевих бюджетів іншим місцевим бюджетам </t>
  </si>
  <si>
    <t>41051000</t>
  </si>
  <si>
    <t xml:space="preserve">Субвенції з місцевого бюджету на здійснення переданих видатків у сфері освіти за рахунок коштів освітньої субвенції </t>
  </si>
  <si>
    <t>41051200</t>
  </si>
  <si>
    <t>41055000</t>
  </si>
  <si>
    <t xml:space="preserve">Освітня субвенція  </t>
  </si>
  <si>
    <t xml:space="preserve">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дотації з державного бюджету </t>
  </si>
  <si>
    <t xml:space="preserve">Субвенції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 </t>
  </si>
  <si>
    <t xml:space="preserve">Пальне </t>
  </si>
  <si>
    <t>Акцизний податок з вироблених в Україні підакцизних товарів (продукції)</t>
  </si>
  <si>
    <t>Акцизний податок з ввезених на митну територію  України підакцизних товарів (продукції)</t>
  </si>
  <si>
    <t>0210170</t>
  </si>
  <si>
    <t>0131</t>
  </si>
  <si>
    <t>Підвищення кваліфікації депутатів місцевих рад та посадових осіб місцевого самоврядування</t>
  </si>
  <si>
    <t>1210170</t>
  </si>
  <si>
    <t>0810170</t>
  </si>
  <si>
    <t>1410170</t>
  </si>
  <si>
    <t>1510170</t>
  </si>
  <si>
    <t>1610170</t>
  </si>
  <si>
    <t>1910170</t>
  </si>
  <si>
    <t>2810170</t>
  </si>
  <si>
    <t>3710170</t>
  </si>
  <si>
    <t>Надання фінансової підтримки громадським об'єднанням ветеранів і осіб з інвалідністю, діяльність яких має соціальну спрямованість</t>
  </si>
  <si>
    <t>1011080</t>
  </si>
  <si>
    <t>1080</t>
  </si>
  <si>
    <t>Утримання та забезпечення діяльності центрів соціальних служб</t>
  </si>
  <si>
    <t>Витрати, пов’язані з наданням та обслуговуванням пільгових довгострокових кредитів, наданих громадянам на будівництво/реконструкцію/ придбання житла</t>
  </si>
  <si>
    <t>Резервний фонд місцевого бюджету</t>
  </si>
  <si>
    <t>0611021</t>
  </si>
  <si>
    <t>1021</t>
  </si>
  <si>
    <t>Надання загальної середньої освіти за рахунок коштів місцевого бюджету</t>
  </si>
  <si>
    <t>0611200</t>
  </si>
  <si>
    <t>1200</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</si>
  <si>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</si>
  <si>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0611160</t>
  </si>
  <si>
    <t>1160</t>
  </si>
  <si>
    <t>Забезпечення діяльності центрів професійного розвитку педагогічних працівників</t>
  </si>
  <si>
    <t>0611022</t>
  </si>
  <si>
    <t>1022</t>
  </si>
  <si>
    <t>0611180</t>
  </si>
  <si>
    <t>1180</t>
  </si>
  <si>
    <t>Виконання заходів, спрямованих на забезпечення якісної, сучасної та доступної загальної середньої освіти «Нова українська школа»</t>
  </si>
  <si>
    <t>0611181</t>
  </si>
  <si>
    <t>1181</t>
  </si>
  <si>
    <t>Співфінансування заходів, що реалізуються за рахунок субвенції з державного бюджету місцевим бюджетам на забезпечення якісної, сучасної та доступної загальної середньої освіти "Нова українська школа"</t>
  </si>
  <si>
    <t>Надання загальної середньої освіти за рахунок освітньої субвенції</t>
  </si>
  <si>
    <t>0611031</t>
  </si>
  <si>
    <t>1031</t>
  </si>
  <si>
    <t>0611070</t>
  </si>
  <si>
    <t>0611091</t>
  </si>
  <si>
    <t>1091</t>
  </si>
  <si>
    <t>Підготовка кадрів закладами професійної (професійно-технічної) освіти та іншими закладами освіти за рахунок коштів місцевого бюджету</t>
  </si>
  <si>
    <t>1092</t>
  </si>
  <si>
    <t>0611092</t>
  </si>
  <si>
    <t>Підготовка кадрів закладами професійної (професійно-технічної) освіти та іншими закладами освіти за рахунок освітньої субвенції</t>
  </si>
  <si>
    <t>1140</t>
  </si>
  <si>
    <t>0611140</t>
  </si>
  <si>
    <t>Інші програми, заклади та заходи у сфері освіти</t>
  </si>
  <si>
    <t>0611141</t>
  </si>
  <si>
    <t>1141</t>
  </si>
  <si>
    <t>0611142</t>
  </si>
  <si>
    <t>1142</t>
  </si>
  <si>
    <t>0611150</t>
  </si>
  <si>
    <t>1150</t>
  </si>
  <si>
    <t>0611151</t>
  </si>
  <si>
    <t>1151</t>
  </si>
  <si>
    <t>Забезпечення діяльності інклюзивно-ресурсних центрів за рахунок коштів місцевого бюджету</t>
  </si>
  <si>
    <t>0611152</t>
  </si>
  <si>
    <t>1152</t>
  </si>
  <si>
    <t>Забезпечення діяльності інклюзивно-ресурсних центрів за рахунок освітньої субвенції</t>
  </si>
  <si>
    <t>0210100</t>
  </si>
  <si>
    <t>0100</t>
  </si>
  <si>
    <t>Державне управління</t>
  </si>
  <si>
    <t>0217500</t>
  </si>
  <si>
    <t>7500</t>
  </si>
  <si>
    <t>Зв'язок, телекомунікації та інформатика</t>
  </si>
  <si>
    <t>Інші програми та заходи, пов'язані з економічною діяльністю</t>
  </si>
  <si>
    <t>0217600</t>
  </si>
  <si>
    <t>7600</t>
  </si>
  <si>
    <t>Інша економічна діяльність</t>
  </si>
  <si>
    <t>0217690</t>
  </si>
  <si>
    <t>7690</t>
  </si>
  <si>
    <t>0218000</t>
  </si>
  <si>
    <t>8000</t>
  </si>
  <si>
    <t>Інша діяльність</t>
  </si>
  <si>
    <t>0218400</t>
  </si>
  <si>
    <t>8400</t>
  </si>
  <si>
    <t>Засоби масової інформації</t>
  </si>
  <si>
    <t>0219000</t>
  </si>
  <si>
    <t>9000</t>
  </si>
  <si>
    <t>Міжбюджетні трансферти</t>
  </si>
  <si>
    <t>0219700</t>
  </si>
  <si>
    <t>9700</t>
  </si>
  <si>
    <t>Субвенції з місцевого бюджету іншим місцевим бюджетам на здійснення програм та заходів за рахунок коштів місцевих бюджетів</t>
  </si>
  <si>
    <t>0611000</t>
  </si>
  <si>
    <t>1000</t>
  </si>
  <si>
    <t>Освіта</t>
  </si>
  <si>
    <t>0613000</t>
  </si>
  <si>
    <t>3000</t>
  </si>
  <si>
    <t>Соціальний захист та соціальне забезпечення</t>
  </si>
  <si>
    <t>0710100</t>
  </si>
  <si>
    <t>0712000</t>
  </si>
  <si>
    <t>2000</t>
  </si>
  <si>
    <t>Охорона здоров’я</t>
  </si>
  <si>
    <t>0712110</t>
  </si>
  <si>
    <t>2110</t>
  </si>
  <si>
    <t>Первинна медична допомога населенню</t>
  </si>
  <si>
    <t>0712140</t>
  </si>
  <si>
    <t>2140</t>
  </si>
  <si>
    <t>Програми і централізовані заходи у галузі охорони здоров’я</t>
  </si>
  <si>
    <t>0712150</t>
  </si>
  <si>
    <t>2150</t>
  </si>
  <si>
    <t>Інші програми, заклади та заходи у сфері охорони здоров’я</t>
  </si>
  <si>
    <t>0717600</t>
  </si>
  <si>
    <t>0810100</t>
  </si>
  <si>
    <t>0813000</t>
  </si>
  <si>
    <t>0813030</t>
  </si>
  <si>
    <t>3030</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</si>
  <si>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</si>
  <si>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0813100</t>
  </si>
  <si>
    <t>3100</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</si>
  <si>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</si>
  <si>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0813190</t>
  </si>
  <si>
    <t>3190</t>
  </si>
  <si>
    <t>Соціальний захист ветеранів війни та праці</t>
  </si>
  <si>
    <t>0813240</t>
  </si>
  <si>
    <t>3240</t>
  </si>
  <si>
    <t xml:space="preserve"> Інші заклади та заходи</t>
  </si>
  <si>
    <t>0816000</t>
  </si>
  <si>
    <t>6000</t>
  </si>
  <si>
    <t>Житлово-комунальне господарство</t>
  </si>
  <si>
    <t>0816080</t>
  </si>
  <si>
    <t>6080</t>
  </si>
  <si>
    <t>Реалізація державних та місцевих житлових програм</t>
  </si>
  <si>
    <t>0217000</t>
  </si>
  <si>
    <t>7000</t>
  </si>
  <si>
    <t xml:space="preserve"> Економічна діяльність</t>
  </si>
  <si>
    <t>0717000</t>
  </si>
  <si>
    <t>0817000</t>
  </si>
  <si>
    <t>0817690</t>
  </si>
  <si>
    <t>0817600</t>
  </si>
  <si>
    <t>1011000</t>
  </si>
  <si>
    <t>1014000</t>
  </si>
  <si>
    <t>4000</t>
  </si>
  <si>
    <t>Культура i мистецтво</t>
  </si>
  <si>
    <t>1014080</t>
  </si>
  <si>
    <t>4080</t>
  </si>
  <si>
    <t>Інші заклади та заходи в галузі культури і мистецтва</t>
  </si>
  <si>
    <t>1019000</t>
  </si>
  <si>
    <t>1019700</t>
  </si>
  <si>
    <t>1113000</t>
  </si>
  <si>
    <t>1113120</t>
  </si>
  <si>
    <t>3120</t>
  </si>
  <si>
    <t>Здійснення соціальної роботи з вразливими категоріями населення</t>
  </si>
  <si>
    <t>1113130</t>
  </si>
  <si>
    <t>3130</t>
  </si>
  <si>
    <t>1115000</t>
  </si>
  <si>
    <t>5000</t>
  </si>
  <si>
    <t xml:space="preserve"> Фiзична культура i спорт</t>
  </si>
  <si>
    <t>1115010</t>
  </si>
  <si>
    <t>5010</t>
  </si>
  <si>
    <t>Проведення спортивної роботи в регіоні</t>
  </si>
  <si>
    <t>1115020</t>
  </si>
  <si>
    <t>5020</t>
  </si>
  <si>
    <t>Здійснення фізкультурно-спортивної та реабілітаційної роботи серед осіб з інвалідністю</t>
  </si>
  <si>
    <t>1115030</t>
  </si>
  <si>
    <t>5030</t>
  </si>
  <si>
    <t xml:space="preserve"> Розвиток дитячо-юнацького та резервного спорту</t>
  </si>
  <si>
    <t>1115060</t>
  </si>
  <si>
    <t>5060</t>
  </si>
  <si>
    <t>Інші заходи з розвитку фізичної культури та спорту</t>
  </si>
  <si>
    <t>1116000</t>
  </si>
  <si>
    <t>1116080</t>
  </si>
  <si>
    <t>1117000</t>
  </si>
  <si>
    <t>1117600</t>
  </si>
  <si>
    <t>1210100</t>
  </si>
  <si>
    <t>1216000</t>
  </si>
  <si>
    <t>1216010</t>
  </si>
  <si>
    <t>6010</t>
  </si>
  <si>
    <t>Утримання та ефективна експлуатація об’єктів житлово-комунального господарства</t>
  </si>
  <si>
    <t>1217000</t>
  </si>
  <si>
    <t>Економічна діяльність</t>
  </si>
  <si>
    <t>1217600</t>
  </si>
  <si>
    <t>1217690</t>
  </si>
  <si>
    <t xml:space="preserve"> Інша економічна діяльність</t>
  </si>
  <si>
    <t>1410100</t>
  </si>
  <si>
    <t>1416000</t>
  </si>
  <si>
    <t>1416010</t>
  </si>
  <si>
    <t>1417000</t>
  </si>
  <si>
    <t>1417300</t>
  </si>
  <si>
    <t>7300</t>
  </si>
  <si>
    <t>Будівництво та регіональний розвиток</t>
  </si>
  <si>
    <t>1417400</t>
  </si>
  <si>
    <t>7400</t>
  </si>
  <si>
    <t>Транспорт та транспортна інфраструктура, дорожнє господарство</t>
  </si>
  <si>
    <t>1417600</t>
  </si>
  <si>
    <t>1417690</t>
  </si>
  <si>
    <t>1418000</t>
  </si>
  <si>
    <t>1418100</t>
  </si>
  <si>
    <t>8100</t>
  </si>
  <si>
    <t>1510100</t>
  </si>
  <si>
    <t>1515000</t>
  </si>
  <si>
    <t>1515040</t>
  </si>
  <si>
    <t>5040</t>
  </si>
  <si>
    <t>Підтримка і розвиток спортивної інфраструктури</t>
  </si>
  <si>
    <t>1517000</t>
  </si>
  <si>
    <t>1517300</t>
  </si>
  <si>
    <t>1517320</t>
  </si>
  <si>
    <t>7320</t>
  </si>
  <si>
    <t>1610100</t>
  </si>
  <si>
    <t>1910100</t>
  </si>
  <si>
    <t>1917000</t>
  </si>
  <si>
    <t>1917400</t>
  </si>
  <si>
    <t>1917420</t>
  </si>
  <si>
    <t>7420</t>
  </si>
  <si>
    <t>Забезпечення надання послуг з перевезення пасажирів електротранспортом</t>
  </si>
  <si>
    <t>2717000</t>
  </si>
  <si>
    <t>2717600</t>
  </si>
  <si>
    <t>2717690</t>
  </si>
  <si>
    <t>2810100</t>
  </si>
  <si>
    <t>2818000</t>
  </si>
  <si>
    <t>2818300</t>
  </si>
  <si>
    <t>8300</t>
  </si>
  <si>
    <t>Охорона навколишнього природного середовища</t>
  </si>
  <si>
    <t>3610100</t>
  </si>
  <si>
    <t>3617000</t>
  </si>
  <si>
    <t>3617100</t>
  </si>
  <si>
    <t>7100</t>
  </si>
  <si>
    <t>Сільське, лісове, рибне господарство та мисливство</t>
  </si>
  <si>
    <t>3617600</t>
  </si>
  <si>
    <t xml:space="preserve"> Інші програми та заходи, пов'язані з економічною діяльністю</t>
  </si>
  <si>
    <t>3710100</t>
  </si>
  <si>
    <t>3718000</t>
  </si>
  <si>
    <t>Резервний фонд</t>
  </si>
  <si>
    <t>3719000</t>
  </si>
  <si>
    <t>Дотації з місцевого бюджету іншим бюджетам</t>
  </si>
  <si>
    <t>9100</t>
  </si>
  <si>
    <t>1118000</t>
  </si>
  <si>
    <t xml:space="preserve"> Інша діяльність</t>
  </si>
  <si>
    <t>1118800</t>
  </si>
  <si>
    <t>8800</t>
  </si>
  <si>
    <t>Кредитування</t>
  </si>
  <si>
    <t>1118820</t>
  </si>
  <si>
    <t>8820</t>
  </si>
  <si>
    <t>Рішення 2-ї сесії Хмельницької міської ради від 23.12.2020 року №22</t>
  </si>
  <si>
    <t xml:space="preserve">Цільова програма попередження виникнення надзвичайних ситуацій та забезпечення  пожежної і техногенної безпеки об'єктів усіх форм власності, розвитку інфраструктури пожежно-рятувальних підрозділів на території Хмельницької міської територіальної громади на 2021-2025 роки </t>
  </si>
  <si>
    <t>Рішення 2-ї сесії Хмельницької міської ради від 23.12.2020 року №9</t>
  </si>
  <si>
    <t>Програма економічного і соціального розвитку Хмельницької міської територіальної громади на 2021 рік</t>
  </si>
  <si>
    <t>Рішення 2-ї сесії Хмельницької міської ради від 23.12.2020 року №10</t>
  </si>
  <si>
    <t>Рішення 2-ї сесії Хмельницької міської ради від 23.12.2020 року №11</t>
  </si>
  <si>
    <t>Програма підтримки книговидання та читацької культури у Хмельницькій міській територіальній громаді на 2021-2025 роки «#ЩодняЧитай українською»</t>
  </si>
  <si>
    <t>Рішення 2-ї сесії Хмельницької міської ради від 23.12.2020 року №31</t>
  </si>
  <si>
    <t>Програма розвитку Хмельницької міської територіальної громади у сфері культури на 2021-2025 роки "Нова лінія культурних змін"</t>
  </si>
  <si>
    <t>Рішення 2-ї сесії Хмельницької міської ради від 23.12.2020 року №32</t>
  </si>
  <si>
    <t>Програма 
підтримки сім'ї на 2021-2025 рр.</t>
  </si>
  <si>
    <t>Рішення 2-ї сесії Хмельницької міської ради від 23.12.2020 року №33</t>
  </si>
  <si>
    <t>Рішення 2-ї сесії Хмельницької міської ради від 23.12.2020 року №36</t>
  </si>
  <si>
    <t>Програма розвитку, підтримки комунальних закладів охорони здоров’я та надання 
медичних послуг понад обсяг, передбачений програмою державних гарантій медичного обслуговування населення Хмельницької міської 
територіальної громади на 2021 - 2023 роки</t>
  </si>
  <si>
    <t>Рішення 2-ї сесії Хмельницької міської ради від 23.12.2020 року №50</t>
  </si>
  <si>
    <t>Програма забезпечення надання адміністративних послуг територіальних органів Міністерства внутрішніх справ України через управління адміністративних послуг Хмельницької міської ради на 2021 рік</t>
  </si>
  <si>
    <t>Рішення 2-ї сесії Хмельницької міської ради від 23.12.2020 року №57</t>
  </si>
  <si>
    <t>Рішення 2-ї сесії Хмельницької міської ради від 23.12.2020 року №67</t>
  </si>
  <si>
    <t>Програма розвитку велоінфраструктури м.Хмельницького на 2017-2025 роки</t>
  </si>
  <si>
    <t>Програма поводження з побутовими відходами "Розумне Довкілля.  Хмельницький" на 2021 - 2022 роки</t>
  </si>
  <si>
    <t>Пільгові довгострокові кредити молодим сім'ям та одиноким молодим громадянам на будівництво/реконструкцію/придбання житла та їх повернення</t>
  </si>
  <si>
    <t>Повернення пільгових довгострокових кредитів, наданих молодим сім'ям та одиноким молодим громадянам на будівництво/реконструкцію/придбання житла</t>
  </si>
  <si>
    <t xml:space="preserve"> Надання пільгових довгострокових кредитів молодим сім'ям та одиноким молодим громадянам на будівництво/реконструкцію/придбання житла</t>
  </si>
  <si>
    <t>99000000000</t>
  </si>
  <si>
    <t>0813170</t>
  </si>
  <si>
    <t>3170</t>
  </si>
  <si>
    <t>Забезпечення реалізації окремих програм для осіб з інвалідністю</t>
  </si>
  <si>
    <t>Програма навчання, підготовки та підвищення кваліфікації посадових осіб місцевого самоврядування, керівних працівників підприємств, установ і організацій Хмельницької міської територіальної громади, членів виконавчого комітету та депутатів міської ради на 2021 рік</t>
  </si>
  <si>
    <t>Рішення 4-ї сесії Хмельницької міської ради від 17.02.2021 року №7</t>
  </si>
  <si>
    <t xml:space="preserve">Управління з питань екології та контролю за благоустроєм  Хмельницької міської ради  (відповідальний виконавець) </t>
  </si>
  <si>
    <t xml:space="preserve">Управління з питань екології та контролю за благоустроєм  Хмельницької міської ради  (головний розпорядник) </t>
  </si>
  <si>
    <t xml:space="preserve">Управління з питань екології та контролю за благоустроєм Хмельницької міської ради  (головний розпорядник) </t>
  </si>
  <si>
    <t xml:space="preserve">Управління з питань екології та контролю за благоустроєм Хмельницької міської ради  (відповідальний виконавець) </t>
  </si>
  <si>
    <t>Рішення 13-ї сесії Хмельницької міської ради від 22.03.2017 року №33</t>
  </si>
  <si>
    <t>Управління капітального будівництва Хмельницької міської ради (головний розпорядник)</t>
  </si>
  <si>
    <t>Управління капітального будівництва Хмельницької міської ради (відповідальний виконавець)</t>
  </si>
  <si>
    <t>Управління архітектури та містобудування Хмельницької міської ради (головний розпорядник)</t>
  </si>
  <si>
    <t>Управління архітектури та містобудування  Хмельницької міської ради  (відповідальний виконавець)</t>
  </si>
  <si>
    <t>Управління земельних ресурсів Хмельницької міської ради (відповідальний розпорядник)</t>
  </si>
  <si>
    <t>Управління земельних ресурсів Хмельницької міської ради (головний розпорядник)</t>
  </si>
  <si>
    <t xml:space="preserve">які будуть фінансуватися з Фонду охорони навколишнього природного середовища </t>
  </si>
  <si>
    <t>Управління архітектури та містобудування Хмельницької міської ради  (відповідальний виконавець)</t>
  </si>
  <si>
    <t>Управління земельних ресурсів та земельної реформи Хмельницької міської ради (головний розпорядник)</t>
  </si>
  <si>
    <t>Управління земельних ресурсів та земельної реформи  Хмельницької міської ради (відповідальний розпорядник)</t>
  </si>
  <si>
    <t>Інші субвенції з місцевого бюджету, в тому числі:</t>
  </si>
  <si>
    <t xml:space="preserve"> - пільгове медичне обслуговування осіб, які постраждали внаслідок Чорнобильської катастрофи </t>
  </si>
  <si>
    <t xml:space="preserve"> - компенсаційні виплати особам з інвалідністю на бензин, ремонт, технічне обслуговування автомобілів, мотоколясок і на транспортне обслуговування</t>
  </si>
  <si>
    <t xml:space="preserve">  - поховання учасників бойових дій та осіб з інвалідністю внаслідок війни</t>
  </si>
  <si>
    <t>Внески до статутного капіталу МКП "Хмельницькводоканал" (Реконструкція водопроводу від  вул.Проскурівська по пров. Проскурівський, вул. Пилипчука до пров. Шевченка в м. Хмельницький)</t>
  </si>
  <si>
    <t>2719000</t>
  </si>
  <si>
    <t>2719700</t>
  </si>
  <si>
    <t>2719770</t>
  </si>
  <si>
    <t>1617000</t>
  </si>
  <si>
    <t>1617300</t>
  </si>
  <si>
    <t>1617350</t>
  </si>
  <si>
    <t>7350</t>
  </si>
  <si>
    <t>Розроблення схем планування та забудови територій (містобудівної документації)</t>
  </si>
  <si>
    <t>0217693</t>
  </si>
  <si>
    <t>1017000</t>
  </si>
  <si>
    <t>1017600</t>
  </si>
  <si>
    <t>1017670</t>
  </si>
  <si>
    <t>1217670</t>
  </si>
  <si>
    <t>0810180</t>
  </si>
  <si>
    <t>0813060</t>
  </si>
  <si>
    <t>3060</t>
  </si>
  <si>
    <t>Оздоровлення громадян, які постраждали внаслідок Чорнобильської катастрофи</t>
  </si>
  <si>
    <t>0817320</t>
  </si>
  <si>
    <t>0817323</t>
  </si>
  <si>
    <t>7323</t>
  </si>
  <si>
    <t>0817300</t>
  </si>
  <si>
    <t>1517310</t>
  </si>
  <si>
    <t>1510180</t>
  </si>
  <si>
    <t>1216020</t>
  </si>
  <si>
    <t>0611060</t>
  </si>
  <si>
    <t>0611061</t>
  </si>
  <si>
    <t>1061</t>
  </si>
  <si>
    <t>Реконструкція будівлі №45/312 (контрольно-технічний пункт), військового містечка №45 військової частини А0661</t>
  </si>
  <si>
    <t>Рішення 4-ї сесії Хмельницької міської ради від 17.02.2021 року №2</t>
  </si>
  <si>
    <t>Рішення 3-ї сесії Хмельницької міської ради від 14.01.2021 року №1</t>
  </si>
  <si>
    <t>Реконструкція існуючої будівлі краєзнавчого музею під музейний комплекс історії та культури по вул.Свободи, 22 в м.Хмельницькому</t>
  </si>
  <si>
    <t xml:space="preserve">Реконструкція з добудовою їдальні до існуючого приміщення спеціалізованої загальноосвітньої школи І-ІІІ ступенів №8 по вул. Я. Гальчевського, 34 в м.Хмельницькому </t>
  </si>
  <si>
    <t>2017 - 2025 роки</t>
  </si>
  <si>
    <t>2020 - 2025 роки</t>
  </si>
  <si>
    <t>2015 - 2025 роки</t>
  </si>
  <si>
    <t>0611210</t>
  </si>
  <si>
    <t>1210</t>
  </si>
  <si>
    <t>Внески до статутного капіталу міського комунального підприємства - Кінотеатр ім. Т.Г.Шевченка (Виготовлення науково-проектної документації «Реставрація будівлі кінотеатру ім. Т. Г. Шевченка (щойно виявлений об’єкт культурної спадщини) по вул. Проскурівській, 40 у м. Хмельницькому)</t>
  </si>
  <si>
    <t>41051700</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</si>
  <si>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</si>
  <si>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41053600</t>
  </si>
  <si>
    <t>Субвенція з місцевого бюджету на здійснення природоохоронних заходів</t>
  </si>
  <si>
    <t xml:space="preserve"> - соціально-економічний розвиток</t>
  </si>
  <si>
    <t>Субвенція з місцевого бюджету на здійснення природоохоронних заходів  (Обласний фонд охорони навколишнього природного середовища)</t>
  </si>
  <si>
    <t>Інші субвенції з місцевого бюджету (соціально-економічний розвиток)</t>
  </si>
  <si>
    <t>Рішення 5-ї сесії Хмельницької міської ради від 21.04.2021 року №7</t>
  </si>
  <si>
    <t>Рішення 5-ї сесії Хмельницької міської ради від 21.04.2021 року №57</t>
  </si>
  <si>
    <t>Рішення 5-ї сесії Хмельницької міської ради від 21.04.2021 року №69</t>
  </si>
  <si>
    <t>Програма розвитку та фінансової підтримки комунального підприємства «Чайка» Хмельницької міської ради на 2021-2022 роки</t>
  </si>
  <si>
    <t>Рішення 5-ї сесії Хмельницької міської ради від 21.04.2021 року №74</t>
  </si>
  <si>
    <t>Програма для забезпечення виконання судових рішень на 2021-2025 роки</t>
  </si>
  <si>
    <t>1417460</t>
  </si>
  <si>
    <t>7460</t>
  </si>
  <si>
    <t>Утримання та розвиток автомобільних доріг та дорожньої інфраструктури</t>
  </si>
  <si>
    <t xml:space="preserve">до рішення №  </t>
  </si>
  <si>
    <t xml:space="preserve">до рішення №      </t>
  </si>
  <si>
    <t>Зовнішні зобов'язання</t>
  </si>
  <si>
    <t xml:space="preserve">Довгострокові зобов'язання </t>
  </si>
  <si>
    <t xml:space="preserve">Середньострокові зобов'язання </t>
  </si>
  <si>
    <t xml:space="preserve">Фінансування за рахунок позик банківських установ </t>
  </si>
  <si>
    <t xml:space="preserve"> Одержано позик </t>
  </si>
  <si>
    <t xml:space="preserve">Фінансування за рахунок інших банків </t>
  </si>
  <si>
    <t xml:space="preserve">Внутрішні запозичення </t>
  </si>
  <si>
    <t xml:space="preserve">Фінансування за рахунок зміни залишків коштів бюджетів </t>
  </si>
  <si>
    <t>Зміни обсягів бюджетних коштів</t>
  </si>
  <si>
    <t xml:space="preserve">На початок періоду </t>
  </si>
  <si>
    <t xml:space="preserve">Інші розрахунки </t>
  </si>
  <si>
    <t xml:space="preserve">Передача коштів із загального до спеціального фонду бюджету </t>
  </si>
  <si>
    <t>Субвенція з державного бюджету місцевим бюджетам на розвиток спортивної інфраструктури</t>
  </si>
  <si>
    <t>41035700</t>
  </si>
  <si>
    <t>0217540</t>
  </si>
  <si>
    <t>7540</t>
  </si>
  <si>
    <t>Реалізація заходів, спрямованих на підвищення доступності широкосмугового доступу до Інтернету в сільській місцевості</t>
  </si>
  <si>
    <t>0611182</t>
  </si>
  <si>
    <t>1182</t>
  </si>
  <si>
    <t>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</si>
  <si>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Субвенція з державного бюджету місцевим бюджетам на реалізацію інфраструктурних проектів та розвиток об’єктів соціально-культурної сфери</t>
  </si>
  <si>
    <t>41032300</t>
  </si>
  <si>
    <t>Субвенція з державного бюджету місцевим бюджетам на реалізацію заходів, спрямованих на підвищення доступності широкосмугового доступу до Інтернету в сільській місцевості</t>
  </si>
  <si>
    <t>41035500</t>
  </si>
  <si>
    <t>41051400</t>
  </si>
  <si>
    <t>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</si>
  <si>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1517600</t>
  </si>
  <si>
    <t>1517690</t>
  </si>
  <si>
    <t>1517691</t>
  </si>
  <si>
    <t>3.2.8.</t>
  </si>
  <si>
    <t>Будівництво, реконструкція та ремонт інженерно-транспортної та соціальної інфраструктури Хмельницької міської територіальної громади, відповідного мікрорайону/кварталу, в т. ч. і тих, в яких розташовані будинки житлово-будівельних кооперативів (ТОВ "ЖЕО")</t>
  </si>
  <si>
    <t>2021 - 2022 роки</t>
  </si>
  <si>
    <t>41035600</t>
  </si>
  <si>
    <t>Субвенція з державного бюджету місцевим бюджетам на створення мережі спеціалізованих служб підтримки осіб, які постраждали від домашнього насильства та/або насильства за ознакою статі</t>
  </si>
  <si>
    <t>0611023</t>
  </si>
  <si>
    <t>1023</t>
  </si>
  <si>
    <t>0611190</t>
  </si>
  <si>
    <t>0611191</t>
  </si>
  <si>
    <t>1190</t>
  </si>
  <si>
    <t>1191</t>
  </si>
  <si>
    <t xml:space="preserve"> Виконання заходів, спрямованих на боротьбу з гострою респіраторною хворобою COVID-19, спричиненою коронавірусом SARS-CoV-2, та її наслідками під час навчального процесу у закладах загальної середньої освіти</t>
  </si>
  <si>
    <t>Співфінансування заходів, що реалізуються за рахунок субвенції з державного бюджету місцевим бюджетам на боротьбу з гострою респіраторною хворобою COVID-19, спричиненою коронавірусом SARS-CoV-2, та її наслідками під час навчального процесу у закладах загальної середньої освіти</t>
  </si>
  <si>
    <t>0611220</t>
  </si>
  <si>
    <t>0611221</t>
  </si>
  <si>
    <t>1220</t>
  </si>
  <si>
    <t>1221</t>
  </si>
  <si>
    <t>Субвенція з державного бюджету місцевим бюджетам на створення мережі спеціалізованихслужб підтрмки осіб, які постраждали від домашнього насильства та  або насильства за ознакою статі</t>
  </si>
  <si>
    <t>2.1.4.</t>
  </si>
  <si>
    <t>Кошти участі замовників у створенні і розвитку інженерно-транспортної та соціальної інфраструктури Хмельницької міської територіальної громади</t>
  </si>
  <si>
    <t>2717300</t>
  </si>
  <si>
    <t>2717370</t>
  </si>
  <si>
    <t>Забезпечення надання послуг з перевезення пасажирів автомобільним транспортом</t>
  </si>
  <si>
    <t>1917410</t>
  </si>
  <si>
    <t>7410</t>
  </si>
  <si>
    <t>Програма розвитку  та вдосконалення міського пасажирського транспорту  міста Хмельницького на 2019 - 2023 роки  (із змінами і доповненнями)</t>
  </si>
  <si>
    <t>0611192</t>
  </si>
  <si>
    <t>1192</t>
  </si>
  <si>
    <t>Виконання заходів, спрямованих на боротьбу з гострою респіраторною хворобою COVID-19, спричиненою коронавірусом SARS-CoV-2, та її наслідками під час навчального процесу у закладах загальної середньої освіти за рахунок субвенції з державного бюджету місцевим бюджетам</t>
  </si>
  <si>
    <t>0813120</t>
  </si>
  <si>
    <t>0813124</t>
  </si>
  <si>
    <t>3124</t>
  </si>
  <si>
    <t>Створення та забезпечення діяльності спеціалізованих служб підтримки осіб, які постраждали від домашнього насильства та/або насильства за ознакою статі</t>
  </si>
  <si>
    <t xml:space="preserve"> Внутрішні зобов'язання </t>
  </si>
  <si>
    <t>41056600</t>
  </si>
  <si>
    <t>Субвенція з місцевого бюджету на заходи, спрямовані на боротьбу з гострою респіраторною хворобою COVID-19, спричиненою коронавірусом SARS-CoV-2, та її наслідками під час навчального процесу у закладах загальної середньої освіти за рахунок відповідної субвенції з державного бюджету</t>
  </si>
  <si>
    <t xml:space="preserve">Субвенція з місцевого  бюджету на заходи, спрямовані на боротьбу з гострою респіраторною хворобою COVID-19, спричиненою коронавірусом  SARS- CoV-2 та її наслідками під час навчального процесу у закладах загальної середньої освіти за рахунок відповідної субвенції з державного бюджету </t>
  </si>
  <si>
    <t>0619000</t>
  </si>
  <si>
    <t>0619700</t>
  </si>
  <si>
    <t>0619770</t>
  </si>
  <si>
    <t>Розвиток готельного господарства та туризму</t>
  </si>
  <si>
    <t>1017620</t>
  </si>
  <si>
    <t>7620</t>
  </si>
  <si>
    <t>Реалізація програм і заходів в галузі туризму та курортів</t>
  </si>
  <si>
    <t>1017622</t>
  </si>
  <si>
    <t>7622</t>
  </si>
  <si>
    <t>Програма цифрового розвитку на 2021-2025 роки (із змінами)</t>
  </si>
  <si>
    <t>Разом  доходів (з врахуванням міжбюджетних трансфертів)</t>
  </si>
  <si>
    <t>Єдиний податок  з юридичних осіб</t>
  </si>
  <si>
    <t xml:space="preserve"> Інші надходження  </t>
  </si>
  <si>
    <t>Програма забезпечення охорони прав і свобод людини, профілактики злочинності та підтримання публічної безпеки і порядку на території Хмельницької міської територіальної громади на 2021 – 2025 роки (із змінами)</t>
  </si>
  <si>
    <t>Субвенція з державного бюджету місцевим бюджетам на створення навчально-практичних центрів сучасної професійної (професійно-технічної) освіти</t>
  </si>
  <si>
    <t>Субвенція з державного бюджету місцевим бюджетам на здійснення заходів щодо соціально-економічного розвитку окремих територій</t>
  </si>
  <si>
    <t>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 - II групи з числа 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</si>
  <si>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Субвенція з місцевого бюджету на проектні, будівельно-ремонтні роботи, придбання житла та приміщень для розвитку сімейних та інших форм виховання, наближених до сімейних, підтримку малих групових будинків та забезпечення житлом дітей-сиріт, дітей, позбавлених батьківського піклування, осіб з їх числа за рахунок відповідної субвенції з державного бюджету</t>
  </si>
  <si>
    <t xml:space="preserve">Субвенція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 </t>
  </si>
  <si>
    <t>Субвенція з місцевого бюджету на виплату грошової компенсації за належні для отримання жилі приміщення для сімей осіб, визначених у абзаці чотирнадцятому пункту 1 статті 10 Закону України "Про статус ветеранів війни, гарантії їх соціального захисту", для осіб з інвалідністю I - II групи, які стали особами з інвалідністю внаслідок поранень, каліцтва, контузії чи інших ушкоджень здоров'я, одержаних під час участі у Революції Гідності, визначених пунктом 10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</si>
  <si>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Виконання заходів щодо створення навчально-практичних центрів сучасної професійної (професійно-технічної) освіти за рахунок субвенції з державного бюджету місцевим бюджетам</t>
  </si>
  <si>
    <t>0611222</t>
  </si>
  <si>
    <t>1222</t>
  </si>
  <si>
    <t>Виконання інвестиційних проектів</t>
  </si>
  <si>
    <t>7360</t>
  </si>
  <si>
    <t>0717300</t>
  </si>
  <si>
    <t>0717360</t>
  </si>
  <si>
    <t>0717363</t>
  </si>
  <si>
    <t>7363</t>
  </si>
  <si>
    <t>Виконання інвестиційних проектів в рамках здійснення заходів щодо соціально-економічного розвитку окремих територій</t>
  </si>
  <si>
    <t>Грошова компенсація за належні для отримання жилі приміщення для окремих категорій населення відповідно до законодавства</t>
  </si>
  <si>
    <t>0813220</t>
  </si>
  <si>
    <t>3220</t>
  </si>
  <si>
    <t>0813221</t>
  </si>
  <si>
    <t>3221</t>
  </si>
  <si>
    <t>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t>
  </si>
  <si>
    <t>0813222</t>
  </si>
  <si>
    <t>3222</t>
  </si>
  <si>
    <t>0813223</t>
  </si>
  <si>
    <t>3223</t>
  </si>
  <si>
    <t>гарантії їх соціального захисту", та які потребують поліпшення житлових умов</t>
  </si>
  <si>
    <t>Грошова компенсація за належні для отримання жилі приміщення для сімей осіб, визначених у абзаці чотирнадцятому пункту 1 статті 10 Закону України "Про статус ветеранів війни, гарантії їх соціального захисту", для осіб з інвалідністю I-II групи, які стали особами з інвалідністю внаслідок</t>
  </si>
  <si>
    <t>поранень, каліцтва, контузії чи інших ушкоджень здоров'я, одержаних під час участі у Революції Гідності, визначених пунктом 10 частини другої статті 7 Закону України "Про статус ветеранів війни, гарантії їх соціального захисту", та які</t>
  </si>
  <si>
    <t>потребують поліпшення житлових умов</t>
  </si>
  <si>
    <t>0813224</t>
  </si>
  <si>
    <t>3224</t>
  </si>
  <si>
    <t>0816083</t>
  </si>
  <si>
    <t>6083</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</si>
  <si>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t>
  </si>
  <si>
    <t>41034500</t>
  </si>
  <si>
    <t>41050500</t>
  </si>
  <si>
    <t>41033800</t>
  </si>
  <si>
    <t>41050400</t>
  </si>
  <si>
    <t>Субвенція з місцевого бюджету на проєктні, будівельно-ремонтні роботи, придбання житла та приміщень для розвитку сімейних та інших форм виховання, наближених до сімейних, підтримку малих групових будинків та забезпечення житлом дітей-сиріт, дітей, позбавлених батьківського піклування, осіб з їх числа, за рахунок відповідної субвенції з державного бюджету</t>
  </si>
  <si>
    <t>41054200</t>
  </si>
  <si>
    <t>Субвенція з місцевого бюджету на виплату грошової компенсації за належні для отримання жилі приміщення для сімей осіб, визначених у абзаці чотирнадцятому пункту 1 статті 10 Закону України «Про статус ветеранів війни, гарантії їх соціального захисту», для осіб з інвалідністю І – ІІ групи, які стали особами з інвалідністю внаслідок поранень, каліцтва, контузії чи інших ушкоджень здоров’я, одержаних під час участі у Революції Гідності, визначених пунктом 10 частини другої статті 7 Закону України «Про</t>
  </si>
  <si>
    <t xml:space="preserve">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 </t>
  </si>
  <si>
    <t xml:space="preserve">  - для забезпечення функціонування відділення боксу Хмельницької ДЮСШ №2 "Авангард" ФСТ "Україна)</t>
  </si>
  <si>
    <t xml:space="preserve">  - на нове будівництво зовнішніх мереж водопостачання в с. Копистин</t>
  </si>
  <si>
    <t>0617300</t>
  </si>
  <si>
    <t xml:space="preserve">	Економічна діяльність</t>
  </si>
  <si>
    <t>0617000</t>
  </si>
  <si>
    <t>0617320</t>
  </si>
  <si>
    <t>0617600</t>
  </si>
  <si>
    <t>0617640</t>
  </si>
  <si>
    <t>Капітальний ремонт приміщень Хмельницької міської ради за адресою: Хмеьницька область, м. Хмельницький, вулиця Пушкіна, 1 (в тому числі виготовлення проєктно-кошторисної документації)</t>
  </si>
  <si>
    <t>Капітальний ремонт системи опалення (з встановленням електричних котлів) адміністративної будівлі управління охорони здоров'я Хмельницької міської ради за адресою: вул. Грушевського, 64 в м. Хмельницькому</t>
  </si>
  <si>
    <t>2021 рsк</t>
  </si>
  <si>
    <t>Інша діяльність у сфері транспорту</t>
  </si>
  <si>
    <t>1917450</t>
  </si>
  <si>
    <t>7450</t>
  </si>
  <si>
    <t>1117300</t>
  </si>
  <si>
    <t>1117320</t>
  </si>
  <si>
    <t>1117325</t>
  </si>
  <si>
    <t>0617321</t>
  </si>
  <si>
    <t>Інші субвенції з місцевого бюджету (на нове будівництво зовнішніх мереж водопостачання в с. Копистин)</t>
  </si>
  <si>
    <t>41053900</t>
  </si>
  <si>
    <t>Інші субвенції з місцевого бюджету (для забезпечення функціонування відділення боксу Хмельницької ДЮСШ №2 "Авангард" ФСТ "Україна" (на підготовку спортсменів, проведення спортивних змагань, навчально-тренувальних зборів, придбання спортивного інвентаря та обладнання))</t>
  </si>
  <si>
    <t>Реконструкція спортивного майданчика Національної академії Державної прикордонної служби України імені Богдана Хмельницького з влаштування футбольного поля (91 х 46) зі штучним покриттям по вулиці Шевченка, 46, для проведення спільних спортивних заходів та заходів військово-патріотичного виховання молоді міста Хмельницького, пропаганди здорового способу життя, формування відповідного рівня фізичної підготовки та витривалості</t>
  </si>
  <si>
    <t>1119000</t>
  </si>
  <si>
    <t>1119700</t>
  </si>
  <si>
    <t>1119770</t>
  </si>
  <si>
    <t>ДОХОДИ</t>
  </si>
  <si>
    <t xml:space="preserve">          1. Показники міжбюджетних трансфертів з інших бюджетів</t>
  </si>
  <si>
    <t xml:space="preserve">          2. Показники міжбюджетних трансфертів іншим бюджетам</t>
  </si>
  <si>
    <t>ОБСЯГИ</t>
  </si>
  <si>
    <t>капітальних вкладень бюджету у розрізі інвестиційних проектів</t>
  </si>
  <si>
    <t>Найменування інвестиційного проекту</t>
  </si>
  <si>
    <t>Загальний період реалізації проекту, (рік початку і завершення)</t>
  </si>
  <si>
    <t>Загальна вартість проекту, гривень</t>
  </si>
  <si>
    <t>Обсяг капітальних вкладень бюджету Хмельницької міської територіальної громади всього, гривень</t>
  </si>
  <si>
    <t>витрат бюджету Хмельницької міської територіальної громади на реалізацію місцевих/регіональних</t>
  </si>
  <si>
    <t>Надання спеціалізованої освіти мистецькими школами</t>
  </si>
  <si>
    <t>Реконструкція відділення невідкладної допомоги та реанімації комунального підприємства "Хмельницька міська дитяча лікарня" Хмельницької міської ради за адресою: м. Хмельницький, вул. Степана Разіна, 1</t>
  </si>
  <si>
    <t>Будівництво Палацу спорту по вул.Прибузькій, 5/1а у м.Хмельницькому (коригування)</t>
  </si>
  <si>
    <t>Будівництво артезіанської свердловини, водонапірної башти та водогону в с.Малашівці Хмельницького району Хмельницької області</t>
  </si>
  <si>
    <t>2018 - 2024 роки</t>
  </si>
  <si>
    <t>Будівництво внутрішньоквартального проїзду між земельними ділянками по вул. Старокостянтинівське шосе, 2/1 "З" в м. Хмельницькому</t>
  </si>
  <si>
    <t>Реконструкція  вбудовано-прибудованої аптеки під адміністративне приміщення управління адміністративних послуг Хмельницької міської ради  по вул. Кам'янецькій, 38 в м. Хмельницькому</t>
  </si>
  <si>
    <t>2818340</t>
  </si>
  <si>
    <t>8340</t>
  </si>
  <si>
    <t>Природоохоронні заходи за рахунок цільових фондів</t>
  </si>
  <si>
    <t>0611033</t>
  </si>
  <si>
    <t>1033</t>
  </si>
  <si>
    <t>2019 - 2022 роки</t>
  </si>
  <si>
    <t>Реконструкція стадіону Хмельницької середньої загальноосвітньої школи №18 І-ІІІ ступенів ім.В.Чорновола по вул. Купріна, 12 в  м.Хмельницькому</t>
  </si>
  <si>
    <t xml:space="preserve"> Реконструкція парку-пам'ятки садово-паркового мистецтва місцевого значення "Парк ім. М.Чекмана". Ділянка колеса огляду. </t>
  </si>
  <si>
    <t>Нове будівництво парку "Молодіжний" по вул. Бандери в м. Хмельницькому 1-а черга</t>
  </si>
  <si>
    <t>2022 рік</t>
  </si>
  <si>
    <t>Підвищення енергоефективності систем водопостачання та водоочищення: Реконструкція каналізаційних насосних станцій № 2, 7, 12 у місті Хмельницькому</t>
  </si>
  <si>
    <t>Внески до статутного капіталу ХКП "Спецкомунтранс" (Реконструкція "Винос газопроводу високого тиску з тіла полігону твердих побутових відходів м.Хмельницького" (коригування))</t>
  </si>
  <si>
    <t>Внески до статутного капіталу МКП "Хмельницькводоканал" (Нове будівництво зовнішніх мереж водопроводу в  с. Шаровечка Хмельницького району, Хмельницької області (ІІ черга))</t>
  </si>
  <si>
    <t>Будівництво системи водопостачання в с.Бахматівці Хмельницького району Хмельницької області</t>
  </si>
  <si>
    <t>Будівництво другої черги водогону  від с.Чернелівка Красилівського району до м.Хмельницький</t>
  </si>
  <si>
    <t>Внески до статутного капіталу МКП "Хмельницькводоканал" (Реконструкція напірного каналізаційного колектора діаметром 225 мм від КНС-22, вул.Камянецька, 134/1Д в м.Хмельницький)</t>
  </si>
  <si>
    <t>1210180</t>
  </si>
  <si>
    <t>Проєкт Програми економічного і соціального розвитку Хмельницької міської територіальної громади на 2022 рік</t>
  </si>
  <si>
    <t>1217300</t>
  </si>
  <si>
    <t>1217310</t>
  </si>
  <si>
    <t>Інша діяльність у сфері житлово-комунального господарства</t>
  </si>
  <si>
    <t>1416090</t>
  </si>
  <si>
    <t>6090</t>
  </si>
  <si>
    <t>0640</t>
  </si>
  <si>
    <t>Рішення 2-ї сесії Хмельницької міської ради від 23.12.2020 року №23</t>
  </si>
  <si>
    <t>Програма розвитку геоінформаційної системи Хмельницької міської ради на 2021 - 2025 роки</t>
  </si>
  <si>
    <t>Реконструкція покрівлі житлового будинку по вулиці Інститутська, 13 в м.Хмельницькому</t>
  </si>
  <si>
    <t>Виконання гарантійних зобов'язань за позичальників, що отримали кредити під місцеві гарантії</t>
  </si>
  <si>
    <t>Надання коштів для забезпечення гарантійних зобов'язань за позичальників, що отримали кредити під місцеві гарантії</t>
  </si>
  <si>
    <t>Програма «Громадські ініціативи»
Хмельницької міської територіальної громади на 2021-2025 роки (із змінами)</t>
  </si>
  <si>
    <t xml:space="preserve">Збір за місця для паркування транспортних засобів </t>
  </si>
  <si>
    <t xml:space="preserve">Збір за місця для паркування транспортних засобів, сплачений юридичними особами </t>
  </si>
  <si>
    <t xml:space="preserve">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дотації з державного бюджету </t>
  </si>
  <si>
    <t xml:space="preserve">Будівництво центру поводження з тваринами  КП "Надія" по вул. Заводській, 165 в м. Хмельницькому </t>
  </si>
  <si>
    <t>Програма економічного і соціального розвитку Хмельницької міської територіальної громади на 2022 рік</t>
  </si>
  <si>
    <t>Рішення 10-ї сесії Хмельницької міської ради від 15.12.2021 року №8</t>
  </si>
  <si>
    <t>Рішення 10-ї сесії Хмельницької міської ради від 15.12.2021 року №9</t>
  </si>
  <si>
    <t>Програма реалізації молодіжної політики та розвитку фізичної культури і спорту в Хмельницькій міській територіальній громаді на 2022 - 2026 роки</t>
  </si>
  <si>
    <t>Рішення 10-ї сесії Хмельницької міської ради від 15.12.2021 року №25</t>
  </si>
  <si>
    <t>Рішення 10-ї сесії Хмельницької міської ради від 15.12.2021 року №45</t>
  </si>
  <si>
    <t>Програма розвитку освіти Хмельницької міської територіальної громади на 2022 - 2026 роки</t>
  </si>
  <si>
    <t>Рішення 10-ї сесії Хмельницької міської ради від 15.12.2021 року №50</t>
  </si>
  <si>
    <t>Програма підтримки і розвитку житлово-комунальної інфраструктури Хмельницької міської територіальної громади на 2022 - 2027 роки</t>
  </si>
  <si>
    <t>Рішення 10-ї сесії Хмельницької міської ради від 15.12.2021 року №52</t>
  </si>
  <si>
    <t>Рішення 10-ї сесії Хмельницької міської ради від 15.12.2021 року №65</t>
  </si>
  <si>
    <t>Нове будівництво зовнішніх мереж водопостачання в с. Копистин Хмельницького району Хмельницької області</t>
  </si>
  <si>
    <t>1917600</t>
  </si>
  <si>
    <t>1917670</t>
  </si>
  <si>
    <t>Внески до статутного капіталу суб'єктів господарювання</t>
  </si>
  <si>
    <t>Програма навчання, підготовки та підвищення кваліфікації посадових осіб місцевого самоврядування, керівних працівників підприємств, установ і організацій Хмельницької міської територіальної громади, членів виконавчого комітету та депутатів міської ради на 2022 рік</t>
  </si>
  <si>
    <t>Рішення 11-ї сесії Хмельницької міської ради від 30.12.2021 року №7</t>
  </si>
  <si>
    <t>Розвиток спортивної інфраструктури, у тому числі реконструкція, будівельно-ремонтні роботи об'єктів закладів фізичної культури і спорту, що забезпечують розвиток резервного спорту, льодових палаців/арен та стадіонів</t>
  </si>
  <si>
    <t>0717322</t>
  </si>
  <si>
    <t>0717320</t>
  </si>
  <si>
    <t>7322</t>
  </si>
  <si>
    <t>Реконструкція системи киснепостачання в КП "Хмельницька міська лікарня" Хмельницької міської ради по провулку  Проскурівський,1 м. Хмельницький (в тому числі виготовлення проєктно-кошторисної документації)</t>
  </si>
  <si>
    <t>1417693</t>
  </si>
  <si>
    <t>Громадський порядок та безпека</t>
  </si>
  <si>
    <t>0218200</t>
  </si>
  <si>
    <t>8200</t>
  </si>
  <si>
    <t>Заходи та роботи з територіальної оборони</t>
  </si>
  <si>
    <t>0380</t>
  </si>
  <si>
    <t>0218240</t>
  </si>
  <si>
    <t>8240</t>
  </si>
  <si>
    <t>Рішення 13-ї сесії Хмельницької міської ради від 23.02.2022 року №3</t>
  </si>
  <si>
    <t>Комплексна програма «Піклування» в Хмельницькій міській територіальній громаді на 2022 - 2026 роки (із змінами)</t>
  </si>
  <si>
    <t>1517693</t>
  </si>
  <si>
    <t>1014070</t>
  </si>
  <si>
    <t>4070</t>
  </si>
  <si>
    <t>Фінансова підтримка кінематографії</t>
  </si>
  <si>
    <t>0823</t>
  </si>
  <si>
    <t>0713000</t>
  </si>
  <si>
    <t>0713230</t>
  </si>
  <si>
    <t>3230</t>
  </si>
  <si>
    <t>Видатки, пов’язані з наданням підтримки внутрішньо переміщеним та/або евакуйованим особам у зв’язку із введенням воєнного стану</t>
  </si>
  <si>
    <t>Програма розвитку, підтримки комунальних закладів охорони здоров’я та надання 
медичних послуг понад обсяг, передбачений програмою державних гарантій медичного обслуговування населення Хмельницької міської 
територіальної громади на 2021 - 2023 роки (зі змінами)</t>
  </si>
  <si>
    <t>0813230</t>
  </si>
  <si>
    <t>3717600</t>
  </si>
  <si>
    <t>3717690</t>
  </si>
  <si>
    <t>3717693</t>
  </si>
  <si>
    <t>Програма охорони довкілля Хмельницької міської територіальної громади на 2021-2025 роки (із змінами)</t>
  </si>
  <si>
    <t xml:space="preserve">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 </t>
  </si>
  <si>
    <t>Акцизний податок з реалізації суб’єктами господарювання роздрібної торгівлі підакцизними товарами</t>
  </si>
  <si>
    <t>Спрямування коштів на житлове будівництво, реконструкцію та на ремонт житла всіх форм власності, в т. ч. будинків житлово-будівельних кооперативів (ТОВ «ЖЕО»), об'єднань співвласників багатоквартирних будинків, Будинкоуправління №2 КЕВ м.Хмельницький, ТОВ «Керуюча компанія «Домком Хмельницький» та будівель і споруд комунальної власності, ремонт споруд цивільного захисту (укриття, бомбосховища, тощо) комунальної власності</t>
  </si>
  <si>
    <t>Цільова Програма попередження виникнення надзвичайних ситуацій та забезпечення пожежної і техногенної безпеки об’єктів усіх форм власності, розвитку інфраструктури пожежно-рятувальних підрозділів на території Хмельницької міської територіальної громади на 2021-2025 роки (із змінами)</t>
  </si>
  <si>
    <t>0218230</t>
  </si>
  <si>
    <t>8230</t>
  </si>
  <si>
    <t>Інші заходи громадського порядку та безпеки</t>
  </si>
  <si>
    <t>0813121</t>
  </si>
  <si>
    <t>Цільова програма попередження виникнення надзвичайних ситуацій та забезпечення  пожежної і техногенної безпеки об'єктів усіх форм власності, розвитку інфраструктури пожежно-рятувальних підрозділів на території Хмельницької міської територіальної громади на 2021-2025 роки (із змінами)</t>
  </si>
  <si>
    <t>Інші дотації з місцевого бюджету</t>
  </si>
  <si>
    <t>41040400</t>
  </si>
  <si>
    <t>1918000</t>
  </si>
  <si>
    <t>1918200</t>
  </si>
  <si>
    <t>1918220</t>
  </si>
  <si>
    <t>8220</t>
  </si>
  <si>
    <t>Заходи та роботи з мобілізаційної підготовки місцевого значення</t>
  </si>
  <si>
    <t>0618000</t>
  </si>
  <si>
    <t>0618200</t>
  </si>
  <si>
    <t>0618240</t>
  </si>
  <si>
    <t>Програма соціальної підтримки осіб, які захищали незалежність, суверенітет та територіальну цілісність України, а також членів їх сімей на 2021 – 2025 роки (із змінами)</t>
  </si>
  <si>
    <t>Будівництво вулиці Мельникова (від вул.Зарічанської до вул.Трудової) в м.Хмельницькому (коригування)</t>
  </si>
  <si>
    <t xml:space="preserve">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213.1.14 пункту 213.1  статті 213 Податкового кодексу України </t>
  </si>
  <si>
    <t>1218000</t>
  </si>
  <si>
    <t>1218200</t>
  </si>
  <si>
    <t>1218230</t>
  </si>
  <si>
    <t>0613230</t>
  </si>
  <si>
    <t>Програма підтримки і розвитку житлово-комунальної інфраструктури Хмельницької міської територіальної громади на 2022 - 2027 роки (із змінами)</t>
  </si>
  <si>
    <t>1513000</t>
  </si>
  <si>
    <t>1513230</t>
  </si>
  <si>
    <r>
      <t>Будівництво</t>
    </r>
    <r>
      <rPr>
        <b/>
        <vertAlign val="superscript"/>
        <sz val="36"/>
        <color rgb="FFFF0000"/>
        <rFont val="Times New Roman"/>
        <family val="1"/>
        <charset val="204"/>
      </rPr>
      <t>1</t>
    </r>
    <r>
      <rPr>
        <sz val="36"/>
        <color rgb="FFFF0000"/>
        <rFont val="Times New Roman"/>
        <family val="1"/>
        <charset val="204"/>
      </rPr>
      <t>  споруд, установ та закладів фізичної культури і спорту</t>
    </r>
  </si>
  <si>
    <r>
      <t>Будівництво</t>
    </r>
    <r>
      <rPr>
        <b/>
        <vertAlign val="superscript"/>
        <sz val="11"/>
        <color rgb="FFFF0000"/>
        <rFont val="Times New Roman"/>
        <family val="1"/>
        <charset val="204"/>
      </rPr>
      <t>1</t>
    </r>
    <r>
      <rPr>
        <sz val="11"/>
        <color rgb="FFFF0000"/>
        <rFont val="Times New Roman"/>
        <family val="1"/>
        <charset val="204"/>
      </rPr>
      <t>  освітніх установ та закладів</t>
    </r>
  </si>
  <si>
    <r>
      <t>Будівництво</t>
    </r>
    <r>
      <rPr>
        <b/>
        <vertAlign val="superscript"/>
        <sz val="11"/>
        <color rgb="FFFF0000"/>
        <rFont val="Times New Roman"/>
        <family val="1"/>
        <charset val="204"/>
      </rPr>
      <t>1</t>
    </r>
    <r>
      <rPr>
        <sz val="11"/>
        <color rgb="FFFF0000"/>
        <rFont val="Times New Roman"/>
        <family val="1"/>
        <charset val="204"/>
      </rPr>
      <t>  медичних установ та закладів</t>
    </r>
  </si>
  <si>
    <r>
      <t>Будівництво</t>
    </r>
    <r>
      <rPr>
        <b/>
        <vertAlign val="superscript"/>
        <sz val="11"/>
        <color rgb="FFFF0000"/>
        <rFont val="Times New Roman"/>
        <family val="1"/>
        <charset val="204"/>
      </rPr>
      <t>1</t>
    </r>
    <r>
      <rPr>
        <sz val="11"/>
        <color rgb="FFFF0000"/>
        <rFont val="Times New Roman"/>
        <family val="1"/>
        <charset val="204"/>
      </rPr>
      <t>  об'єктів житлово-комунального господарства</t>
    </r>
  </si>
  <si>
    <t>Вільний залишок коштів на 01.01.2023  року:</t>
  </si>
  <si>
    <t>Надходження коштів від забудовників, які без відповідного дозволу здійснили або здійснюють роботи по будівництву, реконструкції, реставрації, капітальному ремонту об'єктів містобудування</t>
  </si>
  <si>
    <t>2.1.6.</t>
  </si>
  <si>
    <t>Добровільні внески підприємств, організацій, установ та громадян на соціально-економічний та культурний розвиток громади</t>
  </si>
  <si>
    <t>2.1.7.</t>
  </si>
  <si>
    <t>Кошти за відшкодування вартості видалених та знесених зелених насаджень</t>
  </si>
  <si>
    <t>Надання грошової допомоги за поданням секретаря ради, або керуючого справами виконавчого комітету на підставі рішення виконавчого комітету Хмельницької міської ради для поховання: загиблих та померлих учасників ООС, загиблих та померлих учасників, які брали участь у відсічі під час захисту державного суверенітету та територіальної цілісності України в період військової агресії Російської Федерації проти України; Почесних громадян Хмельницької міської територіальної громади; інших осіб.
Виплата грошової винагороди у розмірі, передбаченому Положенням про звання "Почесний громадянин міста Хмельницького", Положенням "Про почесну відзнаку міської громади "Мужність і відвага"</t>
  </si>
  <si>
    <t>2819800</t>
  </si>
  <si>
    <t>2819000</t>
  </si>
  <si>
    <t>Рішення 16-ї сесії Хмельницької міської ради від 28.04.2022 року №11</t>
  </si>
  <si>
    <t>Співфінансування заходів, що реалізуються за рахунок субвенції з державного бюджету місцевим бюджетам на створення навчально-практичних центрів сучасної професійної (професійно-технічної) освіти</t>
  </si>
  <si>
    <t>Комплексна програма реалізації молодіжної політики та розвитку фізичної культури і спорту в Хмельницькій міській територіальній громаді на 2022-2026 роки (із змінами)</t>
  </si>
  <si>
    <t>2021 - 2023 роки</t>
  </si>
  <si>
    <t>Реконструкція футбольного поля під штучним покриттям Хмельницької дитячо-юнацької спортивної школи № 1 по вул.Спортивній,17 в м. Хмельницькому (коригування)</t>
  </si>
  <si>
    <t>0717640</t>
  </si>
  <si>
    <t>Реконструкція системи мережі киснепостачання в приміщенні комунального підприємства «Хмельницька міська дитяча лікарня» Хмельницької міської ради по вул. Олега Ольжича, 1 у м.Хмельницькому</t>
  </si>
  <si>
    <t>0710170</t>
  </si>
  <si>
    <t>Реконструкція спортивного майданчика біля житлового будинку по вул.Прибузькій, 36 в м.Хмельницькому</t>
  </si>
  <si>
    <t>Програма
підтримки обдарованих дітей м.Хмельницького (із змінами)</t>
  </si>
  <si>
    <t>1610180</t>
  </si>
  <si>
    <t>1216090</t>
  </si>
  <si>
    <t>Програма співфінансування робіт з ремонту багатоквартирних житлових будинків Хмельницької міської територіальної громади на 2020 - 2024 роки (із змінами)</t>
  </si>
  <si>
    <t>2022 - 2023 роки</t>
  </si>
  <si>
    <t>2023 рік</t>
  </si>
  <si>
    <t>1017640</t>
  </si>
  <si>
    <t>Програма розвитку  електротранспорту Хмельницької міської територіальної громади  на 2021 - 2025 роки (із змінами)</t>
  </si>
  <si>
    <t>Нове будівництво зовнішніх  мереж електропостачання індустріального парку  "Хмельницький" по вул. Вінницьке шосе, 18 в м. Хмельницькому</t>
  </si>
  <si>
    <t>Нове будівництво проїздів (штучних споруд) із інфраструктурою від вул. Прибузької до об'єкту "Будівництво Палацу спорту по вул. Прибузькій, 5/1А у м. Хмельницькому"</t>
  </si>
  <si>
    <t>2021 - 2024 роки</t>
  </si>
  <si>
    <t>2022 - 2024 роки</t>
  </si>
  <si>
    <t>За власні кошти підприємства - 445581,00 грн - ПКД, +38448,00 грн - експертиза</t>
  </si>
  <si>
    <t>Програма міжнародного співробітництва та промоції Хмельницької міської територіальної громади на 2021-2025 роки (із змінами і доповненнями)</t>
  </si>
  <si>
    <t>Надходження від скидів забруднюючих речовин безпосередньо у водні об'єкти</t>
  </si>
  <si>
    <t xml:space="preserve">Надходження від розміщення відходів у спеціально відведених місцях чи на об'єктах, крім розміщення окремих видів відходів як вторинної сировини </t>
  </si>
  <si>
    <t>Програма державного моніторингу у галузі охорони атмосферного повітря агломерації «Хмельницький» на 2022 - 2026 роки</t>
  </si>
  <si>
    <t>Надання загальної середньої освіти закладами загальної середньої освіти за рахунок коштів місцевого бюджету</t>
  </si>
  <si>
    <t>Надання загальної середньої освіти спеціальними закладами загальної середньої освіти для дітей, які потребують корекції фізичного та/або розумового розвитку, за рахунок коштів місцевого бюджету</t>
  </si>
  <si>
    <t xml:space="preserve"> Надання загальної середньої освіти спеціалізованими закладами загальної середньої освіти за рахунок коштів місцевого бюджету</t>
  </si>
  <si>
    <t>Надання загальної середньої освіти закладами загальної середньої освіти за рахунок освітньої субвенції</t>
  </si>
  <si>
    <t>Надання загальної середньої освіти спеціалізованими закладами загальної середньої освіти за рахунок освітньої субвенції</t>
  </si>
  <si>
    <t>Захист населення і територій від надзвичайних ситуацій</t>
  </si>
  <si>
    <t>Програма економічного і соціального розвитку Хмельницької міської територіальної громади на 2023 рік</t>
  </si>
  <si>
    <t>Рішення 22-ї сесії Хмельницької міської ради від 21.12.2022 року №8</t>
  </si>
  <si>
    <t>Рішення 22-ї сесії Хмельницької міської ради від 21.12.2022 року №10</t>
  </si>
  <si>
    <t>Програма часткової компенсації вартості закупівлі генераторів для забезпечення потреб мешканців багатоквартирних житлових будинків Хмельницької міської територіальної громади на 2022 - 2023 роки</t>
  </si>
  <si>
    <t>Рішення 22-ї сесії Хмельницької міської ради від 21.12.2022 року №41</t>
  </si>
  <si>
    <t>Програма забезпечення контролю за благоустроєм, санітарним станом та стихійною торгівлею на території Хмельницької міської територіальної громади на 2023 - 2024 роки</t>
  </si>
  <si>
    <t>Рішення 22-ї сесії Хмельницької міської ради від 21.12.2022 року №44</t>
  </si>
  <si>
    <t>Штрафні санкції, що застосовуються відповідно до Закону України "Про державне ругулювання виробництва і обігу спирту етилового, коньячного і плодового, алкогольних напоїв, тютюнових виробів, рідин, що використовуються в електронних сигарета, та пального "</t>
  </si>
  <si>
    <t>Надходження коштів від відшкодування…</t>
  </si>
  <si>
    <t>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</si>
  <si>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9900000000</t>
  </si>
  <si>
    <t>2231720000</t>
  </si>
  <si>
    <t>2254800000</t>
  </si>
  <si>
    <t>2253000000</t>
  </si>
  <si>
    <t>2210000000</t>
  </si>
  <si>
    <t>Програма навчання, підготовки та підвищення кваліфікації посадових осіб місцевого самоврядування, керівних працівників підприємств, установ і організацій Хмельницької міської територіальної громади, членів виконавчого комітету та депутатів міської ради на 2023 рік</t>
  </si>
  <si>
    <t>Рішення 23-ї сесії Хмельницької міської ради від 29.12.2022 року №4</t>
  </si>
  <si>
    <t>Програма розвитку підприємництва Хмельницької міської територіальної громади на 2022 - 2025 роки (із змінами)</t>
  </si>
  <si>
    <t>Програма організаційно-практичних заходів щодо комплексної підтримки державної установи «Хмельницький слідчий ізолятор» на 2021 – 2025 роки (із змінами)</t>
  </si>
  <si>
    <r>
      <t>Будівництво</t>
    </r>
    <r>
      <rPr>
        <b/>
        <vertAlign val="superscript"/>
        <sz val="11"/>
        <rFont val="Times New Roman"/>
        <family val="1"/>
        <charset val="204"/>
      </rPr>
      <t>1</t>
    </r>
    <r>
      <rPr>
        <sz val="11"/>
        <rFont val="Times New Roman"/>
        <family val="1"/>
        <charset val="204"/>
      </rPr>
      <t>  освітніх установ та закладів</t>
    </r>
  </si>
  <si>
    <t>2020-2023 роки</t>
  </si>
  <si>
    <t>2717640</t>
  </si>
  <si>
    <t>Рішення 46-ї сесії Хмельницької міської ради від 07.10.2020 року №3</t>
  </si>
  <si>
    <t>2718000</t>
  </si>
  <si>
    <t>2718200</t>
  </si>
  <si>
    <t>2718240</t>
  </si>
  <si>
    <t>2713000</t>
  </si>
  <si>
    <t>2713230</t>
  </si>
  <si>
    <t>0817640</t>
  </si>
  <si>
    <t>Рішення 24-ї сесії Хмельницької міської ради від 10.02.2023 року №5</t>
  </si>
  <si>
    <t>Рішення 24-ї сесії Хмельницької міської ради від 10.02.2023 року №4</t>
  </si>
  <si>
    <t>Реконструкція водопроводу від вул. Проскурівська по пров. Проскурівський, вул. Пилипчука до пров. Шевченка в м.Хмельницький</t>
  </si>
  <si>
    <t>Реконструкція ділянки водопроводу від вул.Кам`янецька по вул. Проскурівського підпілля до р. Плоска в м.Хмельницький</t>
  </si>
  <si>
    <t>Реконструкція ділянки водопроводу по вул. Залізняка (перехід через вул.П.Мирного) в м.Хмельницький</t>
  </si>
  <si>
    <t>Реконструкція водопроводу по вул. Шестакова, від вул.Староміська до ж.б. № 46, 39 по вул.Шестакова в м. Хмельницький</t>
  </si>
  <si>
    <t>Реконструкція ділянки водопроводу діам. 110 мм по вул. Тернопільська між буд. № 30 - №34 в м.Хмельницький</t>
  </si>
  <si>
    <t>Реконструкція ділянки водопроводу діам. 160 мм по вул. Прибузька між буд. №10 - №12 в м.Хмельницький</t>
  </si>
  <si>
    <t>Реконструкція ділянки водопроводу від ж.б. №4 до ж.б. №2 по вул. Шухевича в м. Хмельницький</t>
  </si>
  <si>
    <t>Реконструкція ділянки каналізаційної мережі від ж.б. №3 та №3/1 по вул.Січових стрільців з переходом даної вулиці в м.Хмельницькому</t>
  </si>
  <si>
    <t>Будівництво мереж водовідведення вул.Д.Нечая, вул.Блакитної, пров. Молодіжного в м.Хмельницькому</t>
  </si>
  <si>
    <t>Нове будівництво вуличних мереж водопостачання житлових будинків по вул. Глушенкова (мікрорайон Ружична) в м. Хмельницький</t>
  </si>
  <si>
    <t>70/30</t>
  </si>
  <si>
    <t>Реконструкція ділянки водопроводу діаметром 500мм по вул. Тернопільська в м. Хмельницькій</t>
  </si>
  <si>
    <t>Нове будівництво зовнішніх мереж водопостачання вулиць Старосадова, Яблунева, Пшенична, Ланок, Багалія, Колективна мікрорайону Книжківці в м. Хмельницький</t>
  </si>
  <si>
    <t>Нове будівництво станції очищення господарсько-побутових стічних вод продуктивністю БІО-S-150 30м3/добу, в с. Пирогівці Хмельницького району, Хмельницької області</t>
  </si>
  <si>
    <t>Внески до статутного капіталу 
КП "Акведук", в тому числі:</t>
  </si>
  <si>
    <t>Внески до статутного капіталу 
ХКП "Спецкомунтранс", в тому числі:</t>
  </si>
  <si>
    <t>Нове будівництво нежитлового приміщення за адресою: вул.Заводська, 165 в м.Хмельницькому</t>
  </si>
  <si>
    <t>Проєкт Програми підтримки і розвитку спеціалізованого комунального підприємства «Хмельницька міська ритуальна служба»  на 2023 – 2027 роки</t>
  </si>
  <si>
    <t>Проєкт Програми підтримки та розвитку Хмельницького комунального підприємства «Міськсвітло»  на 2023-2027 роки</t>
  </si>
  <si>
    <t>Програма забезпечення підтримання громадського порядку в суді, припинення проявів неповаги до суду, охорони приміщень суду, органів та установ системи правосуддя, виконання функцій щодо державного забезпечення особистої безпеки суддів та членів їх сімей, працівників суду, забезпечення у суді безпеки учасників судового процесу на території Хмельницької міської територіальної громади на 2023-2024 роки</t>
  </si>
  <si>
    <t>Рішення 24-ї сесії Хмельницької міської ради від 10.02.2023 року №60</t>
  </si>
  <si>
    <t>1919000</t>
  </si>
  <si>
    <t>1919800</t>
  </si>
  <si>
    <t>1117640</t>
  </si>
  <si>
    <t>Нове будівництво зовнішніх мереж водопроводу в с. Шаровечка Хмельницького району Хмельницької області</t>
  </si>
  <si>
    <t>Дотації з державного бюджету місцевим бюджетам</t>
  </si>
  <si>
    <t>41020000</t>
  </si>
  <si>
    <t>Реконструкція приміщень НВО №1 по вул. Старокостянтинівське шосе, 3Б в м.Хмельницькому (коригування)</t>
  </si>
  <si>
    <t>2012 - 2023 роки</t>
  </si>
  <si>
    <t xml:space="preserve"> Реконструкція з добудовою приміщень Хмельницького ліцею №17 під спортивну залу на вул. Героїв Майдану, 5 в м. Хмельницькому (коригування)</t>
  </si>
  <si>
    <t>2018 - 2023 роки</t>
  </si>
  <si>
    <t>Програма забезпечення антитерористичного та протидиверсійного захисту важливих державних об’єктів, місць масового перебування людей, об’єктів критичної та транспортної інфраструктури Хмельницької міської територіальної громади  на 2023-2024 роки (із змінами)</t>
  </si>
  <si>
    <t>Додаткова дотація з державного бюджету місцевим бюджетам на здійснення повноважень органів місцевого самоврядування на деокупованих, тимчасово окупованих та інших територіях України, що зазнали негативного впливу у зв'язку з повномасштабною збройною агресією Російської Федерації</t>
  </si>
  <si>
    <t>Сергій ЯМЧУК</t>
  </si>
  <si>
    <t>Управління капітального будівництва  Хмельницької міської ради (головний розпорядник)</t>
  </si>
  <si>
    <t>Рішення 25-ї сесії Хмельницької міської ради від 28.03.2023 року №23</t>
  </si>
  <si>
    <t>Рішення 25-ї сесії Хмельницької міської ради від 28.03.2023 року №5</t>
  </si>
  <si>
    <t>Рішення 25-ї сесії Хмельницької міської ради від 28.03.2023 року №59</t>
  </si>
  <si>
    <t>Програма співфінансування робіт з реконструкції покрівель багатоквартирних житлових будинків Хмельницької міської територіальної громади на 2023 – 2027 роки</t>
  </si>
  <si>
    <t>Рішення 25-ї сесії Хмельницької міської ради від 28.03.2023 року №40</t>
  </si>
  <si>
    <t>Рішення 25-ї сесії Хмельницької міської ради від 28.03.2023 року №66</t>
  </si>
  <si>
    <t>Рішення 25-ї сесії Хмельницької міської ради від 28.03.2023 року №73</t>
  </si>
  <si>
    <t>Рішення 25-ї сесії Хмельницької міської ради від 28.03.2023 року №61</t>
  </si>
  <si>
    <t>Рішення 25-ї сесії Хмельницької міської ради від 28.03.2023 року №62</t>
  </si>
  <si>
    <t>Рішення 25-ї сесії Хмельницької міської ради від 28.03.2023 року №70</t>
  </si>
  <si>
    <t>Програма підтримки і розвитку комунального підприємства «Парки і сквери міста Хмельницького» на 2023 – 2027 роки</t>
  </si>
  <si>
    <t>Рішення 25-ї сесії Хмельницької міської ради від 28.03.2023 року №64</t>
  </si>
  <si>
    <t>Рішення 25-ї сесії Хмельницької міської ради від 28.03.2023 року №68</t>
  </si>
  <si>
    <t>Програма міськсвітла - СФ і БР 6007800,00 грн</t>
  </si>
  <si>
    <t>Включено в загальну суму: Програма ритуалки - СФ і БР 1888 075,00 грн</t>
  </si>
  <si>
    <t>Програма підвищення рівня безпеки пасажирських перевезень на території Хмельницької міської територіальної громади на 2023 рік</t>
  </si>
  <si>
    <t>Рішення 25-ї сесії Хмельницької міської ради від 28.03.2023 року №39</t>
  </si>
  <si>
    <t>Програма розвитку та фінансової підтримки комунального підприємства «Чайка» Хмельницької міської ради на 2023 – 2024 роки</t>
  </si>
  <si>
    <t>Рішення 25-ї сесії Хмельницької міської ради від 28.03.2023 року №69</t>
  </si>
  <si>
    <t>0455</t>
  </si>
  <si>
    <t>3718800</t>
  </si>
  <si>
    <t>3718880</t>
  </si>
  <si>
    <t>3718881</t>
  </si>
  <si>
    <t>8881</t>
  </si>
  <si>
    <t>3718882</t>
  </si>
  <si>
    <t>8882</t>
  </si>
  <si>
    <t>Повернення коштів, наданих для виконання гарантійних зобов'язань за позичальників, що отримали кредити під місцеві гарантії</t>
  </si>
  <si>
    <t>4112</t>
  </si>
  <si>
    <t>Надання кредитів підприємства, установам, організаціям</t>
  </si>
  <si>
    <t xml:space="preserve"> 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t>
  </si>
  <si>
    <t>1115040</t>
  </si>
  <si>
    <t>1115049</t>
  </si>
  <si>
    <t>5049</t>
  </si>
  <si>
    <t>Виконання окремих заходів з реалізації соціального проекту "Активні парки - локації здорової України"</t>
  </si>
  <si>
    <t>Програма національно-патріотичного виховання мешканців Хмельницької міської територіальної громади на 2023-2024 роки (із змінами)</t>
  </si>
  <si>
    <t>Програма профілактики адміністративних правопорушень та покращення забезпечення громадського правопорядку для жителів Хмельницької міської територіальної громади на 2023 – 2024 роки (із змінами)</t>
  </si>
  <si>
    <t>Програма заходів національного спротиву Хмельницької міської територіальної громади на 2023 рік (із змінами)</t>
  </si>
  <si>
    <t xml:space="preserve">Програма підтримки членів сімей загиблих (померлих) ветеранів війни, членів сімей загиблих (померлих) Захисників і Захисниць України мешканців Хмельницької міської територіальної громади «Родини Героїв» на 2023 – 2025 роки (із змінами) </t>
  </si>
  <si>
    <t>Програма бюджетування за участі громадськості (Бюджет участі) Хмельницької міської територіальної громади на 2020-2023 роки (із змінами)</t>
  </si>
  <si>
    <t>Субвенція з місцевого бюджету державному бюджету на перерахування коштів в умовах воєнного стану або для здійснення згідно із законом заходів загальної мобілізації та з метою відсічі збройної агресії Російської Федерації проти України та забезпечення національної безпеки, усунення загрози небезпеки державній незалежності України, її територіальній цілісності</t>
  </si>
  <si>
    <t>0219820</t>
  </si>
  <si>
    <t>9820</t>
  </si>
  <si>
    <t>Цільова програма попередження виникнення надзвичайних ситуацій та забезпечення пожежної і техногенної безпеки об’єктів усіх форм власності, розвитку інфраструктури пожежно-рятувальних підрозділів на території Хмельницької міської територіальної громади на 2021-2025 роки (із змінами)</t>
  </si>
  <si>
    <t>0611260</t>
  </si>
  <si>
    <t>1260</t>
  </si>
  <si>
    <t>0611261</t>
  </si>
  <si>
    <t>1261</t>
  </si>
  <si>
    <t>0611262</t>
  </si>
  <si>
    <t>1262</t>
  </si>
  <si>
    <t>Виконання заходів щодо облаштування безпечних умов у закладах загальної середньої освіти за рахунок субвенції з державного бюджету місцевим бюджетам</t>
  </si>
  <si>
    <t>Програма розвитку освіти Хмельницької міської територіальної громади на 2022 - 2026 роки (зі змінами)</t>
  </si>
  <si>
    <t>Програма створення та розвитку індустріального парку "Хмельницький"  (із змінами)</t>
  </si>
  <si>
    <t>Частина чистого прибутку (доходу)  комунальних унітарних підприємств та їх об'єднань, що вилучається до відповідного місцевого бюджету</t>
  </si>
  <si>
    <t>Кошти від викупу земельних ділянок сільськогосподарського призначення державної та комунальної власності, передбачених пунктом 6-1 розділу X "Перехідні положення" Земельного кодексу України</t>
  </si>
  <si>
    <t>Субвенція з місцевого бюджету на облаштування безпечних умов у закладах загальної середньої освіти за рахунок відповідної субвенції з державного бюджету</t>
  </si>
  <si>
    <t>Будівництво каналізаційних мереж в мікрорайоні "Озерна" в м. Хмельницькому (коригування)</t>
  </si>
  <si>
    <t>0217640</t>
  </si>
  <si>
    <t>Програма «Здійснення Управлінням ДМС у Хмельницькій області та Хмельницькою міською радою заходів у сфері громадянства, міграції, надання адміністративних послуг на 2023 рік»</t>
  </si>
  <si>
    <t>Рішення 29-ї сесії Хмельницької міської ради від 02.06.2023 року №21</t>
  </si>
  <si>
    <t>Нове будівництво нежитлового приміщення за адресою: вул.Заводська, 165 в м.Хмельницькому (коригування)</t>
  </si>
  <si>
    <t>Програма підтримки і розвитку комунального підприємства "Елеватор" Хмельницької міської ради на 2023 - 2027 роки (із змінами)</t>
  </si>
  <si>
    <t>Програма підтримки і розвитку міського комунального підприємства «Хмельницькводоканал» на 2023-2027 роки (із змінами)</t>
  </si>
  <si>
    <t>1416016</t>
  </si>
  <si>
    <t>6016</t>
  </si>
  <si>
    <t>Впровадження засобів обліку витрат та регулювання споживання води та теплової енергії</t>
  </si>
  <si>
    <t>Програма підтримки і розвитку міського комунального підприємства «Хмельницьктеплокомуненерго» на 2023 – 2027 роки (із змінами)</t>
  </si>
  <si>
    <t>Програма підтримки і розвитку комунального підприємства по зеленому будівництву і благоустрою міста виконавчого комітету Хмельницької міської ради на 2023 - 2027 роки (із змінами)</t>
  </si>
  <si>
    <t xml:space="preserve">Програма підтримки і розвитку комунального підприємства по будівництву, ремонту та експлуатації доріг виконавчого комітету Хмельницької міської ради на 2023-2027 роки </t>
  </si>
  <si>
    <t xml:space="preserve">Програма підтримки і розвитку комунального підприємства «Акведук» Хмельницької міської ради на 2023 – 2027 роки </t>
  </si>
  <si>
    <t>Програма підтримки та розвитку Хмельницького комунального підприємства «Спецкомунтранс» на 2023 – 2027 роки (із змінами)</t>
  </si>
  <si>
    <t>Реконструкція каналізаційної мережі по вул. С. Бандери,22 в м. Хмельницький</t>
  </si>
  <si>
    <t>Будівництво вуличних мереж каналізації по пров. Північному в м.Хмельницький</t>
  </si>
  <si>
    <t>Реконструкція ділянки водопроводу по вул. Гоголя від вул. О.Теліги до ж.б.№99 по вул. Гоголя в м. Хмельницький</t>
  </si>
  <si>
    <t>Програма розвитку та вдосконалення міського пасажирського транспорту  міста Хмельницького на 2019 - 2023 роки  (із змінами і доповненнями)</t>
  </si>
  <si>
    <t>Нове будівництво зовнішніх мереж газопостачання індустріального парку "Хмельницький" по вул. Вінницьке шосе, 18 в м. Хмельницькому (коригування)</t>
  </si>
  <si>
    <t xml:space="preserve"> Нове будівництво зовнішніх мереж  водопостачання та каналізації індустріального парку  "Хмельницький" по  вул. Вінницьке шосе, 18 в м. Хмельницькому (коригування)</t>
  </si>
  <si>
    <t>Субвенція з місцевого бюджету на виплату грошової компенсації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</si>
  <si>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Субвенція з місцевого бюджету на виплату грошової компенсації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III групи відповідно до пунктів 11 - 14 частини другої статті 7 або учасниками бойових дій відповідно до пунктів 19 - 21 частини першої статті 6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</si>
  <si>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Субвенція з місцевого бюджету на виплату грошової компенсації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t>
  </si>
  <si>
    <t xml:space="preserve">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</si>
  <si>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 - II групи з числа 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t>
  </si>
  <si>
    <t xml:space="preserve">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</si>
  <si>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Субвенція з місцевого бюджету на виплату грошової компенсації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t>
  </si>
  <si>
    <t>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III групи відповідно до пунктів 11 - 14 частини другої статті 7 або учасниками бойових дій відповідно до пунктів 19 - 21 частини першої статті 6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</si>
  <si>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Грошова компенсація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t>
  </si>
  <si>
    <t>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t>
  </si>
  <si>
    <t>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t>
  </si>
  <si>
    <t>частини другої статті 7 Закону України "Про статус ветеранів війни, гарантії їх соціального захисту", та які потребують поліпшення житлових умов</t>
  </si>
  <si>
    <t xml:space="preserve">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t>
  </si>
  <si>
    <t>перебуваючи безпосередньо в районах та у період здійснення зазначених заходів, та визнані особами з інвалідністю внаслідок війни III групи відповідно до пунктів 11 - 14 частини другої статті 7 або учасниками бойових дій відповідно до пунктів 19 - 21 частини першої статті 6 Закону</t>
  </si>
  <si>
    <t>України "Про статус ветеранів війни, гарантії їх соціального захисту", та які потребують поліпшення житлових умов</t>
  </si>
  <si>
    <t xml:space="preserve">Грошова компенсація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I-II групи з числа </t>
  </si>
  <si>
    <t>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t>
  </si>
  <si>
    <t>Виконання заходів щодо створення навчально-практичних центрів сучасної професійної (професійно-технічної) освіти</t>
  </si>
  <si>
    <t>Реконструкція ділянки водопроводу по вул. Проскурівська, 66 в  м. Хмельницький</t>
  </si>
  <si>
    <t>Програма розвитку та організації надання адміністративних послуг на території Хмельницької міської територіальної громади на 2023 рік</t>
  </si>
  <si>
    <t>Рішення 31-ї сесії Хмельницької міської ради від 28.07.2023 року №20</t>
  </si>
  <si>
    <t xml:space="preserve">Секретар міської ради </t>
  </si>
  <si>
    <t xml:space="preserve">Віталій ДІДЕНКО </t>
  </si>
  <si>
    <t>Програма підтримки 
Хмельницькою міською радою
державних стандартів у сфері 
забезпечення доступу громадян до 
правосуддя на 2023 рік</t>
  </si>
  <si>
    <t>Рішення 33-ї сесії Хмельницької міської ради від 15.09.2023 року №12</t>
  </si>
  <si>
    <t>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t>
  </si>
  <si>
    <t>Рішення 31-ї сесії Хмельницької міської ради від 28.07.2023 року №48</t>
  </si>
  <si>
    <t>Програма підтримки і розвитку Хмельницького комунального підприємства «Міськсвітло» на 2023-2027 роки</t>
  </si>
  <si>
    <t>Рішення 33-ї сесії Хмельницької міської ради від 15.09.2023 року №43</t>
  </si>
  <si>
    <t>Програма підтримки і розвитку комунального підприємства "Акведук" Хмельницької міської ради на 2023 - 2027 роки (із змінами)</t>
  </si>
  <si>
    <t>Програма єдності та підтримки громад України, що постраждали внаслідок бойових дій, терористичних актів, диверсій, спричинених збройною агресією російської федерації проти України на 2023-2027 роки</t>
  </si>
  <si>
    <t>Рішення 31-ї сесії Хмельницької міської ради від 28.07.202 року №33</t>
  </si>
  <si>
    <t>Реконструкція будівель за адресою Хмельницька область, Хмельницький район, с.Головчинці, вул.Підлісна, 4/1 для облаштування місць проживання та реабілітації внутрішньо переміщених та евакуйованих осіб з впровадженням заходів з енергоефективності, а саме: Котельня. Теплові мережі</t>
  </si>
  <si>
    <t>2023 - 2024 роки</t>
  </si>
  <si>
    <t>Нове будівництво споруди цивільного захисту для Хмельницької спеціалізованої загальноосвітньої школи І-ІІІ ступенів №19 імені академіка Михайла Павловського на вул. Кам'янецька, 164 м.Хмельницького</t>
  </si>
  <si>
    <t>Нове будівництво споруди цивільного захисту для Хмельницького закладу дошкільної освіти №18 "Зірочка" Хмельницької міської ради Хмельницької області на вул. Кам'янецька, 65/1, м.Хмельницького</t>
  </si>
  <si>
    <t>Нове будівництво споруди цивільного захисту для Спеціалізованої загальноосвітньої школи І-ІІІ ступенів №12 м.Хмельницького на вул.Довженка, 6 м.Хмельницького</t>
  </si>
  <si>
    <t>1270</t>
  </si>
  <si>
    <t>0611270</t>
  </si>
  <si>
    <t>Виконання заходів за рахунок коштів освітньої субвенції з державного бюджету місцевим бюджетам (за спеціальним фондом державного бюджету)</t>
  </si>
  <si>
    <t>0611271</t>
  </si>
  <si>
    <t>1271</t>
  </si>
  <si>
    <t>0611272</t>
  </si>
  <si>
    <t>1272</t>
  </si>
  <si>
    <t>Реалізація заходів, що реалізуються за рахунок освітньої субвенції з державного бюджету місцевим бюджетам (за спеціальним фондом державного бюджету)</t>
  </si>
  <si>
    <t>Співфінансування заходів за рахунок освітньої субвенції з державного бюджету місцевим бюджетам (за спеціальним фондом державного бюджету)</t>
  </si>
  <si>
    <t>Програма сприяння розвитку волонтерства на території Хмельницької міської територіальної громади на 2023-2027 роки</t>
  </si>
  <si>
    <t>Рішення 29-ї сесії Хмельницької міської ради від 02.06.2023 року №27</t>
  </si>
  <si>
    <t xml:space="preserve"> Зміни обсягів депозитів і цінних паперів, що використовуються для управління ліквідністю </t>
  </si>
  <si>
    <t>Повернення бюджетних коштів з депозитів, надходження внаслідок продажу/пред'явлення цінних паперів</t>
  </si>
  <si>
    <t xml:space="preserve"> Розміщення бюджетних коштів на депозитах, придбання цінних паперів</t>
  </si>
  <si>
    <t>Надходження внаслідок продажу/пред'явлення цінних паперів</t>
  </si>
  <si>
    <t xml:space="preserve"> Придбання цінних паперів</t>
  </si>
  <si>
    <t xml:space="preserve"> Зміни обсягів депозитів і цінних паперів, що використовуються для управління ліквідністю</t>
  </si>
  <si>
    <t>Розміщення бюджетних коштів на депозитах, придбання цінних паперів</t>
  </si>
  <si>
    <t>Придбання цінних паперів</t>
  </si>
  <si>
    <t xml:space="preserve">Керуючий справами </t>
  </si>
  <si>
    <t>Юлія САБІЙ</t>
  </si>
  <si>
    <t xml:space="preserve">Секретар міської ради  </t>
  </si>
  <si>
    <t>1419000</t>
  </si>
  <si>
    <t>1419700</t>
  </si>
  <si>
    <t>1419770</t>
  </si>
  <si>
    <t>80/20</t>
  </si>
  <si>
    <t>Видатки, що здійснюються згідно розпоряджень міського голови, рішень міської ради та її виконавчого комітету</t>
  </si>
  <si>
    <t>Програма підтримки ОСББ Хмельницької міської територіальної громади на 2023 – 2026 роки</t>
  </si>
  <si>
    <t>Рішення 35-ї сесії Хмельницької міської ради від 10.11.2023 року №36</t>
  </si>
  <si>
    <t>Реконструкція під'їзної дороги від вул.Вінницьке шосе до вул.Вінницьке шосе, 18 (індустріальний парк) в м.Хмеьницькому</t>
  </si>
  <si>
    <r>
      <t>Будівництво</t>
    </r>
    <r>
      <rPr>
        <b/>
        <vertAlign val="superscript"/>
        <sz val="36"/>
        <color rgb="FFFF0000"/>
        <rFont val="Times New Roman"/>
        <family val="1"/>
        <charset val="204"/>
      </rPr>
      <t>1</t>
    </r>
    <r>
      <rPr>
        <sz val="36"/>
        <color rgb="FFFF0000"/>
        <rFont val="Times New Roman"/>
        <family val="1"/>
        <charset val="204"/>
      </rPr>
      <t>  об'єктів соціально-культурного призначення</t>
    </r>
  </si>
  <si>
    <r>
      <t>Будівництво</t>
    </r>
    <r>
      <rPr>
        <b/>
        <vertAlign val="superscript"/>
        <sz val="36"/>
        <color rgb="FFFF0000"/>
        <rFont val="Times New Roman"/>
        <family val="1"/>
        <charset val="204"/>
      </rPr>
      <t>1</t>
    </r>
    <r>
      <rPr>
        <sz val="36"/>
        <color rgb="FFFF0000"/>
        <rFont val="Times New Roman"/>
        <family val="1"/>
        <charset val="204"/>
      </rPr>
      <t>  освітніх установ та закладів</t>
    </r>
  </si>
  <si>
    <r>
      <t>Будівництво</t>
    </r>
    <r>
      <rPr>
        <b/>
        <i/>
        <vertAlign val="superscript"/>
        <sz val="36"/>
        <color rgb="FFFF0000"/>
        <rFont val="Times New Roman"/>
        <family val="1"/>
        <charset val="204"/>
      </rPr>
      <t>1</t>
    </r>
    <r>
      <rPr>
        <i/>
        <sz val="36"/>
        <color rgb="FFFF0000"/>
        <rFont val="Times New Roman"/>
        <family val="1"/>
        <charset val="204"/>
      </rPr>
      <t>  об'єктів соціально-культурного призначення</t>
    </r>
  </si>
  <si>
    <r>
      <t>Будівництво</t>
    </r>
    <r>
      <rPr>
        <b/>
        <vertAlign val="superscript"/>
        <sz val="36"/>
        <color rgb="FFFF0000"/>
        <rFont val="Times New Roman"/>
        <family val="1"/>
        <charset val="204"/>
      </rPr>
      <t>1</t>
    </r>
    <r>
      <rPr>
        <sz val="36"/>
        <color rgb="FFFF0000"/>
        <rFont val="Times New Roman"/>
        <family val="1"/>
        <charset val="204"/>
      </rPr>
      <t>  установ та закладів соціальної сфери</t>
    </r>
  </si>
  <si>
    <r>
      <t>Будівництво</t>
    </r>
    <r>
      <rPr>
        <b/>
        <vertAlign val="superscript"/>
        <sz val="36"/>
        <color rgb="FFFF0000"/>
        <rFont val="Times New Roman"/>
        <family val="1"/>
        <charset val="204"/>
      </rPr>
      <t>1</t>
    </r>
    <r>
      <rPr>
        <sz val="36"/>
        <color rgb="FFFF0000"/>
        <rFont val="Times New Roman"/>
        <family val="1"/>
        <charset val="204"/>
      </rPr>
      <t>  об'єктів житлово-комунального господарства</t>
    </r>
  </si>
  <si>
    <r>
      <t>Будівництво</t>
    </r>
    <r>
      <rPr>
        <b/>
        <vertAlign val="superscript"/>
        <sz val="36"/>
        <color rgb="FFFF0000"/>
        <rFont val="Times New Roman"/>
        <family val="1"/>
        <charset val="204"/>
      </rPr>
      <t>1</t>
    </r>
    <r>
      <rPr>
        <sz val="36"/>
        <color rgb="FFFF0000"/>
        <rFont val="Times New Roman"/>
        <family val="1"/>
        <charset val="204"/>
      </rPr>
      <t> інших об'єктів комунальної власності</t>
    </r>
  </si>
  <si>
    <r>
      <t>Реконструкція ділянки водопроводу від вул. Партизанської до вул. Волочиської в м. Хмельницькому</t>
    </r>
    <r>
      <rPr>
        <sz val="16"/>
        <color rgb="FFFF0000"/>
        <rFont val="Times New Roman"/>
        <family val="1"/>
        <charset val="204"/>
      </rPr>
      <t xml:space="preserve"> </t>
    </r>
  </si>
  <si>
    <t>видатків бюджету Хмельницької міської територіальної громади на 2024 рік</t>
  </si>
  <si>
    <t>програм у 2024 році</t>
  </si>
  <si>
    <t>1218100</t>
  </si>
  <si>
    <t>1218110</t>
  </si>
  <si>
    <r>
      <t>Будівництво</t>
    </r>
    <r>
      <rPr>
        <b/>
        <vertAlign val="superscript"/>
        <sz val="36"/>
        <rFont val="Times New Roman"/>
        <family val="1"/>
        <charset val="204"/>
      </rPr>
      <t>1</t>
    </r>
    <r>
      <rPr>
        <sz val="36"/>
        <rFont val="Times New Roman"/>
        <family val="1"/>
        <charset val="204"/>
      </rPr>
      <t>  об'єктів житлово-комунального господарства</t>
    </r>
  </si>
  <si>
    <t>2020 - 2024 роки</t>
  </si>
  <si>
    <r>
      <t>Будівництво</t>
    </r>
    <r>
      <rPr>
        <b/>
        <vertAlign val="superscript"/>
        <sz val="36"/>
        <rFont val="Times New Roman"/>
        <family val="1"/>
        <charset val="204"/>
      </rPr>
      <t>1</t>
    </r>
    <r>
      <rPr>
        <sz val="36"/>
        <rFont val="Times New Roman"/>
        <family val="1"/>
        <charset val="204"/>
      </rPr>
      <t>  освітніх установ та закладів</t>
    </r>
  </si>
  <si>
    <r>
      <t>Будівництво</t>
    </r>
    <r>
      <rPr>
        <b/>
        <vertAlign val="superscript"/>
        <sz val="36"/>
        <rFont val="Times New Roman"/>
        <family val="1"/>
        <charset val="204"/>
      </rPr>
      <t>1</t>
    </r>
    <r>
      <rPr>
        <sz val="36"/>
        <rFont val="Times New Roman"/>
        <family val="1"/>
        <charset val="204"/>
      </rPr>
      <t> інших об'єктів комунальної власності</t>
    </r>
  </si>
  <si>
    <t>Нове будівництво зовнішніх газових мереж газопостачання індустріального парку "Хмельницький" по вул. Вінницьке шосе, 18 в м. Хмельницькому (в частині зовнішні мережі - нестандартне приєднання)</t>
  </si>
  <si>
    <t>2024 рік</t>
  </si>
  <si>
    <r>
      <t>Будівництво</t>
    </r>
    <r>
      <rPr>
        <b/>
        <i/>
        <vertAlign val="superscript"/>
        <sz val="36"/>
        <rFont val="Times New Roman"/>
        <family val="1"/>
        <charset val="204"/>
      </rPr>
      <t>1</t>
    </r>
    <r>
      <rPr>
        <i/>
        <sz val="36"/>
        <rFont val="Times New Roman"/>
        <family val="1"/>
        <charset val="204"/>
      </rPr>
      <t>  об'єктів соціально-культурного призначення</t>
    </r>
  </si>
  <si>
    <r>
      <t>Будівництво</t>
    </r>
    <r>
      <rPr>
        <b/>
        <vertAlign val="superscript"/>
        <sz val="36"/>
        <rFont val="Times New Roman"/>
        <family val="1"/>
        <charset val="204"/>
      </rPr>
      <t>1</t>
    </r>
    <r>
      <rPr>
        <sz val="36"/>
        <rFont val="Times New Roman"/>
        <family val="1"/>
        <charset val="204"/>
      </rPr>
      <t>  установ та закладів культури</t>
    </r>
  </si>
  <si>
    <r>
      <t>Будівництво</t>
    </r>
    <r>
      <rPr>
        <b/>
        <vertAlign val="superscript"/>
        <sz val="36"/>
        <rFont val="Times New Roman"/>
        <family val="1"/>
        <charset val="204"/>
      </rPr>
      <t>1</t>
    </r>
    <r>
      <rPr>
        <sz val="36"/>
        <rFont val="Times New Roman"/>
        <family val="1"/>
        <charset val="204"/>
      </rPr>
      <t>  споруд, установ та закладів фізичної культури і спорту</t>
    </r>
  </si>
  <si>
    <t>Хмельницької міської територіальної громади у 2024 році</t>
  </si>
  <si>
    <t>Заходи з озеленення</t>
  </si>
  <si>
    <t>Проведення науково-технічних конференцій і семінарів, організація виставок, фестивалів та інших заходів щодо пропаганди охорони навколишнього середовища, видання поліграфічної продукції з екологічної тематики тощо</t>
  </si>
  <si>
    <t>Наукові дослідження, проектні та проектно-конструкторські розроблення, в тому числі моніторингові дослідження</t>
  </si>
  <si>
    <t>Ліквідація стихійних сміттєзвалищ</t>
  </si>
  <si>
    <t>Програма економічного і соціального розвитку Хмельницької міської територіальної громади на 2024 рік</t>
  </si>
  <si>
    <t>Програма заходів національного спротиву Хмельницької міської територіальної громади на 2024 рік</t>
  </si>
  <si>
    <t>бюджету Хмельницької міської територіальної громади у 2024 році</t>
  </si>
  <si>
    <t>бюджету Хмельницької міської територіальної громади на 2024 рік</t>
  </si>
  <si>
    <r>
      <t xml:space="preserve">1 </t>
    </r>
    <r>
      <rPr>
        <sz val="20"/>
        <rFont val="Times New Roman"/>
        <family val="1"/>
        <charset val="204"/>
      </rPr>
      <t>Будівни́цтво — будівництво, реконструкція і реставрація об'єктів виробничої, комунікаційної та соціальної інфраструктури за рахунок власних коштів місцевих бюджетів.</t>
    </r>
  </si>
  <si>
    <t>Програма підтримки сім’ї на 2021-2025 роки  (із змінами)</t>
  </si>
  <si>
    <t xml:space="preserve">Програма зайнятості населення Хмельницької міської територіальної громади на 2024 - 2026 роки </t>
  </si>
  <si>
    <t>у 2024 році</t>
  </si>
  <si>
    <r>
      <t>Будівництво</t>
    </r>
    <r>
      <rPr>
        <b/>
        <vertAlign val="superscript"/>
        <sz val="36"/>
        <rFont val="Times New Roman"/>
        <family val="1"/>
        <charset val="204"/>
      </rPr>
      <t>1</t>
    </r>
    <r>
      <rPr>
        <sz val="36"/>
        <rFont val="Times New Roman"/>
        <family val="1"/>
        <charset val="204"/>
      </rPr>
      <t>  об'єктів соціально-культурного призначення</t>
    </r>
  </si>
  <si>
    <t>Програма висвітлення діяльності Хмельницької міської ради та її виконавчих органів на 2024 рік</t>
  </si>
  <si>
    <t>Програма шефської допомоги військовим частинам Збройних Сил України, Національної гвардії України, які розташовані на території Хмельницької міської територіальної громади на 2022-2024 роки (із змінами)</t>
  </si>
  <si>
    <t>Програма фінансової підтримки комунальної установи Хмельницької міської ради "Агенція розвитку Хмельницького" на 2022-2024 роки (із змінами)</t>
  </si>
  <si>
    <t>МІЖБЮДЖЕТНІ ТРАНСФЕРТИ НА 2024 РІК</t>
  </si>
  <si>
    <t>на 2024 рік</t>
  </si>
  <si>
    <r>
      <t>Будівництво</t>
    </r>
    <r>
      <rPr>
        <b/>
        <vertAlign val="superscript"/>
        <sz val="36"/>
        <rFont val="Times New Roman"/>
        <family val="1"/>
        <charset val="204"/>
      </rPr>
      <t>1</t>
    </r>
    <r>
      <rPr>
        <sz val="36"/>
        <rFont val="Times New Roman"/>
        <family val="1"/>
        <charset val="204"/>
      </rPr>
      <t>  медичних установ та закладів</t>
    </r>
  </si>
  <si>
    <t>Програма розвитку, підтримки комунальних закладів охорони здоров’я та надання 
медичних послуг понад обсяг, передбачений програмою державних гарантій медичного обслуговування населення Хмельницької міської 
територіальної громади на 2024 - 2026 роки</t>
  </si>
  <si>
    <t>бюджету Хмельницької міської територіальної громади  на 2024 рік</t>
  </si>
  <si>
    <r>
      <t xml:space="preserve">Найменування згідно
 з </t>
    </r>
    <r>
      <rPr>
        <b/>
        <u/>
        <sz val="10"/>
        <rFont val="Times New Roman"/>
        <family val="1"/>
        <charset val="204"/>
      </rPr>
      <t>Класифікацією доходів бюджету</t>
    </r>
  </si>
  <si>
    <t>Податок на доходи фізичних осіб із доходів спеціалістів резидента Дія Сіті</t>
  </si>
  <si>
    <t>Податок на доходи фізичних осіб у вигляді мінімального податкового зобов'язання, що підлягає сплаті фізичними особами</t>
  </si>
  <si>
    <t xml:space="preserve">Рентна плата за спеціальне використання лісових ресурсів в частині деревини, заготовленої в порядку рубок головного користування </t>
  </si>
  <si>
    <t>Адміністративні штрафи за адміністративні правопорушення у сфері забезпечення безпеки дорожнього руху, зафіксовані в автоматичному режимі</t>
  </si>
  <si>
    <t>Кошти гарантійного та реєстраційного внесків, що визначені Законом України "Про оренду державного та комунального майна", які підлягають перерахуванню оператором електронного майданчика до відповідного бюджету</t>
  </si>
  <si>
    <t xml:space="preserve">Орендна плата за водні об'єкти (їх частини), що надаються в користування на умовах оренди Радою міністрів Автономної Республіки Крим, обласними, районними, Київською та Севастопольською міськими державними адміністраціями, місцевими радами </t>
  </si>
  <si>
    <r>
      <t xml:space="preserve">1 </t>
    </r>
    <r>
      <rPr>
        <sz val="10"/>
        <rFont val="Times New Roman"/>
        <family val="1"/>
        <charset val="204"/>
      </rPr>
      <t>Будівни́цтво — будівництво, реконструкція і реставрація об'єктів виробничої, комунікаційної та соціальної інфраструктури за рахунок власних коштів місцевих бюджетів.</t>
    </r>
  </si>
  <si>
    <t>Рішення 36-ї сесії Хмельницької міської ради від 21.12.2023 року №86</t>
  </si>
  <si>
    <t>Рішення 36-ї сесії Хмельницької міської ради від 21.12.2023 року №9</t>
  </si>
  <si>
    <t>Рішення 36-ї сесії Хмельницької міської ради від 21.12.2023 року №2</t>
  </si>
  <si>
    <t>Програма підготовки мешканців Хмельницької міської територіальної  громади до національного спротиву на 2024-2025 роки</t>
  </si>
  <si>
    <t>Рішення 36-ї сесії Хмельницької міської ради від 21.12.2023 року №4</t>
  </si>
  <si>
    <t>Програма підтримки та розвитку міського комунального підприємства «Муніципальна телерадіокомпанія «Місто» на 2024-2028 роки</t>
  </si>
  <si>
    <t>Рішення 36-ї сесії Хмельницької міської ради від 21.12.2023 року №81</t>
  </si>
  <si>
    <t>Програма розвитку, підтримки комунальних закладів охорони здоров’я та надання медичних послуг понад обсяг, передбачений програмою державних гарантій медичного обслуговування населення Хмельницької міської територіальної громади на 2024 – 2026 роки</t>
  </si>
  <si>
    <t>Рішення 36-ї сесії Хмельницької міської ради від 21.12.2023 року №23</t>
  </si>
  <si>
    <t>Програма розвитку інформаційної інфраструктури туристичних послуг
на 2024 – 2026 роки</t>
  </si>
  <si>
    <t>Рішення 36-ї сесії Хмельницької міської ради від 21.12.2023 року №55</t>
  </si>
  <si>
    <t>Виконання заходів щодо облаштування безпечних умов у закладах, що надають загальну середню освіту</t>
  </si>
  <si>
    <t>Співфінансування заходів, що реалізуються за рахунок субвенції з державного бюджету місцевим бюджетам на облаштування безпечних умов у закладах, що надають загальну середню освіту</t>
  </si>
  <si>
    <t>Реалізація державної політики у молодіжній сфері та сфері з утвердження української національної та громадянської ідентичності</t>
  </si>
  <si>
    <t xml:space="preserve">Реконструкція будівлі спеціалізованої загальноосвітньої школи І-ІІІ ступенів № 7 міста Хмельницького для улаштування споруди цивільного захисту на вул. Заводська, 33 в м. Хмельницькому </t>
  </si>
  <si>
    <t>8880</t>
  </si>
  <si>
    <t>Обсяг капітальних вкладень бюджету Хмельницької міської територіальної громади у 2024 році, гривень</t>
  </si>
  <si>
    <t>Очікуваний рівень готовності проекту на кінець 2024 року, %</t>
  </si>
  <si>
    <t>Програма грантової підтримки інноваційних проєктів для підвищення обороноздатності України на 2024 - 2025 роки</t>
  </si>
  <si>
    <r>
      <t xml:space="preserve">Нове </t>
    </r>
    <r>
      <rPr>
        <sz val="12"/>
        <rFont val="Times New Roman"/>
        <family val="1"/>
        <charset val="204"/>
      </rPr>
      <t xml:space="preserve">будівництво споруди цивільного захисту для Хмельницької середньої загальноосвітньої школи І-ІІІ ступенів № 13 імені М.К.Чекмана на вул. Профспілковій, 39 в м.Хмельницькому </t>
    </r>
  </si>
  <si>
    <t xml:space="preserve">Реконструкція будівлі Хмельницької спеціалізованої середньої загальноосвітньої школи І-ІІІ ступенів № 6 з поглибленим вивченням німецької мови з 1-го класу для улаштування споруди цивільного захисту на пров.Володимирський, 12 в м.Хмельницькому </t>
  </si>
  <si>
    <t>Реконструкція системи зовнішньої каналізації з влаштуванням локальних очисних споруд Позаміського дитячого закладу оздоровлення та відпочинку «Чайка» Хмельницької міської ради, для облаштування місць тимчасового розміщення внутрішньо переміщених осіб, за адресою Хмельницька область, Хмельницький р-н, с. Головчинці, вул. Підлісна, 4/1</t>
  </si>
  <si>
    <r>
      <t>Будівництво</t>
    </r>
    <r>
      <rPr>
        <b/>
        <vertAlign val="superscript"/>
        <sz val="11"/>
        <rFont val="Times New Roman"/>
        <family val="1"/>
        <charset val="204"/>
      </rPr>
      <t>1</t>
    </r>
    <r>
      <rPr>
        <sz val="11"/>
        <rFont val="Times New Roman"/>
        <family val="1"/>
        <charset val="204"/>
      </rPr>
      <t>  медичних установ та закладів</t>
    </r>
  </si>
  <si>
    <t xml:space="preserve"> Реконструкція приміщень рентгенкабінету під приміщення ангіографії з облаштуванням даху, вхідної групи центрального входу, приміщень фойє та коридору (заходи з енергозбереження та дотримання умов доступності маломобільних груп населення) першого поверху корпусу №3 комунального підприємства «Хмельницька міська лікарня» Хмельницької міської ради  за  адресою: провулок Проскурівський,1,  м.Хмельницький (коригування)</t>
  </si>
  <si>
    <t>Надання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 а також коштів, необхідних для забезпечення безпечного навчального процесу у закладах загальної середньої освіти)</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</si>
  <si>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 а також коштів, необхідних для забезпечення безпечного навчального процесу у закладах загальної середньої освіти)</t>
  </si>
  <si>
    <t>Виконання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</si>
  <si>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0611290</t>
  </si>
  <si>
    <t>1291</t>
  </si>
  <si>
    <t>1290</t>
  </si>
  <si>
    <t>0611291</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</si>
  <si>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</si>
  <si>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0611292</t>
  </si>
  <si>
    <t>1292</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</si>
  <si>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</si>
  <si>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Реконструкція будівлі Шаровечківської ЗОШ І-ІІІ ст. за адресою: с. Шаровечка, вул. Шкільна, 10 Хмельницького району Хмельницької області (коригування)</t>
  </si>
  <si>
    <t>2019 - 2024 роки</t>
  </si>
  <si>
    <t>Нове будівництво споруди цивільного захисту для Шаровечківської ЗОШ І-ІІІ ступенів Хмельницької міської ради Хмельницької області, за адресою:
с. Шаровечка, вул. Шкільна, 10, Хмельницького району, Хмельницької області (коригування)</t>
  </si>
  <si>
    <t>МАЄ БУТИ НОВА ВАРТІСТЬ ПО ЕКСПЕРТИЗІ І КОРИГУВАННЮ</t>
  </si>
  <si>
    <t>Нове будівництво споруди цивільного захисту для Хмельницького закладу дошкільної освіти № 15 "Червона шапочка" Хмельницької міської ради Хмельницької області
на вул. М. Трембовецької, 23
м. Хмельницький (коригування)</t>
  </si>
  <si>
    <t>Програма підтримки і розвитку Спеціалізованого комунального підприємства «Хмельницька міська ритуальна служба» на 2023-2027 роки (із змінами)</t>
  </si>
  <si>
    <t>до рішення №   від  2024 року</t>
  </si>
  <si>
    <t xml:space="preserve">до рішення  №       від                    2024 року </t>
  </si>
  <si>
    <t>Будівництво ділянки водопроводу діам. 315 мм по вул. К. Степанкова
в м. Хмельницький (коригування)</t>
  </si>
  <si>
    <t xml:space="preserve">Реконструкція самопливного каналізаційного колектора діам.800 мм від ж.б №203 до колодязя №551а по вул. Проскурівського підпілля в м.Хмельницький </t>
  </si>
  <si>
    <t>Реконструкція напірного каналізаційного колектора діаметром 225 мм від КНС-22, вул.Кам`янецька, 134/1Д в м.Хмельницький (коригування)</t>
  </si>
  <si>
    <t>4122</t>
  </si>
  <si>
    <t xml:space="preserve">Повернення кредитів підприємствами, установами, організаціями </t>
  </si>
  <si>
    <t>Реконструкція самопливного каналізаційного колектора від буд. №4а по  вул. Свободи до буд.№20/2
по вул. Зарічанській в м.Хмельницький (корегування)</t>
  </si>
  <si>
    <t>Рішення 38-ї сесії Хмельницької міської ради від 13.03.2024 року №11</t>
  </si>
  <si>
    <t>Субвенція з місцевого бюджету за рахунок залишку коштів освітньої субвенції, що утворився на початок бюджетного періоду</t>
  </si>
  <si>
    <t>Рішення 39-ї сесії Хмельницької міської ради від 02.05.2024 року №6</t>
  </si>
  <si>
    <t>Програма взаємодії регіонального сервісного центру ГСЦ МВС в Хмельницькій області (філія ГСЦ МВС) із Хмельницькою міською радою в сфері надання адміністративних послуг населенню на 2024 рік</t>
  </si>
  <si>
    <t>Програма взаємодії Хмельницької міської ради та Хмельницького районного відділу філії Державної установи «Центр пробації» у Хмельницькій області 2024-2025 роки</t>
  </si>
  <si>
    <t>Комплексна програма мобілізації зусиль Хмельницької міської ради та Головного управління ДПС у Хмельницькій області по забезпеченню надходжень до бюджету Хмельницької міської територіальної громади на 2024-2025 роки</t>
  </si>
  <si>
    <t xml:space="preserve">	Виконання заходів щодо створення навчально-практичних центрів сучасної професійної (професійно-технічної) освіти за рахунок субвенції з державного бюджету місцевим бюджетам</t>
  </si>
  <si>
    <t>Виконання заходів щодо облаштування безпечних умов у закладах охорони здоров'я</t>
  </si>
  <si>
    <t>0712160</t>
  </si>
  <si>
    <t>2160</t>
  </si>
  <si>
    <t>Співфінансування заходів, що реалізуються за рахунок субвенції з державного бюджету місцевим бюджетам на облаштування безпечних умов у закладах охорони здоров'я</t>
  </si>
  <si>
    <t>0712161</t>
  </si>
  <si>
    <t>2161</t>
  </si>
  <si>
    <t>Вартість по договорах - 21471498,29</t>
  </si>
  <si>
    <t>Нове будівництво водогону в с. Велика Калинівка Хмельницього району Хмельницької області (коригування)</t>
  </si>
  <si>
    <t>Внески до статутного капіталу 
спеціалізованого комунального підприємства «Хмельницька міська ритуальна служба», в тому числі:</t>
  </si>
  <si>
    <t>Внески до статутного капіталу 
комунального підприємства "Хмельницькводоканал", в тому числі:</t>
  </si>
  <si>
    <t>Нове будівництво поминальної колумбарної стінки Героїв російсько-української війни на кладовищі "Ракове" на вул. Народної Волі, 17/1 у м. Хмельницькому</t>
  </si>
  <si>
    <t>Програма "Моє укриття" на 2024-2025 роки</t>
  </si>
  <si>
    <t>Рішення 36-ї сесії Хмельницької міської ради від 21.12.2023 року №58</t>
  </si>
  <si>
    <t>Реконструкція будівлі Хмельницького закладу дошкільної освіти № 23 «Вогник» Хмельницької міської ради для улаштування споруди цивільного захисту на вул.Бажана, 2 в м.Хмельницькому (коригування)</t>
  </si>
  <si>
    <t>Реставрація Хмельницького міського будинку культури по вул.Проскурівській, 43
в м. Хмельницькому</t>
  </si>
  <si>
    <r>
      <t>Будівництво</t>
    </r>
    <r>
      <rPr>
        <b/>
        <vertAlign val="superscript"/>
        <sz val="11"/>
        <rFont val="Times New Roman"/>
        <family val="1"/>
        <charset val="204"/>
      </rPr>
      <t>1</t>
    </r>
    <r>
      <rPr>
        <sz val="11"/>
        <rFont val="Times New Roman"/>
        <family val="1"/>
        <charset val="204"/>
      </rPr>
      <t>  установ та закладів культури</t>
    </r>
  </si>
  <si>
    <t>Програма розвитку електротранспорту Хмельницької міської територіальної громади на 2021 - 2025 роки (із змінами)</t>
  </si>
  <si>
    <t>Наукові дослідження, проектні та проектно-конструкторські розроблення, в тому числі виготовлення проектів землеустрою щодо відведення земельних ділянок під парки, сквери, зелені зони, території природно-заповідного фонду</t>
  </si>
  <si>
    <r>
      <t>Будівництво</t>
    </r>
    <r>
      <rPr>
        <b/>
        <vertAlign val="superscript"/>
        <sz val="36"/>
        <rFont val="Times New Roman"/>
        <family val="1"/>
        <charset val="204"/>
      </rPr>
      <t>1</t>
    </r>
    <r>
      <rPr>
        <sz val="36"/>
        <rFont val="Times New Roman"/>
        <family val="1"/>
        <charset val="204"/>
      </rPr>
      <t>  установ та закладів соціальної сфери</t>
    </r>
  </si>
  <si>
    <r>
      <t>Будівництво</t>
    </r>
    <r>
      <rPr>
        <b/>
        <vertAlign val="superscript"/>
        <sz val="11"/>
        <rFont val="Times New Roman"/>
        <family val="1"/>
        <charset val="204"/>
      </rPr>
      <t>1</t>
    </r>
    <r>
      <rPr>
        <sz val="11"/>
        <rFont val="Times New Roman"/>
        <family val="1"/>
        <charset val="204"/>
      </rPr>
      <t>  установ та закладів соціальної сфери</t>
    </r>
  </si>
  <si>
    <t>Реконструкція нежитлового приміщення під гуртожиток для малих сімей по вул.Перемоги 13
у м. Хмельницькому</t>
  </si>
  <si>
    <t>41051100</t>
  </si>
  <si>
    <t>Програма бюджетування за участі громадськості (Бюджет участі) Хмельницької міської територіальної громади на 2024-2026 роки (із змінами)</t>
  </si>
  <si>
    <t>Рішення 36-ї сесії Хмельницької міської ради від 21.12.2023 року №10</t>
  </si>
  <si>
    <t>2713242</t>
  </si>
  <si>
    <t>Заходи щодо відновлення і підтримання сприятливого гідрологічного режиму та санітарного стану водойм (виготовлення проектів землеустрою щодо встановлення меж прибережних захисних смуг поверхневих водних об’єктів)</t>
  </si>
  <si>
    <t>РІЗНИЦЯ</t>
  </si>
  <si>
    <t>Біологічна меліорація водойм</t>
  </si>
  <si>
    <t>РІЗНИЦЯ ДОХОДІВ</t>
  </si>
  <si>
    <t>0213000</t>
  </si>
  <si>
    <t>0213240</t>
  </si>
  <si>
    <t>0213241</t>
  </si>
  <si>
    <t xml:space="preserve">  </t>
  </si>
  <si>
    <t>до рішення № 803 від 16.05.2024</t>
  </si>
  <si>
    <t xml:space="preserve">до рішення  № 803 від 16.05.2024 </t>
  </si>
  <si>
    <t>Додаток 4
до рішення  № 803 від 16.05.2024</t>
  </si>
  <si>
    <t xml:space="preserve">Додаток 6
до рішення № 803 від 16.05.2024 року
</t>
  </si>
  <si>
    <t xml:space="preserve">до рішення  № 803 від 16.05.2024 року </t>
  </si>
  <si>
    <t xml:space="preserve"> № 803 від 16.05.2024</t>
  </si>
  <si>
    <t>№ 803 від 16.05.2024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</si>
</sst>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_-;\-* #,##0.00\ _₴_-;_-* &quot;-&quot;??\ _₴_-;_-@_-"/>
    <numFmt numFmtId="164" formatCode="_-* #,##0.00_₴_-;\-* #,##0.00_₴_-;_-* &quot;-&quot;??_₴_-;_-@_-"/>
    <numFmt numFmtId="165" formatCode="#,##0.0"/>
    <numFmt numFmtId="166" formatCode="0.0"/>
    <numFmt numFmtId="167" formatCode="#,##0.00000"/>
    <numFmt numFmtId="168" formatCode="_-* #,##0.00_₴_-;\-* #,##0.00_₴_-;_-* \-??_₴_-;_-@_-"/>
  </numFmts>
  <fonts count="205" x14ac:knownFonts="1">
    <font>
      <sz val="10"/>
      <name val="Arial Cyr"/>
      <charset val="204"/>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0"/>
      <name val="Arial Cyr"/>
      <charset val="204"/>
    </font>
    <font>
      <sz val="10"/>
      <name val="MS Sans Serif"/>
      <family val="2"/>
      <charset val="204"/>
    </font>
    <font>
      <sz val="10"/>
      <name val="Times New Roman"/>
      <family val="1"/>
      <charset val="204"/>
    </font>
    <font>
      <sz val="10"/>
      <name val="Times New Roman Cyr"/>
      <family val="1"/>
      <charset val="204"/>
    </font>
    <font>
      <b/>
      <sz val="10"/>
      <name val="Times New Roman Cyr"/>
      <family val="1"/>
      <charset val="204"/>
    </font>
    <font>
      <b/>
      <sz val="10"/>
      <name val="Arial Cyr"/>
      <charset val="204"/>
    </font>
    <font>
      <sz val="12"/>
      <name val="Times New Roman"/>
      <family val="1"/>
      <charset val="204"/>
    </font>
    <font>
      <sz val="11"/>
      <color indexed="6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9"/>
      <name val="Calibri"/>
      <family val="2"/>
      <charset val="204"/>
    </font>
    <font>
      <b/>
      <sz val="18"/>
      <color indexed="56"/>
      <name val="Cambria"/>
      <family val="2"/>
      <charset val="204"/>
    </font>
    <font>
      <sz val="11"/>
      <color indexed="52"/>
      <name val="Calibri"/>
      <family val="2"/>
      <charset val="204"/>
    </font>
    <font>
      <sz val="11"/>
      <color indexed="10"/>
      <name val="Calibri"/>
      <family val="2"/>
      <charset val="204"/>
    </font>
    <font>
      <sz val="11"/>
      <color indexed="17"/>
      <name val="Calibri"/>
      <family val="2"/>
      <charset val="204"/>
    </font>
    <font>
      <sz val="10"/>
      <name val="Helv"/>
      <charset val="204"/>
    </font>
    <font>
      <sz val="10"/>
      <name val="Courier New"/>
      <family val="3"/>
      <charset val="204"/>
    </font>
    <font>
      <sz val="11"/>
      <color indexed="19"/>
      <name val="Calibri"/>
      <family val="2"/>
      <charset val="204"/>
    </font>
    <font>
      <b/>
      <sz val="36"/>
      <name val="Times New Roman"/>
      <family val="1"/>
      <charset val="204"/>
    </font>
    <font>
      <sz val="36"/>
      <name val="Times New Roman"/>
      <family val="1"/>
      <charset val="204"/>
    </font>
    <font>
      <b/>
      <sz val="37"/>
      <name val="Times New Roman"/>
      <family val="1"/>
      <charset val="204"/>
    </font>
    <font>
      <sz val="37"/>
      <name val="Times New Roman"/>
      <family val="1"/>
      <charset val="204"/>
    </font>
    <font>
      <sz val="36"/>
      <name val="Arial Cyr"/>
      <charset val="204"/>
    </font>
    <font>
      <sz val="10"/>
      <color indexed="8"/>
      <name val="Arial"/>
      <family val="2"/>
      <charset val="204"/>
    </font>
    <font>
      <sz val="10"/>
      <name val="Arial Cyr"/>
      <charset val="204"/>
    </font>
    <font>
      <i/>
      <sz val="10"/>
      <name val="Arial Cyr"/>
      <charset val="204"/>
    </font>
    <font>
      <b/>
      <sz val="36"/>
      <name val="Times New Roman Cyr"/>
      <family val="1"/>
      <charset val="204"/>
    </font>
    <font>
      <sz val="10"/>
      <name val="Arial"/>
      <family val="2"/>
      <charset val="204"/>
    </font>
    <font>
      <b/>
      <sz val="12.5"/>
      <name val="Times New Roman"/>
      <family val="1"/>
      <charset val="204"/>
    </font>
    <font>
      <sz val="12"/>
      <name val="Arial Cyr"/>
      <charset val="204"/>
    </font>
    <font>
      <sz val="28"/>
      <name val="Arial Cyr"/>
      <charset val="204"/>
    </font>
    <font>
      <u/>
      <sz val="10"/>
      <color indexed="12"/>
      <name val="Arial Cyr"/>
      <charset val="204"/>
    </font>
    <font>
      <sz val="11"/>
      <color indexed="8"/>
      <name val="Calibri"/>
      <family val="2"/>
      <charset val="204"/>
    </font>
    <font>
      <sz val="11"/>
      <color indexed="9"/>
      <name val="Calibri"/>
      <family val="2"/>
      <charset val="204"/>
    </font>
    <font>
      <b/>
      <sz val="11"/>
      <color indexed="63"/>
      <name val="Calibri"/>
      <family val="2"/>
      <charset val="204"/>
    </font>
    <font>
      <b/>
      <sz val="11"/>
      <color indexed="52"/>
      <name val="Calibri"/>
      <family val="2"/>
      <charset val="204"/>
    </font>
    <font>
      <b/>
      <sz val="11"/>
      <color indexed="8"/>
      <name val="Calibri"/>
      <family val="2"/>
      <charset val="204"/>
    </font>
    <font>
      <sz val="11"/>
      <color indexed="60"/>
      <name val="Calibri"/>
      <family val="2"/>
      <charset val="204"/>
    </font>
    <font>
      <sz val="11"/>
      <color indexed="20"/>
      <name val="Calibri"/>
      <family val="2"/>
      <charset val="204"/>
    </font>
    <font>
      <i/>
      <sz val="11"/>
      <color indexed="23"/>
      <name val="Calibri"/>
      <family val="2"/>
      <charset val="204"/>
    </font>
    <font>
      <b/>
      <sz val="48"/>
      <name val="Times New Roman Cyr"/>
      <family val="1"/>
      <charset val="204"/>
    </font>
    <font>
      <vertAlign val="superscript"/>
      <sz val="20"/>
      <name val="Times New Roman"/>
      <family val="1"/>
      <charset val="204"/>
    </font>
    <font>
      <sz val="20"/>
      <name val="Arial Cyr"/>
      <charset val="204"/>
    </font>
    <font>
      <sz val="10"/>
      <name val="Arial Cyr"/>
      <family val="2"/>
      <charset val="204"/>
    </font>
    <font>
      <sz val="36"/>
      <name val="Times New Roman Cyr"/>
      <family val="1"/>
      <charset val="204"/>
    </font>
    <font>
      <sz val="50"/>
      <name val="Arial Cyr"/>
      <charset val="204"/>
    </font>
    <font>
      <sz val="11"/>
      <color theme="1"/>
      <name val="Calibri"/>
      <family val="2"/>
      <scheme val="minor"/>
    </font>
    <font>
      <u/>
      <sz val="10"/>
      <name val="Arial Cyr"/>
      <charset val="204"/>
    </font>
    <font>
      <sz val="28"/>
      <name val="Times New Roman Cyr"/>
      <family val="1"/>
      <charset val="204"/>
    </font>
    <font>
      <b/>
      <sz val="36"/>
      <color rgb="FFFF0000"/>
      <name val="Times New Roman"/>
      <family val="1"/>
      <charset val="204"/>
    </font>
    <font>
      <sz val="10"/>
      <color rgb="FFFF0000"/>
      <name val="Arial Cyr"/>
      <charset val="204"/>
    </font>
    <font>
      <b/>
      <sz val="10"/>
      <color rgb="FFFF0000"/>
      <name val="Arial Cyr"/>
      <charset val="204"/>
    </font>
    <font>
      <b/>
      <i/>
      <sz val="36"/>
      <color rgb="FFFF0000"/>
      <name val="Times New Roman"/>
      <family val="1"/>
      <charset val="204"/>
    </font>
    <font>
      <sz val="36"/>
      <color rgb="FFFF0000"/>
      <name val="Times New Roman"/>
      <family val="1"/>
      <charset val="204"/>
    </font>
    <font>
      <sz val="37"/>
      <color rgb="FFFF0000"/>
      <name val="Times New Roman"/>
      <family val="1"/>
      <charset val="204"/>
    </font>
    <font>
      <b/>
      <sz val="12.5"/>
      <color rgb="FFFF0000"/>
      <name val="Times New Roman"/>
      <family val="1"/>
      <charset val="204"/>
    </font>
    <font>
      <sz val="11"/>
      <color rgb="FFFF0000"/>
      <name val="Times New Roman"/>
      <family val="1"/>
      <charset val="204"/>
    </font>
    <font>
      <b/>
      <sz val="37"/>
      <color rgb="FFFF0000"/>
      <name val="Times New Roman"/>
      <family val="1"/>
      <charset val="204"/>
    </font>
    <font>
      <b/>
      <i/>
      <sz val="36"/>
      <name val="Times New Roman"/>
      <family val="1"/>
      <charset val="204"/>
    </font>
    <font>
      <i/>
      <sz val="10"/>
      <color rgb="FFFF0000"/>
      <name val="Arial Cyr"/>
      <charset val="204"/>
    </font>
    <font>
      <sz val="36"/>
      <color rgb="FFFF0000"/>
      <name val="Arial Cyr"/>
      <charset val="204"/>
    </font>
    <font>
      <b/>
      <sz val="36"/>
      <color rgb="FFFF0000"/>
      <name val="Arial Cyr"/>
      <charset val="204"/>
    </font>
    <font>
      <b/>
      <sz val="48"/>
      <color rgb="FFFF0000"/>
      <name val="Times New Roman Cyr"/>
      <family val="1"/>
      <charset val="204"/>
    </font>
    <font>
      <b/>
      <sz val="36"/>
      <color theme="1"/>
      <name val="Times New Roman"/>
      <family val="1"/>
      <charset val="204"/>
    </font>
    <font>
      <sz val="10"/>
      <color rgb="FFFF0000"/>
      <name val="Times New Roman"/>
      <family val="1"/>
      <charset val="204"/>
    </font>
    <font>
      <sz val="10"/>
      <color rgb="FFFF0000"/>
      <name val="Times New Roman CYR"/>
      <charset val="204"/>
    </font>
    <font>
      <b/>
      <sz val="14"/>
      <color rgb="FFFF0000"/>
      <name val="Times New Roman CYR"/>
      <charset val="204"/>
    </font>
    <font>
      <sz val="10"/>
      <color rgb="FFFF0000"/>
      <name val="Arial"/>
      <family val="2"/>
      <charset val="204"/>
    </font>
    <font>
      <b/>
      <sz val="14"/>
      <color rgb="FFFF0000"/>
      <name val="Times New Roman"/>
      <family val="1"/>
      <charset val="204"/>
    </font>
    <font>
      <b/>
      <i/>
      <sz val="37"/>
      <color rgb="FFFF0000"/>
      <name val="Times New Roman"/>
      <family val="1"/>
      <charset val="204"/>
    </font>
    <font>
      <sz val="36"/>
      <color theme="1"/>
      <name val="Times New Roman"/>
      <family val="1"/>
      <charset val="204"/>
    </font>
    <font>
      <b/>
      <i/>
      <sz val="37"/>
      <name val="Times New Roman"/>
      <family val="1"/>
      <charset val="204"/>
    </font>
    <font>
      <b/>
      <sz val="37"/>
      <color theme="1"/>
      <name val="Times New Roman"/>
      <family val="1"/>
      <charset val="204"/>
    </font>
    <font>
      <sz val="10"/>
      <color rgb="FFFF0000"/>
      <name val="Times New Roman Cyr"/>
      <family val="1"/>
      <charset val="204"/>
    </font>
    <font>
      <sz val="48"/>
      <name val="Times New Roman Cyr"/>
      <family val="1"/>
      <charset val="204"/>
    </font>
    <font>
      <i/>
      <sz val="37"/>
      <name val="Times New Roman"/>
      <family val="1"/>
      <charset val="204"/>
    </font>
    <font>
      <b/>
      <i/>
      <sz val="10"/>
      <name val="Arial Cyr"/>
      <charset val="204"/>
    </font>
    <font>
      <b/>
      <i/>
      <sz val="36"/>
      <color rgb="FFFF0000"/>
      <name val="Arial Cyr"/>
      <charset val="204"/>
    </font>
    <font>
      <i/>
      <sz val="36"/>
      <color rgb="FFFF0000"/>
      <name val="Times New Roman"/>
      <family val="1"/>
      <charset val="204"/>
    </font>
    <font>
      <u/>
      <sz val="10"/>
      <name val="Times New Roman"/>
      <family val="1"/>
      <charset val="204"/>
    </font>
    <font>
      <sz val="12"/>
      <color rgb="FF000000"/>
      <name val="Times New Roman"/>
      <family val="1"/>
      <charset val="204"/>
    </font>
    <font>
      <sz val="11"/>
      <color theme="1"/>
      <name val="Calibri"/>
      <family val="2"/>
      <charset val="204"/>
      <scheme val="minor"/>
    </font>
    <font>
      <b/>
      <sz val="18"/>
      <color indexed="62"/>
      <name val="Cambria"/>
      <family val="2"/>
      <charset val="204"/>
    </font>
    <font>
      <sz val="10"/>
      <color rgb="FF00FFCC"/>
      <name val="Arial Cyr"/>
      <charset val="204"/>
    </font>
    <font>
      <b/>
      <sz val="48"/>
      <color rgb="FF00FFCC"/>
      <name val="Times New Roman Cyr"/>
      <family val="1"/>
      <charset val="204"/>
    </font>
    <font>
      <sz val="36"/>
      <color rgb="FF00FFCC"/>
      <name val="Times New Roman"/>
      <family val="1"/>
      <charset val="204"/>
    </font>
    <font>
      <sz val="36"/>
      <color rgb="FF00FFCC"/>
      <name val="Arial Cyr"/>
      <charset val="204"/>
    </font>
    <font>
      <b/>
      <sz val="37"/>
      <color rgb="FF00FFCC"/>
      <name val="Times New Roman"/>
      <family val="1"/>
      <charset val="204"/>
    </font>
    <font>
      <b/>
      <i/>
      <sz val="37"/>
      <color rgb="FF00FFCC"/>
      <name val="Times New Roman"/>
      <family val="1"/>
      <charset val="204"/>
    </font>
    <font>
      <sz val="48"/>
      <color rgb="FF00FFCC"/>
      <name val="Arial Cyr"/>
      <charset val="204"/>
    </font>
    <font>
      <sz val="36"/>
      <color rgb="FF00FFCC"/>
      <name val="Times New Roman Cyr"/>
      <family val="1"/>
      <charset val="204"/>
    </font>
    <font>
      <sz val="48"/>
      <color rgb="FF00FFCC"/>
      <name val="Times New Roman Cyr"/>
      <family val="1"/>
      <charset val="204"/>
    </font>
    <font>
      <sz val="22"/>
      <color rgb="FF00FFCC"/>
      <name val="Times New Roman Cyr"/>
      <family val="1"/>
      <charset val="204"/>
    </font>
    <font>
      <b/>
      <sz val="10"/>
      <color rgb="FF00FFCC"/>
      <name val="Times New Roman Cyr"/>
      <family val="1"/>
      <charset val="204"/>
    </font>
    <font>
      <sz val="10"/>
      <color rgb="FF00FFCC"/>
      <name val="Times New Roman Cyr"/>
      <family val="1"/>
      <charset val="204"/>
    </font>
    <font>
      <sz val="22"/>
      <color rgb="FF00FFCC"/>
      <name val="Times New Roman"/>
      <family val="1"/>
      <charset val="204"/>
    </font>
    <font>
      <sz val="12"/>
      <color rgb="FFFF0000"/>
      <name val="Times New Roman"/>
      <family val="1"/>
      <charset val="204"/>
    </font>
    <font>
      <b/>
      <sz val="12"/>
      <color rgb="FFFF0000"/>
      <name val="Times New Roman"/>
      <family val="1"/>
      <charset val="204"/>
    </font>
    <font>
      <b/>
      <sz val="10"/>
      <color rgb="FFFF0000"/>
      <name val="Times New Roman"/>
      <family val="1"/>
      <charset val="204"/>
    </font>
    <font>
      <b/>
      <sz val="11"/>
      <color rgb="FFFF0000"/>
      <name val="Times New Roman"/>
      <family val="1"/>
      <charset val="204"/>
    </font>
    <font>
      <sz val="9"/>
      <color rgb="FFFF0000"/>
      <name val="Times New Roman"/>
      <family val="1"/>
      <charset val="204"/>
    </font>
    <font>
      <b/>
      <i/>
      <sz val="10"/>
      <color rgb="FFFF0000"/>
      <name val="Times New Roman"/>
      <family val="1"/>
      <charset val="204"/>
    </font>
    <font>
      <i/>
      <sz val="10"/>
      <color rgb="FFFF0000"/>
      <name val="Times New Roman"/>
      <family val="1"/>
      <charset val="204"/>
    </font>
    <font>
      <b/>
      <i/>
      <sz val="11"/>
      <color rgb="FFFF0000"/>
      <name val="Times New Roman"/>
      <family val="1"/>
      <charset val="204"/>
    </font>
    <font>
      <i/>
      <sz val="37"/>
      <color rgb="FFFF0000"/>
      <name val="Times New Roman"/>
      <family val="1"/>
      <charset val="204"/>
    </font>
    <font>
      <i/>
      <sz val="36"/>
      <color rgb="FFFF0000"/>
      <name val="Arial Cyr"/>
      <charset val="204"/>
    </font>
    <font>
      <b/>
      <vertAlign val="superscript"/>
      <sz val="36"/>
      <color rgb="FFFF0000"/>
      <name val="Times New Roman"/>
      <family val="1"/>
      <charset val="204"/>
    </font>
    <font>
      <b/>
      <i/>
      <sz val="10"/>
      <color rgb="FFFF0000"/>
      <name val="Arial Cyr"/>
      <charset val="204"/>
    </font>
    <font>
      <vertAlign val="superscript"/>
      <sz val="20"/>
      <color rgb="FFFF0000"/>
      <name val="Times New Roman"/>
      <family val="1"/>
      <charset val="204"/>
    </font>
    <font>
      <sz val="20"/>
      <color rgb="FFFF0000"/>
      <name val="Arial Cyr"/>
      <charset val="204"/>
    </font>
    <font>
      <sz val="9"/>
      <color rgb="FFFF0000"/>
      <name val="Times New Roman CYR"/>
      <charset val="204"/>
    </font>
    <font>
      <sz val="11"/>
      <color rgb="FFFF0000"/>
      <name val="Times New Roman Cyr"/>
      <family val="1"/>
      <charset val="204"/>
    </font>
    <font>
      <b/>
      <sz val="11"/>
      <color rgb="FFFF0000"/>
      <name val="Times New Roman Cyr"/>
      <family val="1"/>
      <charset val="204"/>
    </font>
    <font>
      <i/>
      <sz val="11"/>
      <color rgb="FFFF0000"/>
      <name val="Times New Roman Cyr"/>
      <family val="1"/>
      <charset val="204"/>
    </font>
    <font>
      <sz val="11"/>
      <color rgb="FFFF0000"/>
      <name val="Times New Roman Cyr"/>
      <charset val="204"/>
    </font>
    <font>
      <sz val="72"/>
      <color rgb="FFFF0000"/>
      <name val="Arial Cyr"/>
      <charset val="204"/>
    </font>
    <font>
      <sz val="22"/>
      <color rgb="FFFF0000"/>
      <name val="Arial Cyr"/>
      <charset val="204"/>
    </font>
    <font>
      <b/>
      <sz val="28"/>
      <color rgb="FFFF0000"/>
      <name val="Arial Cyr"/>
      <charset val="204"/>
    </font>
    <font>
      <b/>
      <sz val="28"/>
      <color rgb="FFFF0000"/>
      <name val="Times New Roman"/>
      <family val="1"/>
      <charset val="204"/>
    </font>
    <font>
      <b/>
      <vertAlign val="superscript"/>
      <sz val="11"/>
      <color rgb="FFFF0000"/>
      <name val="Times New Roman"/>
      <family val="1"/>
      <charset val="204"/>
    </font>
    <font>
      <b/>
      <i/>
      <sz val="14"/>
      <color rgb="FFFF0000"/>
      <name val="Times New Roman"/>
      <family val="1"/>
      <charset val="204"/>
    </font>
    <font>
      <sz val="14"/>
      <color rgb="FFFF0000"/>
      <name val="Times New Roman"/>
      <family val="1"/>
      <charset val="204"/>
    </font>
    <font>
      <sz val="48"/>
      <color rgb="FFFF0000"/>
      <name val="Times New Roman"/>
      <family val="1"/>
      <charset val="204"/>
    </font>
    <font>
      <sz val="34"/>
      <color rgb="FFFF0000"/>
      <name val="Times New Roman"/>
      <family val="1"/>
      <charset val="204"/>
    </font>
    <font>
      <sz val="72"/>
      <color rgb="FFFF0000"/>
      <name val="Times New Roman"/>
      <family val="1"/>
      <charset val="204"/>
    </font>
    <font>
      <b/>
      <sz val="72"/>
      <color rgb="FFFF0000"/>
      <name val="Times New Roman"/>
      <family val="1"/>
      <charset val="204"/>
    </font>
    <font>
      <sz val="36"/>
      <color rgb="FFFF0000"/>
      <name val="Times New Roman Cyr"/>
      <family val="1"/>
      <charset val="204"/>
    </font>
    <font>
      <b/>
      <sz val="36"/>
      <color rgb="FFFF0000"/>
      <name val="Times New Roman Cyr"/>
      <family val="1"/>
      <charset val="204"/>
    </font>
    <font>
      <b/>
      <sz val="10"/>
      <color rgb="FFFF0000"/>
      <name val="Times New Roman Cyr"/>
      <family val="1"/>
      <charset val="204"/>
    </font>
    <font>
      <sz val="50"/>
      <color rgb="FFFF0000"/>
      <name val="Arial Cyr"/>
      <charset val="204"/>
    </font>
    <font>
      <sz val="12.5"/>
      <color rgb="FFFF0000"/>
      <name val="Times New Roman"/>
      <family val="1"/>
      <charset val="204"/>
    </font>
    <font>
      <b/>
      <i/>
      <sz val="10"/>
      <color rgb="FFFF0000"/>
      <name val="Arial"/>
      <family val="2"/>
      <charset val="204"/>
    </font>
    <font>
      <sz val="12"/>
      <name val="Arial"/>
      <family val="2"/>
      <charset val="204"/>
    </font>
    <font>
      <u/>
      <sz val="36"/>
      <name val="Times New Roman"/>
      <family val="1"/>
      <charset val="204"/>
    </font>
    <font>
      <u/>
      <sz val="36"/>
      <name val="Arial Cyr"/>
      <charset val="204"/>
    </font>
    <font>
      <sz val="10"/>
      <color rgb="FF00FFCC"/>
      <name val="Times New Roman"/>
      <family val="1"/>
      <charset val="204"/>
    </font>
    <font>
      <b/>
      <sz val="10"/>
      <name val="Times New Roman"/>
      <family val="1"/>
      <charset val="204"/>
    </font>
    <font>
      <b/>
      <sz val="14"/>
      <name val="Times New Roman"/>
      <family val="1"/>
      <charset val="204"/>
    </font>
    <font>
      <sz val="11"/>
      <name val="Times New Roman"/>
      <family val="1"/>
      <charset val="204"/>
    </font>
    <font>
      <i/>
      <sz val="36"/>
      <name val="Times New Roman"/>
      <family val="1"/>
      <charset val="204"/>
    </font>
    <font>
      <b/>
      <sz val="18"/>
      <name val="Times New Roman"/>
      <family val="1"/>
      <charset val="204"/>
    </font>
    <font>
      <b/>
      <i/>
      <sz val="11"/>
      <name val="Times New Roman"/>
      <family val="1"/>
      <charset val="204"/>
    </font>
    <font>
      <b/>
      <sz val="11"/>
      <name val="Times New Roman"/>
      <family val="1"/>
      <charset val="204"/>
    </font>
    <font>
      <sz val="11"/>
      <name val="Arial Cyr"/>
      <charset val="204"/>
    </font>
    <font>
      <b/>
      <vertAlign val="superscript"/>
      <sz val="11"/>
      <name val="Times New Roman"/>
      <family val="1"/>
      <charset val="204"/>
    </font>
    <font>
      <i/>
      <sz val="10"/>
      <color rgb="FF00FFCC"/>
      <name val="Times New Roman"/>
      <family val="1"/>
      <charset val="204"/>
    </font>
    <font>
      <sz val="14"/>
      <name val="Times New Roman"/>
      <family val="1"/>
      <charset val="204"/>
    </font>
    <font>
      <i/>
      <sz val="11"/>
      <color rgb="FFFF0000"/>
      <name val="Times New Roman"/>
      <family val="1"/>
      <charset val="204"/>
    </font>
    <font>
      <sz val="36"/>
      <color rgb="FF000000"/>
      <name val="Times New Roman"/>
      <family val="1"/>
      <charset val="204"/>
    </font>
    <font>
      <sz val="11"/>
      <color rgb="FF000000"/>
      <name val="Times New Roman"/>
      <family val="1"/>
      <charset val="204"/>
    </font>
    <font>
      <b/>
      <i/>
      <vertAlign val="superscript"/>
      <sz val="36"/>
      <color rgb="FFFF0000"/>
      <name val="Times New Roman"/>
      <family val="1"/>
      <charset val="204"/>
    </font>
    <font>
      <sz val="16"/>
      <color rgb="FFFF0000"/>
      <name val="Times New Roman"/>
      <family val="1"/>
      <charset val="204"/>
    </font>
    <font>
      <sz val="31"/>
      <color rgb="FFFF0000"/>
      <name val="Times New Roman"/>
      <family val="1"/>
      <charset val="204"/>
    </font>
    <font>
      <b/>
      <i/>
      <sz val="12.5"/>
      <color rgb="FFFF0000"/>
      <name val="Times New Roman"/>
      <family val="1"/>
      <charset val="204"/>
    </font>
    <font>
      <b/>
      <vertAlign val="superscript"/>
      <sz val="36"/>
      <name val="Times New Roman"/>
      <family val="1"/>
      <charset val="204"/>
    </font>
    <font>
      <b/>
      <i/>
      <vertAlign val="superscript"/>
      <sz val="36"/>
      <name val="Times New Roman"/>
      <family val="1"/>
      <charset val="204"/>
    </font>
    <font>
      <b/>
      <sz val="12"/>
      <name val="Times New Roman"/>
      <family val="1"/>
      <charset val="204"/>
    </font>
    <font>
      <b/>
      <sz val="12"/>
      <color rgb="FF00FFCC"/>
      <name val="Times New Roman"/>
      <family val="1"/>
      <charset val="204"/>
    </font>
    <font>
      <sz val="10"/>
      <name val="Times New Roman CYR"/>
      <charset val="204"/>
    </font>
    <font>
      <sz val="8"/>
      <name val="Times New Roman"/>
      <family val="1"/>
      <charset val="204"/>
    </font>
    <font>
      <b/>
      <sz val="10"/>
      <name val="Times New Roman CYR"/>
      <charset val="204"/>
    </font>
    <font>
      <i/>
      <sz val="11"/>
      <name val="Times New Roman"/>
      <family val="1"/>
      <charset val="204"/>
    </font>
    <font>
      <u/>
      <sz val="9"/>
      <name val="Times New Roman"/>
      <family val="1"/>
      <charset val="204"/>
    </font>
    <font>
      <u/>
      <sz val="9"/>
      <name val="Arial Cyr"/>
      <charset val="204"/>
    </font>
    <font>
      <sz val="9"/>
      <name val="Times New Roman"/>
      <family val="1"/>
      <charset val="204"/>
    </font>
    <font>
      <sz val="9"/>
      <name val="Arial Cyr"/>
      <charset val="204"/>
    </font>
    <font>
      <b/>
      <sz val="9"/>
      <name val="Times New Roman"/>
      <family val="1"/>
      <charset val="204"/>
    </font>
    <font>
      <i/>
      <sz val="10"/>
      <name val="Times New Roman"/>
      <family val="1"/>
      <charset val="204"/>
    </font>
    <font>
      <b/>
      <i/>
      <sz val="10"/>
      <name val="Times New Roman"/>
      <family val="1"/>
      <charset val="204"/>
    </font>
    <font>
      <sz val="20"/>
      <name val="Times New Roman"/>
      <family val="1"/>
      <charset val="204"/>
    </font>
    <font>
      <b/>
      <sz val="28"/>
      <color rgb="FF00FFCC"/>
      <name val="Times New Roman"/>
      <family val="1"/>
      <charset val="204"/>
    </font>
    <font>
      <sz val="22"/>
      <name val="Times New Roman"/>
      <family val="1"/>
      <charset val="204"/>
    </font>
    <font>
      <b/>
      <sz val="36"/>
      <color rgb="FF00FFCC"/>
      <name val="Times New Roman"/>
      <family val="1"/>
      <charset val="204"/>
    </font>
    <font>
      <sz val="12.5"/>
      <name val="Times New Roman"/>
      <family val="1"/>
      <charset val="204"/>
    </font>
    <font>
      <b/>
      <i/>
      <sz val="12.5"/>
      <name val="Times New Roman"/>
      <family val="1"/>
      <charset val="204"/>
    </font>
    <font>
      <sz val="34"/>
      <name val="Times New Roman"/>
      <family val="1"/>
      <charset val="204"/>
    </font>
    <font>
      <b/>
      <sz val="16"/>
      <name val="Times New Roman"/>
      <family val="1"/>
      <charset val="204"/>
    </font>
    <font>
      <b/>
      <u/>
      <sz val="16"/>
      <name val="Times New Roman"/>
      <family val="1"/>
      <charset val="204"/>
    </font>
    <font>
      <b/>
      <u/>
      <sz val="10"/>
      <name val="Times New Roman"/>
      <family val="1"/>
      <charset val="204"/>
    </font>
    <font>
      <vertAlign val="superscript"/>
      <sz val="10"/>
      <name val="Times New Roman"/>
      <family val="1"/>
      <charset val="204"/>
    </font>
    <font>
      <sz val="31.5"/>
      <name val="Times New Roman"/>
      <family val="1"/>
      <charset val="204"/>
    </font>
    <font>
      <sz val="11"/>
      <name val="Times New Roman Cyr"/>
      <charset val="204"/>
    </font>
    <font>
      <b/>
      <sz val="36"/>
      <color rgb="FFCCFF99"/>
      <name val="Times New Roman"/>
      <family val="1"/>
      <charset val="204"/>
    </font>
    <font>
      <b/>
      <sz val="28"/>
      <color rgb="FFCCFF99"/>
      <name val="Times New Roman"/>
      <family val="1"/>
      <charset val="204"/>
    </font>
    <font>
      <b/>
      <sz val="48"/>
      <color rgb="FFCCFF99"/>
      <name val="Times New Roman Cyr"/>
      <family val="1"/>
      <charset val="204"/>
    </font>
    <font>
      <sz val="36"/>
      <color rgb="FFCCFF99"/>
      <name val="Times New Roman Cyr"/>
      <family val="1"/>
      <charset val="204"/>
    </font>
    <font>
      <sz val="10"/>
      <color theme="1"/>
      <name val="Times New Roman"/>
      <family val="1"/>
      <charset val="204"/>
    </font>
    <font>
      <b/>
      <sz val="10"/>
      <color theme="1"/>
      <name val="Times New Roman"/>
      <family val="1"/>
      <charset val="204"/>
    </font>
    <font>
      <b/>
      <sz val="12"/>
      <color rgb="FFCCFF99"/>
      <name val="Times New Roman"/>
      <family val="1"/>
      <charset val="204"/>
    </font>
    <font>
      <b/>
      <sz val="10"/>
      <color rgb="FFCCFF99"/>
      <name val="Times New Roman"/>
      <family val="1"/>
      <charset val="204"/>
    </font>
    <font>
      <b/>
      <sz val="14"/>
      <color rgb="FFCCFF99"/>
      <name val="Times New Roman"/>
      <family val="1"/>
      <charset val="204"/>
    </font>
    <font>
      <b/>
      <sz val="72"/>
      <color rgb="FFCCFF99"/>
      <name val="Times New Roman"/>
      <family val="1"/>
      <charset val="204"/>
    </font>
    <font>
      <b/>
      <sz val="16"/>
      <color rgb="FFCCFF99"/>
      <name val="Times New Roman"/>
      <family val="1"/>
      <charset val="204"/>
    </font>
    <font>
      <b/>
      <sz val="12"/>
      <color rgb="FFCCFF99"/>
      <name val="Times New Roman CYR"/>
      <charset val="204"/>
    </font>
  </fonts>
  <fills count="52">
    <fill>
      <patternFill patternType="none"/>
    </fill>
    <fill>
      <patternFill patternType="gray125"/>
    </fill>
    <fill>
      <patternFill patternType="solid">
        <fgColor indexed="47"/>
      </patternFill>
    </fill>
    <fill>
      <patternFill patternType="solid">
        <fgColor indexed="27"/>
      </patternFill>
    </fill>
    <fill>
      <patternFill patternType="solid">
        <fgColor indexed="43"/>
      </patternFill>
    </fill>
    <fill>
      <patternFill patternType="solid">
        <fgColor indexed="5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gradientFill type="path" left="0.5" right="0.5" top="0.5" bottom="0.5">
        <stop position="0">
          <color theme="0"/>
        </stop>
        <stop position="1">
          <color rgb="FFCCFFCC"/>
        </stop>
      </gradientFill>
    </fill>
    <fill>
      <patternFill patternType="solid">
        <fgColor rgb="FFFF0000"/>
        <bgColor indexed="64"/>
      </patternFill>
    </fill>
    <fill>
      <patternFill patternType="solid">
        <fgColor rgb="FF66FF99"/>
        <bgColor indexed="64"/>
      </patternFill>
    </fill>
    <fill>
      <patternFill patternType="solid">
        <fgColor rgb="FF00FF99"/>
        <bgColor indexed="64"/>
      </patternFill>
    </fill>
    <fill>
      <patternFill patternType="solid">
        <fgColor rgb="FF00FF99"/>
        <bgColor auto="1"/>
      </patternFill>
    </fill>
    <fill>
      <patternFill patternType="solid">
        <fgColor rgb="FF00CCFF"/>
        <bgColor indexed="64"/>
      </patternFill>
    </fill>
    <fill>
      <gradientFill degree="270">
        <stop position="0">
          <color theme="0"/>
        </stop>
        <stop position="1">
          <color rgb="FF00CCFF"/>
        </stop>
      </gradientFill>
    </fill>
    <fill>
      <patternFill patternType="solid">
        <fgColor rgb="FFCCFF99"/>
        <bgColor indexed="64"/>
      </patternFill>
    </fill>
    <fill>
      <gradientFill degree="270">
        <stop position="0">
          <color theme="0"/>
        </stop>
        <stop position="1">
          <color rgb="FFCCFF99"/>
        </stop>
      </gradientFill>
    </fill>
    <fill>
      <gradientFill degree="225">
        <stop position="0">
          <color theme="0"/>
        </stop>
        <stop position="1">
          <color rgb="FFFFFF99"/>
        </stop>
      </gradientFill>
    </fill>
    <fill>
      <gradientFill degree="270">
        <stop position="0">
          <color theme="0"/>
        </stop>
        <stop position="1">
          <color rgb="FF00FFCC"/>
        </stop>
      </gradientFill>
    </fill>
    <fill>
      <gradientFill degree="90">
        <stop position="0">
          <color rgb="FF00FFCC"/>
        </stop>
        <stop position="1">
          <color rgb="FF00FFCC"/>
        </stop>
      </gradientFill>
    </fill>
    <fill>
      <patternFill patternType="solid">
        <fgColor theme="0"/>
        <bgColor indexed="64"/>
      </patternFill>
    </fill>
    <fill>
      <patternFill patternType="solid">
        <fgColor theme="5" tint="0.79998168889431442"/>
        <bgColor auto="1"/>
      </patternFill>
    </fill>
    <fill>
      <gradientFill type="path" left="0.5" right="0.5" top="0.5" bottom="0.5">
        <stop position="0">
          <color theme="0"/>
        </stop>
        <stop position="1">
          <color theme="5" tint="0.80001220740379042"/>
        </stop>
      </gradientFill>
    </fill>
    <fill>
      <gradientFill degree="90">
        <stop position="0">
          <color theme="0"/>
        </stop>
        <stop position="0.5">
          <color rgb="FFCCFF99"/>
        </stop>
        <stop position="1">
          <color theme="0"/>
        </stop>
      </gradientFill>
    </fill>
    <fill>
      <gradientFill degree="90">
        <stop position="0">
          <color theme="0"/>
        </stop>
        <stop position="0.5">
          <color theme="9" tint="0.59999389629810485"/>
        </stop>
        <stop position="1">
          <color theme="0"/>
        </stop>
      </gradientFill>
    </fill>
    <fill>
      <patternFill patternType="solid">
        <fgColor theme="3" tint="0.39997558519241921"/>
        <bgColor indexed="64"/>
      </patternFill>
    </fill>
    <fill>
      <patternFill patternType="solid">
        <fgColor theme="9" tint="-0.249977111117893"/>
        <bgColor indexed="64"/>
      </patternFill>
    </fill>
    <fill>
      <patternFill patternType="solid">
        <fgColor theme="7" tint="0.79998168889431442"/>
        <bgColor indexed="64"/>
      </patternFill>
    </fill>
    <fill>
      <gradientFill type="path" left="0.5" right="0.5" top="0.5" bottom="0.5">
        <stop position="0">
          <color theme="0"/>
        </stop>
        <stop position="1">
          <color theme="7" tint="0.80001220740379042"/>
        </stop>
      </gradientFill>
    </fill>
    <fill>
      <patternFill patternType="solid">
        <fgColor rgb="FF00FFCC"/>
        <bgColor indexed="64"/>
      </patternFill>
    </fill>
    <fill>
      <gradientFill type="path" left="0.5" right="0.5" top="0.5" bottom="0.5">
        <stop position="0">
          <color theme="0"/>
        </stop>
        <stop position="1">
          <color rgb="FFCCFF99"/>
        </stop>
      </gradientFill>
    </fill>
    <fill>
      <gradientFill degree="90">
        <stop position="0">
          <color theme="0"/>
        </stop>
        <stop position="0.5">
          <color rgb="FFCCECFF"/>
        </stop>
        <stop position="1">
          <color theme="0"/>
        </stop>
      </gradientFill>
    </fill>
    <fill>
      <patternFill patternType="solid">
        <fgColor rgb="FF00B0F0"/>
        <bgColor indexed="64"/>
      </patternFill>
    </fill>
    <fill>
      <patternFill patternType="solid">
        <fgColor theme="3" tint="0.59999389629810485"/>
        <bgColor indexed="64"/>
      </patternFill>
    </fill>
    <fill>
      <gradientFill type="path" left="0.5" right="0.5" top="0.5" bottom="0.5">
        <stop position="0">
          <color theme="0"/>
        </stop>
        <stop position="1">
          <color rgb="FFCCECFF"/>
        </stop>
      </gradientFill>
    </fill>
  </fills>
  <borders count="28">
    <border>
      <left/>
      <right/>
      <top/>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style="thin">
        <color indexed="64"/>
      </right>
      <top/>
      <bottom/>
      <diagonal/>
    </border>
    <border>
      <left style="double">
        <color theme="0" tint="-0.499984740745262"/>
      </left>
      <right style="double">
        <color theme="0" tint="-0.499984740745262"/>
      </right>
      <top style="double">
        <color theme="0" tint="-0.499984740745262"/>
      </top>
      <bottom style="double">
        <color theme="0" tint="-0.499984740745262"/>
      </bottom>
      <diagonal/>
    </border>
    <border>
      <left style="double">
        <color theme="0" tint="-0.499984740745262"/>
      </left>
      <right style="double">
        <color theme="0" tint="-0.499984740745262"/>
      </right>
      <top style="double">
        <color theme="0" tint="-0.499984740745262"/>
      </top>
      <bottom/>
      <diagonal/>
    </border>
    <border>
      <left style="double">
        <color theme="0" tint="-0.499984740745262"/>
      </left>
      <right style="double">
        <color theme="0" tint="-0.499984740745262"/>
      </right>
      <top/>
      <bottom style="double">
        <color theme="0" tint="-0.499984740745262"/>
      </bottom>
      <diagonal/>
    </border>
    <border>
      <left style="double">
        <color theme="0" tint="-0.499984740745262"/>
      </left>
      <right style="double">
        <color theme="0" tint="-0.499984740745262"/>
      </right>
      <top/>
      <bottom/>
      <diagonal/>
    </border>
    <border>
      <left style="double">
        <color theme="0" tint="-0.499984740745262"/>
      </left>
      <right/>
      <top style="double">
        <color theme="0" tint="-0.499984740745262"/>
      </top>
      <bottom style="double">
        <color theme="0" tint="-0.499984740745262"/>
      </bottom>
      <diagonal/>
    </border>
    <border>
      <left style="double">
        <color theme="0" tint="-0.499984740745262"/>
      </left>
      <right style="double">
        <color theme="0" tint="-0.499984740745262"/>
      </right>
      <top style="double">
        <color theme="0" tint="-0.499984740745262"/>
      </top>
      <bottom style="thin">
        <color indexed="64"/>
      </bottom>
      <diagonal/>
    </border>
    <border>
      <left/>
      <right/>
      <top style="double">
        <color theme="0" tint="-0.499984740745262"/>
      </top>
      <bottom style="double">
        <color theme="0" tint="-0.499984740745262"/>
      </bottom>
      <diagonal/>
    </border>
    <border>
      <left/>
      <right style="double">
        <color theme="0" tint="-0.499984740745262"/>
      </right>
      <top style="double">
        <color theme="0" tint="-0.499984740745262"/>
      </top>
      <bottom style="double">
        <color theme="0" tint="-0.499984740745262"/>
      </bottom>
      <diagonal/>
    </border>
    <border>
      <left style="double">
        <color theme="0" tint="-0.499984740745262"/>
      </left>
      <right/>
      <top/>
      <bottom/>
      <diagonal/>
    </border>
    <border>
      <left style="double">
        <color indexed="64"/>
      </left>
      <right style="double">
        <color indexed="64"/>
      </right>
      <top style="double">
        <color indexed="64"/>
      </top>
      <bottom style="double">
        <color indexed="64"/>
      </bottom>
      <diagonal/>
    </border>
    <border>
      <left/>
      <right/>
      <top/>
      <bottom style="double">
        <color indexed="10"/>
      </bottom>
      <diagonal/>
    </border>
    <border>
      <left style="double">
        <color theme="0" tint="-0.499984740745262"/>
      </left>
      <right/>
      <top style="double">
        <color theme="0" tint="-0.499984740745262"/>
      </top>
      <bottom/>
      <diagonal/>
    </border>
    <border>
      <left/>
      <right style="double">
        <color theme="0" tint="-0.499984740745262"/>
      </right>
      <top style="double">
        <color theme="0" tint="-0.499984740745262"/>
      </top>
      <bottom/>
      <diagonal/>
    </border>
  </borders>
  <cellStyleXfs count="191">
    <xf numFmtId="0" fontId="0" fillId="0" borderId="0"/>
    <xf numFmtId="0" fontId="10" fillId="0" borderId="0"/>
    <xf numFmtId="0" fontId="17" fillId="2" borderId="1" applyNumberFormat="0" applyAlignment="0" applyProtection="0"/>
    <xf numFmtId="0" fontId="25" fillId="3" borderId="0" applyNumberFormat="0" applyBorder="0" applyAlignment="0" applyProtection="0"/>
    <xf numFmtId="0" fontId="18" fillId="0" borderId="2"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0" applyNumberForma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0" fillId="0" borderId="0"/>
    <xf numFmtId="0" fontId="35" fillId="0" borderId="0"/>
    <xf numFmtId="0" fontId="27" fillId="0" borderId="0"/>
    <xf numFmtId="0" fontId="10" fillId="0" borderId="0"/>
    <xf numFmtId="0" fontId="35" fillId="0" borderId="0"/>
    <xf numFmtId="0" fontId="10" fillId="0" borderId="0"/>
    <xf numFmtId="0" fontId="35" fillId="0" borderId="0"/>
    <xf numFmtId="0" fontId="27" fillId="0" borderId="0"/>
    <xf numFmtId="0" fontId="27" fillId="0" borderId="0"/>
    <xf numFmtId="0" fontId="27" fillId="0" borderId="0"/>
    <xf numFmtId="0" fontId="27" fillId="0" borderId="0"/>
    <xf numFmtId="0" fontId="27" fillId="0" borderId="0"/>
    <xf numFmtId="0" fontId="34" fillId="0" borderId="0">
      <alignment vertical="top"/>
    </xf>
    <xf numFmtId="0" fontId="21" fillId="5" borderId="5" applyNumberFormat="0" applyAlignment="0" applyProtection="0"/>
    <xf numFmtId="0" fontId="22" fillId="0" borderId="0" applyNumberFormat="0" applyFill="0" applyBorder="0" applyAlignment="0" applyProtection="0"/>
    <xf numFmtId="0" fontId="10" fillId="0" borderId="0"/>
    <xf numFmtId="0" fontId="35" fillId="0" borderId="0"/>
    <xf numFmtId="0" fontId="12" fillId="0" borderId="0"/>
    <xf numFmtId="0" fontId="38" fillId="0" borderId="0" applyNumberFormat="0" applyFont="0" applyFill="0" applyBorder="0" applyAlignment="0" applyProtection="0">
      <alignment vertical="top"/>
    </xf>
    <xf numFmtId="0" fontId="26" fillId="0" borderId="0"/>
    <xf numFmtId="0" fontId="11" fillId="0" borderId="0" applyNumberFormat="0" applyFont="0" applyFill="0" applyBorder="0" applyAlignment="0" applyProtection="0">
      <alignment vertical="top"/>
    </xf>
    <xf numFmtId="0" fontId="12" fillId="0" borderId="0"/>
    <xf numFmtId="0" fontId="26" fillId="0" borderId="0"/>
    <xf numFmtId="0" fontId="23" fillId="0" borderId="6" applyNumberFormat="0" applyFill="0" applyAlignment="0" applyProtection="0"/>
    <xf numFmtId="0" fontId="28" fillId="4" borderId="0" applyNumberFormat="0" applyBorder="0" applyAlignment="0" applyProtection="0"/>
    <xf numFmtId="0" fontId="26" fillId="0" borderId="0"/>
    <xf numFmtId="0" fontId="24" fillId="0" borderId="0" applyNumberFormat="0" applyFill="0" applyBorder="0" applyAlignment="0" applyProtection="0"/>
    <xf numFmtId="0" fontId="10" fillId="0" borderId="0"/>
    <xf numFmtId="0" fontId="43" fillId="7" borderId="0" applyNumberFormat="0" applyBorder="0" applyAlignment="0" applyProtection="0"/>
    <xf numFmtId="0" fontId="43" fillId="8" borderId="0" applyNumberFormat="0" applyBorder="0" applyAlignment="0" applyProtection="0"/>
    <xf numFmtId="0" fontId="43" fillId="9" borderId="0" applyNumberFormat="0" applyBorder="0" applyAlignment="0" applyProtection="0"/>
    <xf numFmtId="0" fontId="43" fillId="10" borderId="0" applyNumberFormat="0" applyBorder="0" applyAlignment="0" applyProtection="0"/>
    <xf numFmtId="0" fontId="43" fillId="3" borderId="0" applyNumberFormat="0" applyBorder="0" applyAlignment="0" applyProtection="0"/>
    <xf numFmtId="0" fontId="43" fillId="2" borderId="0" applyNumberFormat="0" applyBorder="0" applyAlignment="0" applyProtection="0"/>
    <xf numFmtId="0" fontId="43" fillId="11" borderId="0" applyNumberFormat="0" applyBorder="0" applyAlignment="0" applyProtection="0"/>
    <xf numFmtId="0" fontId="43" fillId="12" borderId="0" applyNumberFormat="0" applyBorder="0" applyAlignment="0" applyProtection="0"/>
    <xf numFmtId="0" fontId="43" fillId="13" borderId="0" applyNumberFormat="0" applyBorder="0" applyAlignment="0" applyProtection="0"/>
    <xf numFmtId="0" fontId="43" fillId="10" borderId="0" applyNumberFormat="0" applyBorder="0" applyAlignment="0" applyProtection="0"/>
    <xf numFmtId="0" fontId="43" fillId="11" borderId="0" applyNumberFormat="0" applyBorder="0" applyAlignment="0" applyProtection="0"/>
    <xf numFmtId="0" fontId="43" fillId="14" borderId="0" applyNumberFormat="0" applyBorder="0" applyAlignment="0" applyProtection="0"/>
    <xf numFmtId="0" fontId="44" fillId="15" borderId="0" applyNumberFormat="0" applyBorder="0" applyAlignment="0" applyProtection="0"/>
    <xf numFmtId="0" fontId="44" fillId="12" borderId="0" applyNumberFormat="0" applyBorder="0" applyAlignment="0" applyProtection="0"/>
    <xf numFmtId="0" fontId="44" fillId="13" borderId="0" applyNumberFormat="0" applyBorder="0" applyAlignment="0" applyProtection="0"/>
    <xf numFmtId="0" fontId="44" fillId="16" borderId="0" applyNumberFormat="0" applyBorder="0" applyAlignment="0" applyProtection="0"/>
    <xf numFmtId="0" fontId="44" fillId="17" borderId="0" applyNumberFormat="0" applyBorder="0" applyAlignment="0" applyProtection="0"/>
    <xf numFmtId="0" fontId="44" fillId="18" borderId="0" applyNumberFormat="0" applyBorder="0" applyAlignment="0" applyProtection="0"/>
    <xf numFmtId="0" fontId="44" fillId="19" borderId="0" applyNumberFormat="0" applyBorder="0" applyAlignment="0" applyProtection="0"/>
    <xf numFmtId="0" fontId="44" fillId="20" borderId="0" applyNumberFormat="0" applyBorder="0" applyAlignment="0" applyProtection="0"/>
    <xf numFmtId="0" fontId="44" fillId="21" borderId="0" applyNumberFormat="0" applyBorder="0" applyAlignment="0" applyProtection="0"/>
    <xf numFmtId="0" fontId="44" fillId="16" borderId="0" applyNumberFormat="0" applyBorder="0" applyAlignment="0" applyProtection="0"/>
    <xf numFmtId="0" fontId="44" fillId="17" borderId="0" applyNumberFormat="0" applyBorder="0" applyAlignment="0" applyProtection="0"/>
    <xf numFmtId="0" fontId="44" fillId="22" borderId="0" applyNumberFormat="0" applyBorder="0" applyAlignment="0" applyProtection="0"/>
    <xf numFmtId="0" fontId="17" fillId="2" borderId="1" applyNumberFormat="0" applyAlignment="0" applyProtection="0"/>
    <xf numFmtId="0" fontId="45" fillId="23" borderId="11" applyNumberFormat="0" applyAlignment="0" applyProtection="0"/>
    <xf numFmtId="0" fontId="46" fillId="23" borderId="1" applyNumberFormat="0" applyAlignment="0" applyProtection="0"/>
    <xf numFmtId="0" fontId="42" fillId="0" borderId="0" applyNumberFormat="0" applyFill="0" applyBorder="0" applyAlignment="0" applyProtection="0">
      <alignment vertical="top"/>
      <protection locked="0"/>
    </xf>
    <xf numFmtId="0" fontId="47" fillId="0" borderId="12" applyNumberFormat="0" applyFill="0" applyAlignment="0" applyProtection="0"/>
    <xf numFmtId="0" fontId="21" fillId="5" borderId="5" applyNumberFormat="0" applyAlignment="0" applyProtection="0"/>
    <xf numFmtId="0" fontId="22" fillId="0" borderId="0" applyNumberFormat="0" applyFill="0" applyBorder="0" applyAlignment="0" applyProtection="0"/>
    <xf numFmtId="0" fontId="48" fillId="4" borderId="0" applyNumberFormat="0" applyBorder="0" applyAlignment="0" applyProtection="0"/>
    <xf numFmtId="0" fontId="49" fillId="8" borderId="0" applyNumberFormat="0" applyBorder="0" applyAlignment="0" applyProtection="0"/>
    <xf numFmtId="0" fontId="50" fillId="0" borderId="0" applyNumberFormat="0" applyFill="0" applyBorder="0" applyAlignment="0" applyProtection="0"/>
    <xf numFmtId="0" fontId="43" fillId="24" borderId="13" applyNumberFormat="0" applyFont="0" applyAlignment="0" applyProtection="0"/>
    <xf numFmtId="0" fontId="23" fillId="0" borderId="6" applyNumberFormat="0" applyFill="0" applyAlignment="0" applyProtection="0"/>
    <xf numFmtId="0" fontId="24" fillId="0" borderId="0" applyNumberFormat="0" applyFill="0" applyBorder="0" applyAlignment="0" applyProtection="0"/>
    <xf numFmtId="0" fontId="25" fillId="9" borderId="0" applyNumberFormat="0" applyBorder="0" applyAlignment="0" applyProtection="0"/>
    <xf numFmtId="0" fontId="54" fillId="0" borderId="0"/>
    <xf numFmtId="0" fontId="10" fillId="0" borderId="0"/>
    <xf numFmtId="0" fontId="9" fillId="0" borderId="0"/>
    <xf numFmtId="0" fontId="8" fillId="0" borderId="0"/>
    <xf numFmtId="0" fontId="10" fillId="0" borderId="0"/>
    <xf numFmtId="0" fontId="10" fillId="0" borderId="0"/>
    <xf numFmtId="0" fontId="10" fillId="0" borderId="0"/>
    <xf numFmtId="0" fontId="10" fillId="0" borderId="0"/>
    <xf numFmtId="0" fontId="10" fillId="0" borderId="0"/>
    <xf numFmtId="0" fontId="7" fillId="0" borderId="0"/>
    <xf numFmtId="0" fontId="57" fillId="0" borderId="0"/>
    <xf numFmtId="0" fontId="6" fillId="0" borderId="0"/>
    <xf numFmtId="0" fontId="5" fillId="0" borderId="0"/>
    <xf numFmtId="0" fontId="5" fillId="0" borderId="0"/>
    <xf numFmtId="0" fontId="4" fillId="0" borderId="0"/>
    <xf numFmtId="0" fontId="4" fillId="0" borderId="0"/>
    <xf numFmtId="0" fontId="3" fillId="0" borderId="0"/>
    <xf numFmtId="0" fontId="3" fillId="0" borderId="0"/>
    <xf numFmtId="0" fontId="43" fillId="0" borderId="0"/>
    <xf numFmtId="0" fontId="17" fillId="4" borderId="1" applyNumberFormat="0" applyAlignment="0" applyProtection="0"/>
    <xf numFmtId="0" fontId="18" fillId="0" borderId="2"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0" applyNumberFormat="0" applyFill="0" applyBorder="0" applyAlignment="0" applyProtection="0"/>
    <xf numFmtId="0" fontId="24" fillId="0" borderId="25" applyNumberFormat="0" applyFill="0" applyAlignment="0" applyProtection="0"/>
    <xf numFmtId="0" fontId="93" fillId="0" borderId="0" applyNumberFormat="0" applyFill="0" applyBorder="0" applyAlignment="0" applyProtection="0"/>
    <xf numFmtId="0" fontId="34" fillId="0" borderId="0"/>
    <xf numFmtId="0" fontId="43" fillId="0" borderId="0"/>
    <xf numFmtId="0" fontId="57" fillId="0" borderId="0"/>
    <xf numFmtId="0" fontId="38" fillId="0" borderId="0"/>
    <xf numFmtId="0" fontId="2" fillId="0" borderId="0"/>
    <xf numFmtId="0" fontId="2" fillId="0" borderId="0"/>
    <xf numFmtId="0" fontId="38" fillId="0" borderId="0"/>
    <xf numFmtId="0" fontId="54" fillId="0" borderId="0"/>
    <xf numFmtId="0" fontId="38" fillId="0" borderId="0"/>
    <xf numFmtId="0" fontId="54" fillId="0" borderId="0"/>
    <xf numFmtId="0" fontId="12" fillId="0" borderId="0"/>
    <xf numFmtId="0" fontId="16" fillId="0" borderId="0"/>
    <xf numFmtId="0" fontId="38" fillId="0" borderId="0"/>
    <xf numFmtId="0" fontId="43" fillId="0" borderId="0"/>
    <xf numFmtId="0" fontId="43" fillId="0" borderId="0"/>
    <xf numFmtId="0" fontId="16" fillId="0" borderId="0"/>
    <xf numFmtId="0" fontId="16" fillId="0" borderId="0"/>
    <xf numFmtId="0" fontId="43" fillId="0" borderId="0"/>
    <xf numFmtId="0" fontId="10" fillId="0" borderId="0"/>
    <xf numFmtId="0" fontId="2" fillId="0" borderId="0"/>
    <xf numFmtId="0" fontId="2" fillId="0" borderId="0"/>
    <xf numFmtId="0" fontId="54" fillId="0" borderId="0"/>
    <xf numFmtId="0" fontId="92" fillId="0" borderId="0"/>
    <xf numFmtId="164" fontId="1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8" fillId="0" borderId="0"/>
    <xf numFmtId="0" fontId="2" fillId="0" borderId="0"/>
    <xf numFmtId="0" fontId="2" fillId="0" borderId="0"/>
    <xf numFmtId="0" fontId="9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3" fillId="0" borderId="0"/>
    <xf numFmtId="0" fontId="2" fillId="0" borderId="0"/>
    <xf numFmtId="0" fontId="2" fillId="0" borderId="0"/>
    <xf numFmtId="0" fontId="2" fillId="0" borderId="0"/>
    <xf numFmtId="0" fontId="2" fillId="0" borderId="0"/>
    <xf numFmtId="0" fontId="2" fillId="0" borderId="0"/>
    <xf numFmtId="168" fontId="54" fillId="0" borderId="0" applyBorder="0" applyProtection="0"/>
    <xf numFmtId="0" fontId="2" fillId="0" borderId="0"/>
    <xf numFmtId="0" fontId="2" fillId="0" borderId="0"/>
    <xf numFmtId="0" fontId="2" fillId="0" borderId="0"/>
    <xf numFmtId="0" fontId="2" fillId="0" borderId="0"/>
    <xf numFmtId="0" fontId="2" fillId="0" borderId="0"/>
    <xf numFmtId="0" fontId="2" fillId="0" borderId="0"/>
    <xf numFmtId="0" fontId="17" fillId="2" borderId="1" applyNumberFormat="0" applyAlignment="0" applyProtection="0"/>
    <xf numFmtId="0" fontId="2" fillId="0" borderId="0"/>
    <xf numFmtId="0" fontId="2" fillId="0" borderId="0"/>
    <xf numFmtId="0" fontId="23" fillId="0" borderId="6" applyNumberFormat="0" applyFill="0" applyAlignment="0" applyProtection="0"/>
    <xf numFmtId="0" fontId="21" fillId="5" borderId="5" applyNumberFormat="0" applyAlignment="0" applyProtection="0"/>
    <xf numFmtId="0" fontId="22" fillId="0" borderId="0" applyNumberFormat="0" applyFill="0" applyBorder="0" applyAlignment="0" applyProtection="0"/>
    <xf numFmtId="0" fontId="92" fillId="0" borderId="0"/>
    <xf numFmtId="0" fontId="10" fillId="0" borderId="0"/>
    <xf numFmtId="0" fontId="12" fillId="0" borderId="0"/>
    <xf numFmtId="0" fontId="24" fillId="0" borderId="0" applyNumberFormat="0" applyFill="0" applyBorder="0" applyAlignment="0" applyProtection="0"/>
    <xf numFmtId="0" fontId="1" fillId="0" borderId="0"/>
  </cellStyleXfs>
  <cellXfs count="947">
    <xf numFmtId="0" fontId="0" fillId="0" borderId="0" xfId="0"/>
    <xf numFmtId="0" fontId="16" fillId="0" borderId="0" xfId="39" applyFont="1"/>
    <xf numFmtId="0" fontId="30" fillId="0" borderId="0" xfId="0" applyFont="1" applyAlignment="1">
      <alignment horizontal="left" vertical="center"/>
    </xf>
    <xf numFmtId="0" fontId="30" fillId="0" borderId="0" xfId="39" applyFont="1"/>
    <xf numFmtId="0" fontId="62" fillId="0" borderId="0" xfId="0" applyFont="1"/>
    <xf numFmtId="0" fontId="70" fillId="0" borderId="0" xfId="0" applyFont="1"/>
    <xf numFmtId="0" fontId="71" fillId="0" borderId="0" xfId="0" applyFont="1"/>
    <xf numFmtId="0" fontId="76" fillId="0" borderId="0" xfId="35" applyFont="1"/>
    <xf numFmtId="0" fontId="77" fillId="0" borderId="0" xfId="35" applyFont="1" applyAlignment="1">
      <alignment horizontal="center" vertical="center"/>
    </xf>
    <xf numFmtId="0" fontId="65" fillId="0" borderId="0" xfId="0" applyFont="1"/>
    <xf numFmtId="2" fontId="79" fillId="0" borderId="0" xfId="36" applyNumberFormat="1" applyFont="1" applyFill="1" applyAlignment="1">
      <alignment horizontal="center" vertical="top"/>
    </xf>
    <xf numFmtId="0" fontId="75" fillId="0" borderId="0" xfId="35" applyFont="1" applyAlignment="1">
      <alignment horizontal="center" vertical="center"/>
    </xf>
    <xf numFmtId="0" fontId="65" fillId="0" borderId="0" xfId="36" applyFont="1">
      <alignment vertical="top"/>
    </xf>
    <xf numFmtId="0" fontId="61" fillId="0" borderId="0" xfId="0" applyFont="1"/>
    <xf numFmtId="0" fontId="91" fillId="0" borderId="0" xfId="0" applyFont="1" applyAlignment="1">
      <alignment horizontal="left" vertical="center"/>
    </xf>
    <xf numFmtId="0" fontId="52" fillId="0" borderId="0" xfId="0" applyFont="1" applyAlignment="1">
      <alignment horizontal="left" vertical="center"/>
    </xf>
    <xf numFmtId="0" fontId="53" fillId="0" borderId="0" xfId="0" applyFont="1" applyAlignment="1">
      <alignment horizontal="left" vertical="center"/>
    </xf>
    <xf numFmtId="4" fontId="29" fillId="0" borderId="0" xfId="36" applyNumberFormat="1" applyFont="1" applyFill="1" applyBorder="1" applyAlignment="1">
      <alignment horizontal="center" vertical="center" wrapText="1"/>
    </xf>
    <xf numFmtId="0" fontId="13" fillId="28" borderId="0" xfId="0" applyFont="1" applyFill="1" applyAlignment="1">
      <alignment vertical="center"/>
    </xf>
    <xf numFmtId="0" fontId="30" fillId="28" borderId="0" xfId="0" applyFont="1" applyFill="1" applyAlignment="1">
      <alignment vertical="center"/>
    </xf>
    <xf numFmtId="0" fontId="61" fillId="28" borderId="0" xfId="0" applyFont="1" applyFill="1"/>
    <xf numFmtId="0" fontId="0" fillId="28" borderId="0" xfId="0" applyFill="1"/>
    <xf numFmtId="0" fontId="30" fillId="28" borderId="0" xfId="0" applyFont="1" applyFill="1" applyAlignment="1">
      <alignment horizontal="right" vertical="center"/>
    </xf>
    <xf numFmtId="0" fontId="64" fillId="28" borderId="0" xfId="38" applyFont="1" applyFill="1" applyBorder="1" applyAlignment="1" applyProtection="1">
      <alignment horizontal="center" vertical="center" wrapText="1"/>
      <protection locked="0"/>
    </xf>
    <xf numFmtId="0" fontId="15" fillId="28" borderId="0" xfId="0" applyFont="1" applyFill="1"/>
    <xf numFmtId="0" fontId="62" fillId="28" borderId="0" xfId="0" applyFont="1" applyFill="1"/>
    <xf numFmtId="4" fontId="29" fillId="28" borderId="0" xfId="0" applyNumberFormat="1" applyFont="1" applyFill="1" applyAlignment="1">
      <alignment horizontal="left" vertical="center"/>
    </xf>
    <xf numFmtId="4" fontId="69" fillId="28" borderId="0" xfId="0" applyNumberFormat="1" applyFont="1" applyFill="1" applyAlignment="1">
      <alignment horizontal="left" vertical="center"/>
    </xf>
    <xf numFmtId="0" fontId="87" fillId="28" borderId="0" xfId="0" applyFont="1" applyFill="1"/>
    <xf numFmtId="4" fontId="74" fillId="28" borderId="0" xfId="0" applyNumberFormat="1" applyFont="1" applyFill="1" applyAlignment="1">
      <alignment horizontal="left" vertical="center"/>
    </xf>
    <xf numFmtId="4" fontId="60" fillId="28" borderId="0" xfId="0" applyNumberFormat="1" applyFont="1" applyFill="1" applyAlignment="1">
      <alignment horizontal="left" vertical="center"/>
    </xf>
    <xf numFmtId="4" fontId="63" fillId="28" borderId="0" xfId="0" applyNumberFormat="1" applyFont="1" applyFill="1" applyAlignment="1">
      <alignment horizontal="left" vertical="center"/>
    </xf>
    <xf numFmtId="4" fontId="89" fillId="28" borderId="0" xfId="0" applyNumberFormat="1" applyFont="1" applyFill="1" applyAlignment="1">
      <alignment horizontal="left" vertical="center"/>
    </xf>
    <xf numFmtId="0" fontId="36" fillId="28" borderId="0" xfId="0" applyFont="1" applyFill="1"/>
    <xf numFmtId="4" fontId="81" fillId="28" borderId="0" xfId="0" applyNumberFormat="1" applyFont="1" applyFill="1" applyAlignment="1">
      <alignment horizontal="left" vertical="center"/>
    </xf>
    <xf numFmtId="4" fontId="64" fillId="28" borderId="0" xfId="0" applyNumberFormat="1" applyFont="1" applyFill="1" applyAlignment="1">
      <alignment horizontal="left" vertical="center"/>
    </xf>
    <xf numFmtId="0" fontId="70" fillId="28" borderId="0" xfId="0" applyFont="1" applyFill="1"/>
    <xf numFmtId="4" fontId="30" fillId="28" borderId="0" xfId="0" applyNumberFormat="1" applyFont="1" applyFill="1" applyAlignment="1">
      <alignment horizontal="left" vertical="center"/>
    </xf>
    <xf numFmtId="4" fontId="41" fillId="28" borderId="0" xfId="0" applyNumberFormat="1" applyFont="1" applyFill="1"/>
    <xf numFmtId="4" fontId="72" fillId="28" borderId="0" xfId="0" applyNumberFormat="1" applyFont="1" applyFill="1" applyAlignment="1">
      <alignment horizontal="left" vertical="center"/>
    </xf>
    <xf numFmtId="4" fontId="88" fillId="28" borderId="0" xfId="0" applyNumberFormat="1" applyFont="1" applyFill="1" applyAlignment="1">
      <alignment horizontal="left" vertical="center"/>
    </xf>
    <xf numFmtId="49" fontId="64" fillId="28" borderId="15" xfId="0" applyNumberFormat="1" applyFont="1" applyFill="1" applyBorder="1" applyAlignment="1">
      <alignment horizontal="center" vertical="center" wrapText="1"/>
    </xf>
    <xf numFmtId="4" fontId="68" fillId="28" borderId="15" xfId="0" applyNumberFormat="1" applyFont="1" applyFill="1" applyBorder="1" applyAlignment="1">
      <alignment horizontal="center" vertical="center" wrapText="1"/>
    </xf>
    <xf numFmtId="4" fontId="65" fillId="28" borderId="15" xfId="0" applyNumberFormat="1" applyFont="1" applyFill="1" applyBorder="1" applyAlignment="1">
      <alignment horizontal="center" vertical="center" wrapText="1"/>
    </xf>
    <xf numFmtId="4" fontId="65" fillId="28" borderId="15" xfId="0" applyNumberFormat="1" applyFont="1" applyFill="1" applyBorder="1" applyAlignment="1">
      <alignment horizontal="center" vertical="center"/>
    </xf>
    <xf numFmtId="4" fontId="31" fillId="28" borderId="0" xfId="0" applyNumberFormat="1" applyFont="1" applyFill="1" applyAlignment="1">
      <alignment horizontal="center" vertical="center" wrapText="1"/>
    </xf>
    <xf numFmtId="4" fontId="31" fillId="28" borderId="0" xfId="0" applyNumberFormat="1" applyFont="1" applyFill="1" applyAlignment="1">
      <alignment horizontal="left" vertical="center" wrapText="1"/>
    </xf>
    <xf numFmtId="4" fontId="68" fillId="28" borderId="0" xfId="0" applyNumberFormat="1" applyFont="1" applyFill="1" applyAlignment="1">
      <alignment horizontal="center" vertical="center" wrapText="1"/>
    </xf>
    <xf numFmtId="4" fontId="32" fillId="28" borderId="0" xfId="0" applyNumberFormat="1" applyFont="1" applyFill="1" applyAlignment="1">
      <alignment horizontal="left" vertical="center" wrapText="1"/>
    </xf>
    <xf numFmtId="4" fontId="32" fillId="28" borderId="0" xfId="0" applyNumberFormat="1" applyFont="1" applyFill="1" applyAlignment="1">
      <alignment horizontal="center" vertical="center" wrapText="1"/>
    </xf>
    <xf numFmtId="4" fontId="68" fillId="28" borderId="0" xfId="0" applyNumberFormat="1" applyFont="1" applyFill="1" applyAlignment="1">
      <alignment horizontal="left" vertical="center" wrapText="1"/>
    </xf>
    <xf numFmtId="4" fontId="80" fillId="28" borderId="0" xfId="0" applyNumberFormat="1" applyFont="1" applyFill="1" applyAlignment="1">
      <alignment horizontal="left" vertical="center" wrapText="1"/>
    </xf>
    <xf numFmtId="4" fontId="86" fillId="28" borderId="0" xfId="0" applyNumberFormat="1" applyFont="1" applyFill="1" applyAlignment="1">
      <alignment horizontal="left" vertical="center" wrapText="1"/>
    </xf>
    <xf numFmtId="4" fontId="82" fillId="28" borderId="0" xfId="0" applyNumberFormat="1" applyFont="1" applyFill="1" applyAlignment="1">
      <alignment horizontal="left" vertical="center" wrapText="1"/>
    </xf>
    <xf numFmtId="4" fontId="83" fillId="28" borderId="0" xfId="0" applyNumberFormat="1" applyFont="1" applyFill="1" applyAlignment="1">
      <alignment horizontal="center" vertical="center" wrapText="1"/>
    </xf>
    <xf numFmtId="4" fontId="51" fillId="28" borderId="0" xfId="0" applyNumberFormat="1" applyFont="1" applyFill="1" applyAlignment="1">
      <alignment vertical="center"/>
    </xf>
    <xf numFmtId="4" fontId="64" fillId="28" borderId="0" xfId="0" applyNumberFormat="1" applyFont="1" applyFill="1" applyAlignment="1">
      <alignment horizontal="center" vertical="center"/>
    </xf>
    <xf numFmtId="0" fontId="14" fillId="28" borderId="0" xfId="0" applyFont="1" applyFill="1" applyAlignment="1">
      <alignment vertical="center"/>
    </xf>
    <xf numFmtId="0" fontId="84" fillId="28" borderId="0" xfId="0" applyFont="1" applyFill="1" applyAlignment="1">
      <alignment vertical="center"/>
    </xf>
    <xf numFmtId="4" fontId="14" fillId="28" borderId="0" xfId="0" applyNumberFormat="1" applyFont="1" applyFill="1" applyAlignment="1">
      <alignment vertical="center"/>
    </xf>
    <xf numFmtId="4" fontId="13" fillId="28" borderId="0" xfId="0" applyNumberFormat="1" applyFont="1" applyFill="1" applyAlignment="1">
      <alignment vertical="center"/>
    </xf>
    <xf numFmtId="0" fontId="85" fillId="28" borderId="0" xfId="0" applyFont="1" applyFill="1" applyAlignment="1">
      <alignment vertical="center"/>
    </xf>
    <xf numFmtId="4" fontId="55" fillId="28" borderId="0" xfId="0" applyNumberFormat="1" applyFont="1" applyFill="1" applyAlignment="1">
      <alignment vertical="center"/>
    </xf>
    <xf numFmtId="167" fontId="37" fillId="28" borderId="0" xfId="0" applyNumberFormat="1" applyFont="1" applyFill="1" applyAlignment="1">
      <alignment vertical="center"/>
    </xf>
    <xf numFmtId="4" fontId="29" fillId="29" borderId="0" xfId="36" applyNumberFormat="1" applyFont="1" applyFill="1" applyBorder="1" applyAlignment="1">
      <alignment horizontal="center" vertical="center" wrapText="1"/>
    </xf>
    <xf numFmtId="4" fontId="73" fillId="28" borderId="0" xfId="0" applyNumberFormat="1" applyFont="1" applyFill="1" applyAlignment="1">
      <alignment vertical="center"/>
    </xf>
    <xf numFmtId="0" fontId="29" fillId="28" borderId="0" xfId="0" applyFont="1" applyFill="1" applyAlignment="1">
      <alignment horizontal="right" vertical="center"/>
    </xf>
    <xf numFmtId="0" fontId="55" fillId="28" borderId="0" xfId="0" applyFont="1" applyFill="1" applyAlignment="1">
      <alignment vertical="center"/>
    </xf>
    <xf numFmtId="4" fontId="59" fillId="28" borderId="0" xfId="0" applyNumberFormat="1" applyFont="1" applyFill="1" applyAlignment="1">
      <alignment vertical="center"/>
    </xf>
    <xf numFmtId="4" fontId="37" fillId="28" borderId="0" xfId="0" applyNumberFormat="1" applyFont="1" applyFill="1" applyAlignment="1">
      <alignment vertical="center"/>
    </xf>
    <xf numFmtId="0" fontId="56" fillId="28" borderId="0" xfId="0" applyFont="1" applyFill="1"/>
    <xf numFmtId="10" fontId="37" fillId="28" borderId="0" xfId="0" applyNumberFormat="1" applyFont="1" applyFill="1" applyAlignment="1">
      <alignment vertical="center"/>
    </xf>
    <xf numFmtId="0" fontId="37" fillId="28" borderId="0" xfId="0" applyFont="1" applyFill="1" applyAlignment="1">
      <alignment vertical="center"/>
    </xf>
    <xf numFmtId="4" fontId="64" fillId="28" borderId="15" xfId="0" applyNumberFormat="1" applyFont="1" applyFill="1" applyBorder="1" applyAlignment="1">
      <alignment horizontal="center" vertical="center" wrapText="1"/>
    </xf>
    <xf numFmtId="2" fontId="78" fillId="28" borderId="0" xfId="36" applyNumberFormat="1" applyFont="1" applyFill="1" applyAlignment="1">
      <alignment horizontal="center" vertical="top"/>
    </xf>
    <xf numFmtId="0" fontId="13" fillId="0" borderId="0" xfId="0" applyFont="1" applyAlignment="1">
      <alignment vertical="center"/>
    </xf>
    <xf numFmtId="0" fontId="30" fillId="0" borderId="0" xfId="0" applyFont="1" applyAlignment="1">
      <alignment vertical="center"/>
    </xf>
    <xf numFmtId="0" fontId="29" fillId="0" borderId="0" xfId="0" applyFont="1" applyAlignment="1">
      <alignment horizontal="center" vertical="center"/>
    </xf>
    <xf numFmtId="0" fontId="30" fillId="0" borderId="0" xfId="0" applyFont="1" applyAlignment="1">
      <alignment horizontal="center" vertical="center"/>
    </xf>
    <xf numFmtId="4" fontId="95" fillId="28" borderId="0" xfId="0" applyNumberFormat="1" applyFont="1" applyFill="1" applyAlignment="1">
      <alignment vertical="center"/>
    </xf>
    <xf numFmtId="0" fontId="94" fillId="0" borderId="0" xfId="0" applyFont="1"/>
    <xf numFmtId="0" fontId="94" fillId="28" borderId="0" xfId="0" applyFont="1" applyFill="1"/>
    <xf numFmtId="4" fontId="97" fillId="28" borderId="0" xfId="0" applyNumberFormat="1" applyFont="1" applyFill="1"/>
    <xf numFmtId="4" fontId="96" fillId="28" borderId="0" xfId="0" applyNumberFormat="1" applyFont="1" applyFill="1" applyAlignment="1">
      <alignment horizontal="center" vertical="center"/>
    </xf>
    <xf numFmtId="4" fontId="98" fillId="29" borderId="15" xfId="0" applyNumberFormat="1" applyFont="1" applyFill="1" applyBorder="1" applyAlignment="1">
      <alignment horizontal="center" vertical="center"/>
    </xf>
    <xf numFmtId="4" fontId="100" fillId="28" borderId="0" xfId="0" applyNumberFormat="1" applyFont="1" applyFill="1" applyAlignment="1">
      <alignment vertical="center"/>
    </xf>
    <xf numFmtId="4" fontId="101" fillId="28" borderId="0" xfId="0" applyNumberFormat="1" applyFont="1" applyFill="1" applyAlignment="1">
      <alignment vertical="center"/>
    </xf>
    <xf numFmtId="0" fontId="102" fillId="28" borderId="0" xfId="0" applyFont="1" applyFill="1" applyAlignment="1">
      <alignment vertical="center"/>
    </xf>
    <xf numFmtId="0" fontId="103" fillId="28" borderId="0" xfId="0" applyFont="1" applyFill="1" applyAlignment="1">
      <alignment vertical="center"/>
    </xf>
    <xf numFmtId="165" fontId="104" fillId="28" borderId="0" xfId="0" applyNumberFormat="1" applyFont="1" applyFill="1" applyAlignment="1">
      <alignment horizontal="right" vertical="center" wrapText="1"/>
    </xf>
    <xf numFmtId="165" fontId="105" fillId="28" borderId="0" xfId="0" applyNumberFormat="1" applyFont="1" applyFill="1" applyAlignment="1">
      <alignment horizontal="right" vertical="center" wrapText="1"/>
    </xf>
    <xf numFmtId="165" fontId="95" fillId="28" borderId="0" xfId="0" applyNumberFormat="1" applyFont="1" applyFill="1" applyAlignment="1">
      <alignment horizontal="right" vertical="center" wrapText="1"/>
    </xf>
    <xf numFmtId="0" fontId="105" fillId="28" borderId="0" xfId="0" applyFont="1" applyFill="1" applyAlignment="1">
      <alignment vertical="center"/>
    </xf>
    <xf numFmtId="0" fontId="104" fillId="28" borderId="0" xfId="0" applyFont="1" applyFill="1" applyAlignment="1">
      <alignment vertical="center"/>
    </xf>
    <xf numFmtId="4" fontId="104" fillId="28" borderId="0" xfId="0" applyNumberFormat="1" applyFont="1" applyFill="1" applyAlignment="1">
      <alignment vertical="center"/>
    </xf>
    <xf numFmtId="2" fontId="106" fillId="28" borderId="0" xfId="0" applyNumberFormat="1" applyFont="1" applyFill="1" applyAlignment="1">
      <alignment horizontal="center" vertical="center"/>
    </xf>
    <xf numFmtId="4" fontId="99" fillId="29" borderId="14" xfId="0" applyNumberFormat="1" applyFont="1" applyFill="1" applyBorder="1" applyAlignment="1">
      <alignment horizontal="center" vertical="center" wrapText="1"/>
    </xf>
    <xf numFmtId="10" fontId="101" fillId="28" borderId="0" xfId="0" applyNumberFormat="1" applyFont="1" applyFill="1" applyAlignment="1">
      <alignment vertical="center"/>
    </xf>
    <xf numFmtId="0" fontId="39" fillId="0" borderId="0" xfId="36" applyFont="1" applyAlignment="1">
      <alignment horizontal="center" vertical="center"/>
    </xf>
    <xf numFmtId="0" fontId="78" fillId="0" borderId="0" xfId="36" applyFont="1">
      <alignment vertical="top"/>
    </xf>
    <xf numFmtId="0" fontId="39" fillId="0" borderId="0" xfId="36" applyFont="1" applyAlignment="1">
      <alignment horizontal="center"/>
    </xf>
    <xf numFmtId="0" fontId="39" fillId="0" borderId="0" xfId="0" applyFont="1" applyAlignment="1">
      <alignment horizontal="center"/>
    </xf>
    <xf numFmtId="0" fontId="39" fillId="0" borderId="0" xfId="36" applyFont="1" applyAlignment="1">
      <alignment horizontal="center" vertical="top"/>
    </xf>
    <xf numFmtId="49" fontId="30" fillId="0" borderId="15" xfId="0" applyNumberFormat="1" applyFont="1" applyBorder="1" applyAlignment="1">
      <alignment horizontal="center" vertical="center" wrapText="1"/>
    </xf>
    <xf numFmtId="0" fontId="75" fillId="0" borderId="0" xfId="39" applyFont="1"/>
    <xf numFmtId="0" fontId="67" fillId="0" borderId="0" xfId="39" applyFont="1" applyAlignment="1">
      <alignment wrapText="1"/>
    </xf>
    <xf numFmtId="0" fontId="110" fillId="0" borderId="0" xfId="39" applyFont="1" applyAlignment="1">
      <alignment wrapText="1"/>
    </xf>
    <xf numFmtId="0" fontId="111" fillId="0" borderId="0" xfId="39" applyFont="1" applyAlignment="1">
      <alignment wrapText="1"/>
    </xf>
    <xf numFmtId="0" fontId="75" fillId="0" borderId="0" xfId="39" applyFont="1" applyAlignment="1">
      <alignment wrapText="1"/>
    </xf>
    <xf numFmtId="0" fontId="114" fillId="0" borderId="0" xfId="39" applyFont="1" applyAlignment="1">
      <alignment wrapText="1"/>
    </xf>
    <xf numFmtId="4" fontId="112" fillId="28" borderId="24" xfId="39" applyNumberFormat="1" applyFont="1" applyFill="1" applyBorder="1" applyAlignment="1">
      <alignment horizontal="center" vertical="center" wrapText="1"/>
    </xf>
    <xf numFmtId="4" fontId="113" fillId="28" borderId="24" xfId="39" applyNumberFormat="1" applyFont="1" applyFill="1" applyBorder="1" applyAlignment="1">
      <alignment horizontal="center" vertical="center" wrapText="1"/>
    </xf>
    <xf numFmtId="0" fontId="75" fillId="0" borderId="0" xfId="39" applyFont="1" applyAlignment="1">
      <alignment vertical="center"/>
    </xf>
    <xf numFmtId="4" fontId="75" fillId="0" borderId="0" xfId="39" applyNumberFormat="1" applyFont="1"/>
    <xf numFmtId="0" fontId="107" fillId="0" borderId="0" xfId="0" applyFont="1" applyAlignment="1">
      <alignment horizontal="justify" vertical="center"/>
    </xf>
    <xf numFmtId="0" fontId="108" fillId="0" borderId="0" xfId="39" applyFont="1"/>
    <xf numFmtId="4" fontId="61" fillId="28" borderId="0" xfId="0" applyNumberFormat="1" applyFont="1" applyFill="1"/>
    <xf numFmtId="4" fontId="61" fillId="0" borderId="0" xfId="0" applyNumberFormat="1" applyFont="1"/>
    <xf numFmtId="0" fontId="75" fillId="28" borderId="24" xfId="0" applyFont="1" applyFill="1" applyBorder="1" applyAlignment="1">
      <alignment horizontal="center" vertical="center" wrapText="1"/>
    </xf>
    <xf numFmtId="0" fontId="75" fillId="28" borderId="24" xfId="0" applyFont="1" applyFill="1" applyBorder="1" applyAlignment="1">
      <alignment horizontal="left" vertical="center" wrapText="1"/>
    </xf>
    <xf numFmtId="4" fontId="75" fillId="28" borderId="24" xfId="0" applyNumberFormat="1" applyFont="1" applyFill="1" applyBorder="1" applyAlignment="1">
      <alignment horizontal="center" vertical="center" wrapText="1"/>
    </xf>
    <xf numFmtId="4" fontId="62" fillId="28" borderId="0" xfId="0" applyNumberFormat="1" applyFont="1" applyFill="1"/>
    <xf numFmtId="4" fontId="62" fillId="0" borderId="0" xfId="0" applyNumberFormat="1" applyFont="1"/>
    <xf numFmtId="0" fontId="75" fillId="0" borderId="0" xfId="0" applyFont="1"/>
    <xf numFmtId="0" fontId="64" fillId="0" borderId="0" xfId="0" applyFont="1"/>
    <xf numFmtId="49" fontId="60" fillId="0" borderId="15" xfId="0" applyNumberFormat="1" applyFont="1" applyBorder="1" applyAlignment="1">
      <alignment horizontal="center" vertical="center" wrapText="1"/>
    </xf>
    <xf numFmtId="49" fontId="64" fillId="28" borderId="0" xfId="0" applyNumberFormat="1" applyFont="1" applyFill="1" applyAlignment="1">
      <alignment horizontal="center" vertical="center" wrapText="1"/>
    </xf>
    <xf numFmtId="4" fontId="68" fillId="0" borderId="15" xfId="0" applyNumberFormat="1" applyFont="1" applyBorder="1" applyAlignment="1">
      <alignment horizontal="center" vertical="center" wrapText="1"/>
    </xf>
    <xf numFmtId="49" fontId="64" fillId="0" borderId="15" xfId="0" applyNumberFormat="1" applyFont="1" applyBorder="1" applyAlignment="1">
      <alignment horizontal="center" vertical="center" wrapText="1"/>
    </xf>
    <xf numFmtId="4" fontId="65" fillId="0" borderId="15" xfId="38" applyNumberFormat="1" applyFont="1" applyFill="1" applyBorder="1" applyAlignment="1" applyProtection="1">
      <alignment horizontal="center" vertical="center" wrapText="1"/>
      <protection locked="0"/>
    </xf>
    <xf numFmtId="4" fontId="65" fillId="0" borderId="15" xfId="38" applyNumberFormat="1" applyFont="1" applyFill="1" applyBorder="1" applyAlignment="1">
      <alignment horizontal="center" vertical="center" wrapText="1"/>
    </xf>
    <xf numFmtId="4" fontId="68" fillId="0" borderId="15" xfId="38" applyNumberFormat="1" applyFont="1" applyFill="1" applyBorder="1" applyAlignment="1">
      <alignment horizontal="center" vertical="center" wrapText="1"/>
    </xf>
    <xf numFmtId="4" fontId="65" fillId="0" borderId="15" xfId="0" applyNumberFormat="1" applyFont="1" applyBorder="1" applyAlignment="1">
      <alignment horizontal="center" vertical="center"/>
    </xf>
    <xf numFmtId="0" fontId="109" fillId="28" borderId="0" xfId="0" applyFont="1" applyFill="1"/>
    <xf numFmtId="4" fontId="65" fillId="0" borderId="15" xfId="0" applyNumberFormat="1" applyFont="1" applyBorder="1" applyAlignment="1">
      <alignment horizontal="center" vertical="center" wrapText="1"/>
    </xf>
    <xf numFmtId="0" fontId="112" fillId="28" borderId="0" xfId="0" applyFont="1" applyFill="1"/>
    <xf numFmtId="49" fontId="63" fillId="0" borderId="15" xfId="0" applyNumberFormat="1" applyFont="1" applyBorder="1" applyAlignment="1">
      <alignment horizontal="center" vertical="center" wrapText="1"/>
    </xf>
    <xf numFmtId="4" fontId="80" fillId="0" borderId="15" xfId="0" applyNumberFormat="1" applyFont="1" applyBorder="1" applyAlignment="1">
      <alignment horizontal="center" vertical="center" wrapText="1"/>
    </xf>
    <xf numFmtId="0" fontId="113" fillId="28" borderId="0" xfId="0" applyFont="1" applyFill="1"/>
    <xf numFmtId="0" fontId="75" fillId="28" borderId="0" xfId="0" applyFont="1" applyFill="1"/>
    <xf numFmtId="49" fontId="89" fillId="0" borderId="15" xfId="0" applyNumberFormat="1" applyFont="1" applyBorder="1" applyAlignment="1">
      <alignment horizontal="center" vertical="center" wrapText="1"/>
    </xf>
    <xf numFmtId="4" fontId="115" fillId="0" borderId="15" xfId="0" applyNumberFormat="1" applyFont="1" applyBorder="1" applyAlignment="1">
      <alignment horizontal="center" vertical="center" wrapText="1"/>
    </xf>
    <xf numFmtId="4" fontId="116" fillId="28" borderId="0" xfId="0" applyNumberFormat="1" applyFont="1" applyFill="1" applyAlignment="1">
      <alignment horizontal="center" vertical="center"/>
    </xf>
    <xf numFmtId="4" fontId="71" fillId="28" borderId="0" xfId="0" applyNumberFormat="1" applyFont="1" applyFill="1"/>
    <xf numFmtId="49" fontId="89" fillId="28" borderId="15" xfId="0" applyNumberFormat="1" applyFont="1" applyFill="1" applyBorder="1" applyAlignment="1">
      <alignment horizontal="center" vertical="center" wrapText="1"/>
    </xf>
    <xf numFmtId="4" fontId="115" fillId="28" borderId="15" xfId="0" applyNumberFormat="1" applyFont="1" applyFill="1" applyBorder="1" applyAlignment="1">
      <alignment horizontal="center" vertical="center" wrapText="1"/>
    </xf>
    <xf numFmtId="49" fontId="60" fillId="28" borderId="15" xfId="0" applyNumberFormat="1" applyFont="1" applyFill="1" applyBorder="1" applyAlignment="1">
      <alignment horizontal="center" vertical="center" wrapText="1"/>
    </xf>
    <xf numFmtId="49" fontId="63" fillId="28" borderId="15" xfId="0" applyNumberFormat="1" applyFont="1" applyFill="1" applyBorder="1" applyAlignment="1">
      <alignment horizontal="center" vertical="center" wrapText="1"/>
    </xf>
    <xf numFmtId="4" fontId="80" fillId="28" borderId="15" xfId="0" applyNumberFormat="1" applyFont="1" applyFill="1" applyBorder="1" applyAlignment="1">
      <alignment horizontal="center" vertical="center" wrapText="1"/>
    </xf>
    <xf numFmtId="0" fontId="118" fillId="28" borderId="0" xfId="0" applyFont="1" applyFill="1"/>
    <xf numFmtId="4" fontId="65" fillId="28" borderId="0" xfId="0" applyNumberFormat="1" applyFont="1" applyFill="1" applyAlignment="1">
      <alignment horizontal="center" vertical="center" wrapText="1"/>
    </xf>
    <xf numFmtId="0" fontId="64" fillId="0" borderId="15" xfId="0" applyFont="1" applyBorder="1" applyAlignment="1">
      <alignment horizontal="center" vertical="center" wrapText="1"/>
    </xf>
    <xf numFmtId="4" fontId="68" fillId="0" borderId="15" xfId="38" applyNumberFormat="1" applyFont="1" applyFill="1" applyBorder="1" applyAlignment="1" applyProtection="1">
      <alignment horizontal="center" vertical="center" wrapText="1"/>
      <protection locked="0"/>
    </xf>
    <xf numFmtId="0" fontId="89" fillId="0" borderId="15" xfId="38" applyFont="1" applyFill="1" applyBorder="1" applyAlignment="1" applyProtection="1">
      <alignment horizontal="center" vertical="center" wrapText="1"/>
      <protection locked="0"/>
    </xf>
    <xf numFmtId="0" fontId="64" fillId="28" borderId="15" xfId="38" applyFont="1" applyFill="1" applyBorder="1" applyAlignment="1" applyProtection="1">
      <alignment horizontal="center" vertical="center" wrapText="1"/>
      <protection locked="0"/>
    </xf>
    <xf numFmtId="0" fontId="64" fillId="0" borderId="0" xfId="38" applyFont="1" applyFill="1" applyBorder="1" applyAlignment="1" applyProtection="1">
      <alignment horizontal="center" wrapText="1"/>
      <protection locked="0"/>
    </xf>
    <xf numFmtId="0" fontId="64" fillId="0" borderId="17" xfId="38" applyFont="1" applyFill="1" applyBorder="1" applyAlignment="1" applyProtection="1">
      <alignment horizontal="center" vertical="top" wrapText="1"/>
      <protection locked="0"/>
    </xf>
    <xf numFmtId="4" fontId="115" fillId="28" borderId="0" xfId="0" applyNumberFormat="1" applyFont="1" applyFill="1" applyAlignment="1">
      <alignment horizontal="center" vertical="center" wrapText="1"/>
    </xf>
    <xf numFmtId="4" fontId="115" fillId="0" borderId="15" xfId="38" applyNumberFormat="1" applyFont="1" applyFill="1" applyBorder="1" applyAlignment="1" applyProtection="1">
      <alignment horizontal="center" vertical="center" wrapText="1"/>
      <protection locked="0"/>
    </xf>
    <xf numFmtId="4" fontId="80" fillId="0" borderId="15" xfId="38" applyNumberFormat="1" applyFont="1" applyFill="1" applyBorder="1" applyAlignment="1" applyProtection="1">
      <alignment horizontal="center" vertical="center" wrapText="1"/>
      <protection locked="0"/>
    </xf>
    <xf numFmtId="4" fontId="68" fillId="28" borderId="15" xfId="38" applyNumberFormat="1" applyFont="1" applyFill="1" applyBorder="1" applyAlignment="1" applyProtection="1">
      <alignment horizontal="center" vertical="center" wrapText="1"/>
      <protection locked="0"/>
    </xf>
    <xf numFmtId="4" fontId="65" fillId="28" borderId="15" xfId="38" applyNumberFormat="1" applyFont="1" applyFill="1" applyBorder="1" applyAlignment="1" applyProtection="1">
      <alignment horizontal="center" vertical="center" wrapText="1"/>
      <protection locked="0"/>
    </xf>
    <xf numFmtId="0" fontId="107" fillId="28" borderId="0" xfId="0" applyFont="1" applyFill="1"/>
    <xf numFmtId="0" fontId="64" fillId="28" borderId="0" xfId="38" applyFont="1" applyFill="1" applyBorder="1" applyAlignment="1" applyProtection="1">
      <alignment horizontal="center" wrapText="1"/>
      <protection locked="0"/>
    </xf>
    <xf numFmtId="0" fontId="64" fillId="28" borderId="17" xfId="38" applyFont="1" applyFill="1" applyBorder="1" applyAlignment="1" applyProtection="1">
      <alignment horizontal="center" vertical="top" wrapText="1"/>
      <protection locked="0"/>
    </xf>
    <xf numFmtId="4" fontId="63" fillId="0" borderId="15" xfId="38" applyNumberFormat="1" applyFont="1" applyFill="1" applyBorder="1" applyAlignment="1" applyProtection="1">
      <alignment horizontal="center" vertical="center" wrapText="1"/>
      <protection locked="0"/>
    </xf>
    <xf numFmtId="0" fontId="63" fillId="0" borderId="15" xfId="0" applyFont="1" applyBorder="1" applyAlignment="1">
      <alignment horizontal="center" vertical="center" wrapText="1"/>
    </xf>
    <xf numFmtId="0" fontId="89" fillId="0" borderId="15" xfId="0" applyFont="1" applyBorder="1" applyAlignment="1">
      <alignment horizontal="center" vertical="center" wrapText="1"/>
    </xf>
    <xf numFmtId="0" fontId="119" fillId="0" borderId="0" xfId="0" applyFont="1" applyAlignment="1">
      <alignment horizontal="left" vertical="center"/>
    </xf>
    <xf numFmtId="0" fontId="120" fillId="0" borderId="0" xfId="0" applyFont="1" applyAlignment="1">
      <alignment horizontal="left" vertical="center"/>
    </xf>
    <xf numFmtId="0" fontId="75" fillId="0" borderId="0" xfId="35" applyFont="1"/>
    <xf numFmtId="0" fontId="76" fillId="0" borderId="9" xfId="35" applyFont="1" applyBorder="1"/>
    <xf numFmtId="0" fontId="76" fillId="0" borderId="10" xfId="35" applyFont="1" applyBorder="1"/>
    <xf numFmtId="0" fontId="111" fillId="0" borderId="0" xfId="35" applyFont="1"/>
    <xf numFmtId="49" fontId="114" fillId="36" borderId="15" xfId="0" applyNumberFormat="1" applyFont="1" applyFill="1" applyBorder="1" applyAlignment="1">
      <alignment horizontal="center" vertical="center" wrapText="1"/>
    </xf>
    <xf numFmtId="0" fontId="114" fillId="36" borderId="15" xfId="38" applyFont="1" applyFill="1" applyBorder="1" applyAlignment="1" applyProtection="1">
      <alignment horizontal="center" vertical="center" wrapText="1"/>
      <protection locked="0"/>
    </xf>
    <xf numFmtId="4" fontId="114" fillId="36" borderId="15" xfId="0" applyNumberFormat="1" applyFont="1" applyFill="1" applyBorder="1" applyAlignment="1">
      <alignment horizontal="center" vertical="center" wrapText="1"/>
    </xf>
    <xf numFmtId="0" fontId="121" fillId="0" borderId="0" xfId="35" applyFont="1"/>
    <xf numFmtId="49" fontId="110" fillId="35" borderId="15" xfId="0" applyNumberFormat="1" applyFont="1" applyFill="1" applyBorder="1" applyAlignment="1">
      <alignment horizontal="center" vertical="center" wrapText="1"/>
    </xf>
    <xf numFmtId="0" fontId="110" fillId="35" borderId="15" xfId="38" applyFont="1" applyFill="1" applyBorder="1" applyAlignment="1" applyProtection="1">
      <alignment horizontal="center" vertical="center" wrapText="1"/>
      <protection locked="0"/>
    </xf>
    <xf numFmtId="4" fontId="110" fillId="35" borderId="15" xfId="0" applyNumberFormat="1" applyFont="1" applyFill="1" applyBorder="1" applyAlignment="1">
      <alignment horizontal="center" vertical="center" wrapText="1"/>
    </xf>
    <xf numFmtId="0" fontId="67" fillId="0" borderId="0" xfId="35" applyFont="1" applyAlignment="1">
      <alignment horizontal="center" vertical="center" wrapText="1"/>
    </xf>
    <xf numFmtId="4" fontId="110" fillId="0" borderId="0" xfId="35" applyNumberFormat="1" applyFont="1" applyAlignment="1">
      <alignment horizontal="center" vertical="center"/>
    </xf>
    <xf numFmtId="0" fontId="122" fillId="0" borderId="0" xfId="0" applyFont="1" applyAlignment="1">
      <alignment vertical="center"/>
    </xf>
    <xf numFmtId="4" fontId="123" fillId="0" borderId="0" xfId="0" applyNumberFormat="1" applyFont="1" applyAlignment="1">
      <alignment vertical="center"/>
    </xf>
    <xf numFmtId="4" fontId="124" fillId="0" borderId="0" xfId="0" applyNumberFormat="1" applyFont="1" applyAlignment="1">
      <alignment vertical="center"/>
    </xf>
    <xf numFmtId="0" fontId="124" fillId="0" borderId="0" xfId="0" applyFont="1" applyAlignment="1">
      <alignment vertical="center"/>
    </xf>
    <xf numFmtId="4" fontId="122" fillId="0" borderId="0" xfId="0" applyNumberFormat="1" applyFont="1" applyAlignment="1">
      <alignment vertical="center"/>
    </xf>
    <xf numFmtId="0" fontId="123" fillId="0" borderId="0" xfId="0" applyFont="1" applyAlignment="1">
      <alignment vertical="center"/>
    </xf>
    <xf numFmtId="0" fontId="125" fillId="0" borderId="0" xfId="35" applyFont="1"/>
    <xf numFmtId="0" fontId="65" fillId="0" borderId="0" xfId="35" applyFont="1"/>
    <xf numFmtId="0" fontId="126" fillId="0" borderId="0" xfId="35" applyFont="1"/>
    <xf numFmtId="0" fontId="84" fillId="0" borderId="0" xfId="0" applyFont="1" applyAlignment="1">
      <alignment vertical="center"/>
    </xf>
    <xf numFmtId="0" fontId="127" fillId="27" borderId="0" xfId="0" applyFont="1" applyFill="1"/>
    <xf numFmtId="0" fontId="61" fillId="27" borderId="0" xfId="0" applyFont="1" applyFill="1"/>
    <xf numFmtId="0" fontId="62" fillId="27" borderId="0" xfId="0" applyFont="1" applyFill="1"/>
    <xf numFmtId="4" fontId="64" fillId="0" borderId="15" xfId="0" applyNumberFormat="1" applyFont="1" applyBorder="1" applyAlignment="1">
      <alignment horizontal="center" vertical="center" wrapText="1"/>
    </xf>
    <xf numFmtId="0" fontId="128" fillId="27" borderId="0" xfId="0" applyFont="1" applyFill="1"/>
    <xf numFmtId="49" fontId="64" fillId="27" borderId="15" xfId="0" applyNumberFormat="1" applyFont="1" applyFill="1" applyBorder="1" applyAlignment="1">
      <alignment horizontal="center" vertical="center" wrapText="1"/>
    </xf>
    <xf numFmtId="4" fontId="64" fillId="27" borderId="15" xfId="0" applyNumberFormat="1" applyFont="1" applyFill="1" applyBorder="1" applyAlignment="1">
      <alignment horizontal="center" vertical="center" wrapText="1"/>
    </xf>
    <xf numFmtId="49" fontId="64" fillId="27" borderId="15" xfId="0" applyNumberFormat="1" applyFont="1" applyFill="1" applyBorder="1" applyAlignment="1">
      <alignment horizontal="left" vertical="center" wrapText="1"/>
    </xf>
    <xf numFmtId="0" fontId="64" fillId="0" borderId="0" xfId="39" applyFont="1"/>
    <xf numFmtId="0" fontId="64" fillId="0" borderId="0" xfId="0" applyFont="1" applyAlignment="1">
      <alignment horizontal="left" vertical="center"/>
    </xf>
    <xf numFmtId="0" fontId="71" fillId="27" borderId="0" xfId="0" applyFont="1" applyFill="1"/>
    <xf numFmtId="0" fontId="84" fillId="27" borderId="0" xfId="0" applyFont="1" applyFill="1" applyAlignment="1">
      <alignment vertical="center"/>
    </xf>
    <xf numFmtId="0" fontId="75" fillId="28" borderId="0" xfId="35" applyFont="1" applyFill="1"/>
    <xf numFmtId="49" fontId="114" fillId="30" borderId="15" xfId="0" applyNumberFormat="1" applyFont="1" applyFill="1" applyBorder="1" applyAlignment="1">
      <alignment horizontal="center" vertical="center" wrapText="1"/>
    </xf>
    <xf numFmtId="0" fontId="114" fillId="30" borderId="15" xfId="38" applyFont="1" applyFill="1" applyBorder="1" applyAlignment="1" applyProtection="1">
      <alignment horizontal="center" vertical="center" wrapText="1"/>
      <protection locked="0"/>
    </xf>
    <xf numFmtId="4" fontId="114" fillId="30" borderId="15" xfId="0" applyNumberFormat="1" applyFont="1" applyFill="1" applyBorder="1" applyAlignment="1">
      <alignment horizontal="center" vertical="center" wrapText="1"/>
    </xf>
    <xf numFmtId="49" fontId="110" fillId="31" borderId="15" xfId="0" applyNumberFormat="1" applyFont="1" applyFill="1" applyBorder="1" applyAlignment="1">
      <alignment horizontal="center" vertical="center" wrapText="1"/>
    </xf>
    <xf numFmtId="0" fontId="110" fillId="31" borderId="15" xfId="38" applyFont="1" applyFill="1" applyBorder="1" applyAlignment="1" applyProtection="1">
      <alignment horizontal="center" vertical="center" wrapText="1"/>
      <protection locked="0"/>
    </xf>
    <xf numFmtId="4" fontId="110" fillId="31" borderId="15" xfId="0" applyNumberFormat="1" applyFont="1" applyFill="1" applyBorder="1" applyAlignment="1">
      <alignment horizontal="center" vertical="center" wrapText="1"/>
    </xf>
    <xf numFmtId="49" fontId="67" fillId="28" borderId="15" xfId="0" applyNumberFormat="1" applyFont="1" applyFill="1" applyBorder="1" applyAlignment="1">
      <alignment horizontal="center" vertical="center" wrapText="1"/>
    </xf>
    <xf numFmtId="0" fontId="67" fillId="28" borderId="15" xfId="18" applyFont="1" applyFill="1" applyBorder="1" applyAlignment="1">
      <alignment horizontal="center" vertical="center" wrapText="1"/>
    </xf>
    <xf numFmtId="0" fontId="110" fillId="28" borderId="15" xfId="35" applyFont="1" applyFill="1" applyBorder="1" applyAlignment="1">
      <alignment horizontal="center" vertical="center" wrapText="1"/>
    </xf>
    <xf numFmtId="4" fontId="110" fillId="28" borderId="15" xfId="35" applyNumberFormat="1" applyFont="1" applyFill="1" applyBorder="1" applyAlignment="1">
      <alignment horizontal="center" vertical="center" wrapText="1"/>
    </xf>
    <xf numFmtId="4" fontId="67" fillId="28" borderId="15" xfId="0" applyNumberFormat="1" applyFont="1" applyFill="1" applyBorder="1" applyAlignment="1">
      <alignment horizontal="center" vertical="center" wrapText="1"/>
    </xf>
    <xf numFmtId="165" fontId="67" fillId="28" borderId="15" xfId="30" applyNumberFormat="1" applyFont="1" applyFill="1" applyBorder="1" applyAlignment="1">
      <alignment horizontal="center" vertical="center"/>
    </xf>
    <xf numFmtId="4" fontId="67" fillId="28" borderId="15" xfId="30" applyNumberFormat="1" applyFont="1" applyFill="1" applyBorder="1" applyAlignment="1">
      <alignment horizontal="center" vertical="center"/>
    </xf>
    <xf numFmtId="9" fontId="67" fillId="28" borderId="15" xfId="0" applyNumberFormat="1" applyFont="1" applyFill="1" applyBorder="1" applyAlignment="1">
      <alignment horizontal="center" vertical="center" wrapText="1"/>
    </xf>
    <xf numFmtId="9" fontId="114" fillId="36" borderId="15" xfId="0" applyNumberFormat="1" applyFont="1" applyFill="1" applyBorder="1" applyAlignment="1">
      <alignment horizontal="center" vertical="center" wrapText="1"/>
    </xf>
    <xf numFmtId="9" fontId="110" fillId="35" borderId="15" xfId="0" applyNumberFormat="1" applyFont="1" applyFill="1" applyBorder="1" applyAlignment="1">
      <alignment horizontal="center" vertical="center" wrapText="1"/>
    </xf>
    <xf numFmtId="49" fontId="67" fillId="0" borderId="15" xfId="0" applyNumberFormat="1" applyFont="1" applyBorder="1" applyAlignment="1">
      <alignment horizontal="center" vertical="center" wrapText="1"/>
    </xf>
    <xf numFmtId="165" fontId="67" fillId="0" borderId="15" xfId="30" applyNumberFormat="1" applyFont="1" applyBorder="1" applyAlignment="1">
      <alignment horizontal="center" vertical="center" wrapText="1"/>
    </xf>
    <xf numFmtId="165" fontId="67" fillId="0" borderId="15" xfId="30" applyNumberFormat="1" applyFont="1" applyBorder="1" applyAlignment="1">
      <alignment horizontal="center" vertical="center"/>
    </xf>
    <xf numFmtId="4" fontId="67" fillId="0" borderId="15" xfId="30" applyNumberFormat="1" applyFont="1" applyBorder="1" applyAlignment="1">
      <alignment horizontal="center" vertical="center"/>
    </xf>
    <xf numFmtId="4" fontId="67" fillId="0" borderId="15" xfId="0" applyNumberFormat="1" applyFont="1" applyBorder="1" applyAlignment="1">
      <alignment horizontal="center" vertical="center" wrapText="1"/>
    </xf>
    <xf numFmtId="9" fontId="67" fillId="0" borderId="15" xfId="0" applyNumberFormat="1" applyFont="1" applyBorder="1" applyAlignment="1">
      <alignment horizontal="center" vertical="center" wrapText="1"/>
    </xf>
    <xf numFmtId="0" fontId="129" fillId="28" borderId="0" xfId="35" applyFont="1" applyFill="1" applyAlignment="1">
      <alignment horizontal="left" vertical="center"/>
    </xf>
    <xf numFmtId="4" fontId="75" fillId="28" borderId="0" xfId="35" applyNumberFormat="1" applyFont="1" applyFill="1" applyAlignment="1">
      <alignment horizontal="left" vertical="center"/>
    </xf>
    <xf numFmtId="0" fontId="109" fillId="28" borderId="0" xfId="35" applyFont="1" applyFill="1" applyAlignment="1">
      <alignment horizontal="left" vertical="center"/>
    </xf>
    <xf numFmtId="0" fontId="67" fillId="0" borderId="15" xfId="100" applyFont="1" applyBorder="1" applyAlignment="1">
      <alignment horizontal="center" vertical="center" wrapText="1"/>
    </xf>
    <xf numFmtId="0" fontId="67" fillId="28" borderId="15" xfId="100" applyFont="1" applyFill="1" applyBorder="1" applyAlignment="1">
      <alignment horizontal="center" vertical="center" wrapText="1"/>
    </xf>
    <xf numFmtId="49" fontId="114" fillId="32" borderId="15" xfId="0" applyNumberFormat="1" applyFont="1" applyFill="1" applyBorder="1" applyAlignment="1">
      <alignment horizontal="center" vertical="center" wrapText="1"/>
    </xf>
    <xf numFmtId="0" fontId="114" fillId="32" borderId="15" xfId="38" applyFont="1" applyFill="1" applyBorder="1" applyAlignment="1" applyProtection="1">
      <alignment horizontal="center" vertical="center" wrapText="1"/>
      <protection locked="0"/>
    </xf>
    <xf numFmtId="4" fontId="114" fillId="32" borderId="15" xfId="0" applyNumberFormat="1" applyFont="1" applyFill="1" applyBorder="1" applyAlignment="1">
      <alignment horizontal="center" vertical="center" wrapText="1"/>
    </xf>
    <xf numFmtId="9" fontId="114" fillId="32" borderId="15" xfId="0" applyNumberFormat="1" applyFont="1" applyFill="1" applyBorder="1" applyAlignment="1">
      <alignment horizontal="center" vertical="center" wrapText="1"/>
    </xf>
    <xf numFmtId="49" fontId="110" fillId="33" borderId="15" xfId="0" applyNumberFormat="1" applyFont="1" applyFill="1" applyBorder="1" applyAlignment="1">
      <alignment horizontal="center" vertical="center" wrapText="1"/>
    </xf>
    <xf numFmtId="0" fontId="110" fillId="33" borderId="15" xfId="38" applyFont="1" applyFill="1" applyBorder="1" applyAlignment="1" applyProtection="1">
      <alignment horizontal="center" vertical="center" wrapText="1"/>
      <protection locked="0"/>
    </xf>
    <xf numFmtId="4" fontId="110" fillId="33" borderId="15" xfId="0" applyNumberFormat="1" applyFont="1" applyFill="1" applyBorder="1" applyAlignment="1">
      <alignment horizontal="center" vertical="center" wrapText="1"/>
    </xf>
    <xf numFmtId="9" fontId="110" fillId="33" borderId="15" xfId="0" applyNumberFormat="1" applyFont="1" applyFill="1" applyBorder="1" applyAlignment="1">
      <alignment horizontal="center" vertical="center" wrapText="1"/>
    </xf>
    <xf numFmtId="9" fontId="67" fillId="0" borderId="15" xfId="30" applyNumberFormat="1" applyFont="1" applyBorder="1" applyAlignment="1">
      <alignment horizontal="center" vertical="center"/>
    </xf>
    <xf numFmtId="0" fontId="67" fillId="0" borderId="15" xfId="18" applyFont="1" applyBorder="1" applyAlignment="1">
      <alignment horizontal="center" vertical="center" wrapText="1"/>
    </xf>
    <xf numFmtId="0" fontId="113" fillId="28" borderId="0" xfId="35" applyFont="1" applyFill="1"/>
    <xf numFmtId="0" fontId="131" fillId="28" borderId="0" xfId="35" applyFont="1" applyFill="1" applyAlignment="1">
      <alignment vertical="center"/>
    </xf>
    <xf numFmtId="0" fontId="67" fillId="0" borderId="15" xfId="0" applyFont="1" applyBorder="1" applyAlignment="1">
      <alignment horizontal="center" vertical="center" wrapText="1"/>
    </xf>
    <xf numFmtId="0" fontId="67" fillId="0" borderId="15" xfId="45" applyFont="1" applyBorder="1" applyAlignment="1">
      <alignment horizontal="center" vertical="center" wrapText="1"/>
    </xf>
    <xf numFmtId="4" fontId="107" fillId="28" borderId="0" xfId="35" applyNumberFormat="1" applyFont="1" applyFill="1" applyAlignment="1">
      <alignment horizontal="center" vertical="center"/>
    </xf>
    <xf numFmtId="0" fontId="107" fillId="0" borderId="0" xfId="35" applyFont="1"/>
    <xf numFmtId="0" fontId="75" fillId="6" borderId="0" xfId="35" applyFont="1" applyFill="1"/>
    <xf numFmtId="0" fontId="75" fillId="25" borderId="0" xfId="35" applyFont="1" applyFill="1"/>
    <xf numFmtId="0" fontId="113" fillId="0" borderId="0" xfId="35" applyFont="1"/>
    <xf numFmtId="0" fontId="75" fillId="26" borderId="0" xfId="35" applyFont="1" applyFill="1" applyAlignment="1">
      <alignment horizontal="center" vertical="center"/>
    </xf>
    <xf numFmtId="0" fontId="65" fillId="26" borderId="0" xfId="35" applyFont="1" applyFill="1" applyAlignment="1">
      <alignment horizontal="center" vertical="center"/>
    </xf>
    <xf numFmtId="4" fontId="80" fillId="29" borderId="14" xfId="0" applyNumberFormat="1" applyFont="1" applyFill="1" applyBorder="1" applyAlignment="1">
      <alignment horizontal="center" vertical="center" wrapText="1"/>
    </xf>
    <xf numFmtId="165" fontId="64" fillId="0" borderId="15" xfId="30" applyNumberFormat="1" applyFont="1" applyBorder="1" applyAlignment="1">
      <alignment horizontal="center" vertical="center" wrapText="1"/>
    </xf>
    <xf numFmtId="4" fontId="64" fillId="0" borderId="15" xfId="38" applyNumberFormat="1" applyFont="1" applyFill="1" applyBorder="1" applyAlignment="1" applyProtection="1">
      <alignment horizontal="center" vertical="center" wrapText="1"/>
      <protection locked="0"/>
    </xf>
    <xf numFmtId="4" fontId="80" fillId="29" borderId="0" xfId="0" applyNumberFormat="1" applyFont="1" applyFill="1" applyAlignment="1">
      <alignment horizontal="center" vertical="center" wrapText="1"/>
    </xf>
    <xf numFmtId="165" fontId="64" fillId="28" borderId="15" xfId="30" applyNumberFormat="1" applyFont="1" applyFill="1" applyBorder="1" applyAlignment="1">
      <alignment horizontal="center" vertical="center" wrapText="1"/>
    </xf>
    <xf numFmtId="4" fontId="64" fillId="28" borderId="15" xfId="38" applyNumberFormat="1" applyFont="1" applyFill="1" applyBorder="1" applyAlignment="1" applyProtection="1">
      <alignment horizontal="center" vertical="center" wrapText="1"/>
      <protection locked="0"/>
    </xf>
    <xf numFmtId="4" fontId="133" fillId="28" borderId="0" xfId="0" applyNumberFormat="1" applyFont="1" applyFill="1" applyAlignment="1">
      <alignment horizontal="center" vertical="center" wrapText="1"/>
    </xf>
    <xf numFmtId="4" fontId="80" fillId="29" borderId="8" xfId="0" applyNumberFormat="1" applyFont="1" applyFill="1" applyBorder="1" applyAlignment="1">
      <alignment horizontal="center" vertical="center" wrapText="1"/>
    </xf>
    <xf numFmtId="0" fontId="80" fillId="28" borderId="0" xfId="0" applyFont="1" applyFill="1" applyAlignment="1">
      <alignment horizontal="center" vertical="center"/>
    </xf>
    <xf numFmtId="0" fontId="64" fillId="28" borderId="15" xfId="0" applyFont="1" applyFill="1" applyBorder="1" applyAlignment="1">
      <alignment horizontal="center" vertical="center" wrapText="1"/>
    </xf>
    <xf numFmtId="165" fontId="64" fillId="28" borderId="0" xfId="30" applyNumberFormat="1" applyFont="1" applyFill="1" applyAlignment="1">
      <alignment horizontal="center" vertical="center" wrapText="1"/>
    </xf>
    <xf numFmtId="165" fontId="64" fillId="26" borderId="15" xfId="30" applyNumberFormat="1" applyFont="1" applyFill="1" applyBorder="1" applyAlignment="1">
      <alignment horizontal="center" vertical="center" wrapText="1"/>
    </xf>
    <xf numFmtId="4" fontId="64" fillId="26" borderId="15" xfId="0" applyNumberFormat="1" applyFont="1" applyFill="1" applyBorder="1" applyAlignment="1">
      <alignment horizontal="center" vertical="center" wrapText="1"/>
    </xf>
    <xf numFmtId="4" fontId="64" fillId="28" borderId="0" xfId="30" applyNumberFormat="1" applyFont="1" applyFill="1" applyAlignment="1">
      <alignment horizontal="center" vertical="center" wrapText="1"/>
    </xf>
    <xf numFmtId="4" fontId="134" fillId="0" borderId="15" xfId="0" applyNumberFormat="1" applyFont="1" applyBorder="1" applyAlignment="1">
      <alignment horizontal="center" vertical="center" wrapText="1"/>
    </xf>
    <xf numFmtId="4" fontId="64" fillId="0" borderId="16" xfId="0" applyNumberFormat="1" applyFont="1" applyBorder="1" applyAlignment="1">
      <alignment horizontal="center" vertical="center" wrapText="1"/>
    </xf>
    <xf numFmtId="4" fontId="134" fillId="28" borderId="15" xfId="0" applyNumberFormat="1" applyFont="1" applyFill="1" applyBorder="1" applyAlignment="1">
      <alignment horizontal="center" vertical="center" wrapText="1"/>
    </xf>
    <xf numFmtId="4" fontId="64" fillId="28" borderId="16" xfId="0" applyNumberFormat="1" applyFont="1" applyFill="1" applyBorder="1" applyAlignment="1">
      <alignment horizontal="center" vertical="center" wrapText="1"/>
    </xf>
    <xf numFmtId="4" fontId="63" fillId="28" borderId="0" xfId="38" applyNumberFormat="1" applyFont="1" applyFill="1" applyBorder="1" applyAlignment="1" applyProtection="1">
      <alignment horizontal="center" vertical="center" wrapText="1"/>
      <protection locked="0"/>
    </xf>
    <xf numFmtId="4" fontId="64" fillId="0" borderId="15" xfId="38" applyNumberFormat="1" applyFont="1" applyFill="1" applyBorder="1" applyAlignment="1">
      <alignment horizontal="center" vertical="center" wrapText="1"/>
    </xf>
    <xf numFmtId="4" fontId="64" fillId="28" borderId="15" xfId="38" applyNumberFormat="1" applyFont="1" applyFill="1" applyBorder="1" applyAlignment="1">
      <alignment horizontal="center" vertical="center" wrapText="1"/>
    </xf>
    <xf numFmtId="4" fontId="64" fillId="0" borderId="16" xfId="38" applyNumberFormat="1" applyFont="1" applyFill="1" applyBorder="1" applyAlignment="1" applyProtection="1">
      <alignment horizontal="center" vertical="center" wrapText="1"/>
      <protection locked="0"/>
    </xf>
    <xf numFmtId="4" fontId="64" fillId="0" borderId="16" xfId="38" applyNumberFormat="1" applyFont="1" applyFill="1" applyBorder="1" applyAlignment="1">
      <alignment horizontal="center" vertical="center" wrapText="1"/>
    </xf>
    <xf numFmtId="0" fontId="135" fillId="28" borderId="0" xfId="0" applyFont="1" applyFill="1" applyAlignment="1">
      <alignment horizontal="center" vertical="center"/>
    </xf>
    <xf numFmtId="0" fontId="136" fillId="28" borderId="0" xfId="0" applyFont="1" applyFill="1"/>
    <xf numFmtId="4" fontId="60" fillId="0" borderId="0" xfId="36" applyNumberFormat="1" applyFont="1" applyFill="1" applyBorder="1" applyAlignment="1">
      <alignment horizontal="center" vertical="center" wrapText="1"/>
    </xf>
    <xf numFmtId="4" fontId="60" fillId="0" borderId="0" xfId="0" applyNumberFormat="1" applyFont="1" applyAlignment="1">
      <alignment vertical="center"/>
    </xf>
    <xf numFmtId="4" fontId="137" fillId="0" borderId="0" xfId="0" applyNumberFormat="1" applyFont="1" applyAlignment="1">
      <alignment vertical="center"/>
    </xf>
    <xf numFmtId="4" fontId="138" fillId="0" borderId="0" xfId="0" applyNumberFormat="1" applyFont="1" applyAlignment="1">
      <alignment vertical="center"/>
    </xf>
    <xf numFmtId="0" fontId="137" fillId="0" borderId="0" xfId="0" applyFont="1" applyAlignment="1">
      <alignment vertical="center"/>
    </xf>
    <xf numFmtId="4" fontId="139" fillId="0" borderId="0" xfId="0" applyNumberFormat="1" applyFont="1" applyAlignment="1">
      <alignment vertical="center"/>
    </xf>
    <xf numFmtId="4" fontId="84" fillId="0" borderId="0" xfId="0" applyNumberFormat="1" applyFont="1" applyAlignment="1">
      <alignment vertical="center"/>
    </xf>
    <xf numFmtId="0" fontId="139" fillId="0" borderId="0" xfId="0" applyFont="1" applyAlignment="1">
      <alignment vertical="center"/>
    </xf>
    <xf numFmtId="0" fontId="140" fillId="0" borderId="0" xfId="0" applyFont="1"/>
    <xf numFmtId="0" fontId="138" fillId="0" borderId="0" xfId="0" applyFont="1" applyAlignment="1">
      <alignment vertical="center"/>
    </xf>
    <xf numFmtId="2" fontId="78" fillId="0" borderId="0" xfId="36" applyNumberFormat="1" applyFont="1" applyAlignment="1">
      <alignment horizontal="center" vertical="top"/>
    </xf>
    <xf numFmtId="2" fontId="107" fillId="0" borderId="15" xfId="36" applyNumberFormat="1" applyFont="1" applyFill="1" applyBorder="1" applyAlignment="1">
      <alignment horizontal="center" vertical="center" wrapText="1"/>
    </xf>
    <xf numFmtId="0" fontId="66" fillId="0" borderId="0" xfId="0" applyFont="1" applyAlignment="1">
      <alignment horizontal="center" vertical="center"/>
    </xf>
    <xf numFmtId="2" fontId="66" fillId="0" borderId="0" xfId="36" applyNumberFormat="1" applyFont="1" applyFill="1" applyBorder="1" applyAlignment="1">
      <alignment horizontal="left" vertical="center" wrapText="1"/>
    </xf>
    <xf numFmtId="0" fontId="61" fillId="0" borderId="0" xfId="0" applyFont="1" applyAlignment="1">
      <alignment horizontal="left"/>
    </xf>
    <xf numFmtId="4" fontId="66" fillId="0" borderId="0" xfId="36" applyNumberFormat="1" applyFont="1" applyFill="1" applyBorder="1" applyAlignment="1">
      <alignment horizontal="center" vertical="center" wrapText="1"/>
    </xf>
    <xf numFmtId="2" fontId="78" fillId="0" borderId="0" xfId="36" applyNumberFormat="1" applyFont="1" applyFill="1" applyAlignment="1">
      <alignment horizontal="center" vertical="top"/>
    </xf>
    <xf numFmtId="0" fontId="132" fillId="0" borderId="0" xfId="36" applyFont="1">
      <alignment vertical="top"/>
    </xf>
    <xf numFmtId="2" fontId="132" fillId="0" borderId="0" xfId="36" applyNumberFormat="1" applyFont="1">
      <alignment vertical="top"/>
    </xf>
    <xf numFmtId="0" fontId="141" fillId="0" borderId="0" xfId="36" applyFont="1" applyAlignment="1">
      <alignment horizontal="center" vertical="top" wrapText="1"/>
    </xf>
    <xf numFmtId="2" fontId="141" fillId="0" borderId="0" xfId="36" applyNumberFormat="1" applyFont="1" applyAlignment="1">
      <alignment horizontal="center" vertical="top" wrapText="1"/>
    </xf>
    <xf numFmtId="166" fontId="107" fillId="0" borderId="0" xfId="36" applyNumberFormat="1" applyFont="1" applyAlignment="1">
      <alignment horizontal="center" vertical="top"/>
    </xf>
    <xf numFmtId="0" fontId="142" fillId="0" borderId="0" xfId="38" applyFont="1" applyAlignment="1" applyProtection="1">
      <alignment horizontal="left" vertical="center" wrapText="1"/>
      <protection locked="0"/>
    </xf>
    <xf numFmtId="0" fontId="141" fillId="0" borderId="0" xfId="36" applyFont="1" applyAlignment="1">
      <alignment horizontal="left" vertical="top" wrapText="1"/>
    </xf>
    <xf numFmtId="0" fontId="126" fillId="0" borderId="0" xfId="36" applyFont="1">
      <alignment vertical="top"/>
    </xf>
    <xf numFmtId="0" fontId="108" fillId="0" borderId="0" xfId="0" applyFont="1"/>
    <xf numFmtId="0" fontId="126" fillId="0" borderId="0" xfId="0" applyFont="1"/>
    <xf numFmtId="0" fontId="38" fillId="0" borderId="0" xfId="36" applyFont="1">
      <alignment vertical="top"/>
    </xf>
    <xf numFmtId="0" fontId="143" fillId="0" borderId="0" xfId="36" applyFont="1">
      <alignment vertical="top"/>
    </xf>
    <xf numFmtId="0" fontId="10" fillId="0" borderId="0" xfId="0" applyFont="1" applyAlignment="1">
      <alignment horizontal="center"/>
    </xf>
    <xf numFmtId="0" fontId="10" fillId="0" borderId="0" xfId="0" applyFont="1" applyAlignment="1">
      <alignment vertical="center"/>
    </xf>
    <xf numFmtId="0" fontId="10" fillId="0" borderId="0" xfId="0" applyFont="1" applyAlignment="1">
      <alignment vertical="top"/>
    </xf>
    <xf numFmtId="49" fontId="29" fillId="0" borderId="15" xfId="0" applyNumberFormat="1" applyFont="1" applyBorder="1" applyAlignment="1">
      <alignment horizontal="center" vertical="center" wrapText="1"/>
    </xf>
    <xf numFmtId="4" fontId="31" fillId="0" borderId="15" xfId="38" applyNumberFormat="1" applyFont="1" applyFill="1" applyBorder="1" applyAlignment="1" applyProtection="1">
      <alignment horizontal="center" vertical="center" wrapText="1"/>
      <protection locked="0"/>
    </xf>
    <xf numFmtId="49" fontId="69" fillId="0" borderId="15" xfId="0" applyNumberFormat="1" applyFont="1" applyBorder="1" applyAlignment="1">
      <alignment horizontal="center" vertical="center" wrapText="1"/>
    </xf>
    <xf numFmtId="4" fontId="82" fillId="0" borderId="15" xfId="38" applyNumberFormat="1" applyFont="1" applyFill="1" applyBorder="1" applyAlignment="1" applyProtection="1">
      <alignment horizontal="center" vertical="center" wrapText="1"/>
      <protection locked="0"/>
    </xf>
    <xf numFmtId="4" fontId="82" fillId="0" borderId="15" xfId="0" applyNumberFormat="1" applyFont="1" applyBorder="1" applyAlignment="1">
      <alignment horizontal="center" vertical="center" wrapText="1"/>
    </xf>
    <xf numFmtId="0" fontId="30" fillId="0" borderId="0" xfId="0" applyFont="1" applyAlignment="1">
      <alignment horizontal="right" vertical="center"/>
    </xf>
    <xf numFmtId="0" fontId="29" fillId="0" borderId="15" xfId="0" applyFont="1" applyBorder="1" applyAlignment="1">
      <alignment horizontal="center" vertical="top" wrapText="1"/>
    </xf>
    <xf numFmtId="4" fontId="30" fillId="0" borderId="15" xfId="0" applyNumberFormat="1" applyFont="1" applyBorder="1" applyAlignment="1">
      <alignment horizontal="center" vertical="center" wrapText="1"/>
    </xf>
    <xf numFmtId="0" fontId="33" fillId="0" borderId="0" xfId="0" applyFont="1"/>
    <xf numFmtId="0" fontId="30" fillId="0" borderId="15" xfId="0" applyFont="1" applyBorder="1" applyAlignment="1">
      <alignment horizontal="center" vertical="top" wrapText="1"/>
    </xf>
    <xf numFmtId="165" fontId="30" fillId="0" borderId="15" xfId="30" applyNumberFormat="1" applyFont="1" applyBorder="1" applyAlignment="1">
      <alignment horizontal="center" vertical="center" wrapText="1"/>
    </xf>
    <xf numFmtId="4" fontId="30" fillId="0" borderId="15" xfId="38" applyNumberFormat="1" applyFont="1" applyFill="1" applyBorder="1" applyAlignment="1" applyProtection="1">
      <alignment horizontal="center" vertical="center" wrapText="1"/>
      <protection locked="0"/>
    </xf>
    <xf numFmtId="0" fontId="147" fillId="0" borderId="0" xfId="0" applyFont="1"/>
    <xf numFmtId="0" fontId="148" fillId="0" borderId="0" xfId="0" applyFont="1" applyAlignment="1">
      <alignment horizontal="center" vertical="center" wrapText="1"/>
    </xf>
    <xf numFmtId="4" fontId="86" fillId="0" borderId="15" xfId="0" applyNumberFormat="1" applyFont="1" applyBorder="1" applyAlignment="1">
      <alignment horizontal="center" vertical="center" wrapText="1"/>
    </xf>
    <xf numFmtId="4" fontId="32" fillId="0" borderId="15" xfId="38" applyNumberFormat="1" applyFont="1" applyFill="1" applyBorder="1" applyAlignment="1" applyProtection="1">
      <alignment horizontal="center" vertical="center" wrapText="1"/>
      <protection locked="0"/>
    </xf>
    <xf numFmtId="4" fontId="30" fillId="0" borderId="16" xfId="0" applyNumberFormat="1" applyFont="1" applyBorder="1" applyAlignment="1">
      <alignment horizontal="center" vertical="center" wrapText="1"/>
    </xf>
    <xf numFmtId="4" fontId="31" fillId="0" borderId="15" xfId="0" applyNumberFormat="1" applyFont="1" applyBorder="1" applyAlignment="1">
      <alignment horizontal="center" vertical="center" wrapText="1"/>
    </xf>
    <xf numFmtId="49" fontId="150" fillId="0" borderId="15" xfId="0" applyNumberFormat="1" applyFont="1" applyBorder="1" applyAlignment="1">
      <alignment horizontal="center" vertical="center" wrapText="1"/>
    </xf>
    <xf numFmtId="0" fontId="30" fillId="0" borderId="15" xfId="0" applyFont="1" applyBorder="1" applyAlignment="1">
      <alignment horizontal="center" vertical="center" wrapText="1"/>
    </xf>
    <xf numFmtId="49" fontId="149" fillId="0" borderId="15" xfId="0" applyNumberFormat="1" applyFont="1" applyBorder="1" applyAlignment="1">
      <alignment horizontal="center" vertical="center" wrapText="1"/>
    </xf>
    <xf numFmtId="0" fontId="12" fillId="0" borderId="0" xfId="35" applyAlignment="1">
      <alignment horizontal="center" vertical="center"/>
    </xf>
    <xf numFmtId="0" fontId="149" fillId="0" borderId="0" xfId="35" applyFont="1" applyAlignment="1">
      <alignment horizontal="center" vertical="center" wrapText="1"/>
    </xf>
    <xf numFmtId="0" fontId="148" fillId="0" borderId="0" xfId="35" applyFont="1" applyAlignment="1">
      <alignment horizontal="center" vertical="center" wrapText="1"/>
    </xf>
    <xf numFmtId="0" fontId="149" fillId="0" borderId="15" xfId="0" applyFont="1" applyBorder="1" applyAlignment="1">
      <alignment horizontal="center" vertical="center" wrapText="1"/>
    </xf>
    <xf numFmtId="0" fontId="149" fillId="0" borderId="15" xfId="35" applyFont="1" applyBorder="1" applyAlignment="1">
      <alignment horizontal="center" vertical="center" wrapText="1"/>
    </xf>
    <xf numFmtId="0" fontId="149" fillId="0" borderId="15" xfId="18" applyFont="1" applyBorder="1" applyAlignment="1">
      <alignment horizontal="center" vertical="center" wrapText="1"/>
    </xf>
    <xf numFmtId="165" fontId="149" fillId="0" borderId="15" xfId="30" applyNumberFormat="1" applyFont="1" applyBorder="1" applyAlignment="1">
      <alignment horizontal="center" vertical="center"/>
    </xf>
    <xf numFmtId="4" fontId="149" fillId="0" borderId="15" xfId="30" applyNumberFormat="1" applyFont="1" applyBorder="1" applyAlignment="1">
      <alignment horizontal="center" vertical="center"/>
    </xf>
    <xf numFmtId="0" fontId="12" fillId="0" borderId="0" xfId="35"/>
    <xf numFmtId="4" fontId="149" fillId="0" borderId="15" xfId="0" applyNumberFormat="1" applyFont="1" applyBorder="1" applyAlignment="1">
      <alignment horizontal="center" vertical="center" wrapText="1"/>
    </xf>
    <xf numFmtId="9" fontId="149" fillId="0" borderId="15" xfId="0" applyNumberFormat="1" applyFont="1" applyBorder="1" applyAlignment="1">
      <alignment horizontal="center" vertical="center" wrapText="1"/>
    </xf>
    <xf numFmtId="49" fontId="30" fillId="0" borderId="16" xfId="0" applyNumberFormat="1" applyFont="1" applyBorder="1" applyAlignment="1">
      <alignment horizontal="center" vertical="center" wrapText="1"/>
    </xf>
    <xf numFmtId="0" fontId="149" fillId="0" borderId="0" xfId="39" applyFont="1"/>
    <xf numFmtId="0" fontId="154" fillId="0" borderId="0" xfId="0" applyFont="1"/>
    <xf numFmtId="0" fontId="149" fillId="0" borderId="0" xfId="0" applyFont="1" applyAlignment="1">
      <alignment horizontal="left" vertical="center"/>
    </xf>
    <xf numFmtId="0" fontId="29" fillId="0" borderId="15" xfId="38" applyFont="1" applyFill="1" applyBorder="1" applyAlignment="1" applyProtection="1">
      <alignment horizontal="center" vertical="center" wrapText="1"/>
      <protection locked="0"/>
    </xf>
    <xf numFmtId="4" fontId="30" fillId="0" borderId="16" xfId="38" applyNumberFormat="1" applyFont="1" applyFill="1" applyBorder="1" applyAlignment="1" applyProtection="1">
      <alignment horizontal="center" vertical="center" wrapText="1"/>
      <protection locked="0"/>
    </xf>
    <xf numFmtId="0" fontId="146" fillId="28" borderId="0" xfId="35" applyFont="1" applyFill="1" applyAlignment="1">
      <alignment horizontal="center" vertical="center"/>
    </xf>
    <xf numFmtId="4" fontId="156" fillId="28" borderId="0" xfId="35" applyNumberFormat="1" applyFont="1" applyFill="1"/>
    <xf numFmtId="0" fontId="149" fillId="0" borderId="0" xfId="0" applyFont="1"/>
    <xf numFmtId="0" fontId="16" fillId="0" borderId="0" xfId="0" applyFont="1"/>
    <xf numFmtId="0" fontId="55" fillId="0" borderId="0" xfId="0" applyFont="1" applyAlignment="1">
      <alignment vertical="center"/>
    </xf>
    <xf numFmtId="4" fontId="55" fillId="0" borderId="0" xfId="0" applyNumberFormat="1" applyFont="1" applyAlignment="1">
      <alignment vertical="center"/>
    </xf>
    <xf numFmtId="4" fontId="37" fillId="0" borderId="0" xfId="0" applyNumberFormat="1" applyFont="1" applyAlignment="1">
      <alignment vertical="center"/>
    </xf>
    <xf numFmtId="0" fontId="69" fillId="0" borderId="17" xfId="38" applyFont="1" applyFill="1" applyBorder="1" applyAlignment="1" applyProtection="1">
      <alignment horizontal="center" vertical="center" wrapText="1"/>
      <protection locked="0"/>
    </xf>
    <xf numFmtId="4" fontId="109" fillId="0" borderId="24" xfId="0" applyNumberFormat="1" applyFont="1" applyBorder="1" applyAlignment="1">
      <alignment horizontal="center" vertical="center" wrapText="1"/>
    </xf>
    <xf numFmtId="4" fontId="75" fillId="0" borderId="24" xfId="0" applyNumberFormat="1" applyFont="1" applyBorder="1" applyAlignment="1">
      <alignment horizontal="center" vertical="center" wrapText="1"/>
    </xf>
    <xf numFmtId="4" fontId="75" fillId="28" borderId="0" xfId="35" applyNumberFormat="1" applyFont="1" applyFill="1"/>
    <xf numFmtId="0" fontId="159" fillId="0" borderId="0" xfId="0" applyFont="1" applyAlignment="1">
      <alignment horizontal="left" vertical="center"/>
    </xf>
    <xf numFmtId="0" fontId="30" fillId="0" borderId="0" xfId="39" applyFont="1" applyAlignment="1">
      <alignment vertical="center"/>
    </xf>
    <xf numFmtId="4" fontId="129" fillId="27" borderId="15" xfId="0" applyNumberFormat="1" applyFont="1" applyFill="1" applyBorder="1" applyAlignment="1">
      <alignment horizontal="center" vertical="center" wrapText="1"/>
    </xf>
    <xf numFmtId="0" fontId="16" fillId="0" borderId="0" xfId="0" applyFont="1" applyAlignment="1">
      <alignment horizontal="left" vertical="center" wrapText="1"/>
    </xf>
    <xf numFmtId="0" fontId="16" fillId="0" borderId="0" xfId="0" applyFont="1" applyAlignment="1">
      <alignment wrapText="1"/>
    </xf>
    <xf numFmtId="0" fontId="16" fillId="0" borderId="0" xfId="0" applyFont="1" applyAlignment="1">
      <alignment horizontal="justify" vertical="center"/>
    </xf>
    <xf numFmtId="0" fontId="16" fillId="0" borderId="0" xfId="0" applyFont="1" applyAlignment="1">
      <alignment horizontal="left" vertical="center"/>
    </xf>
    <xf numFmtId="0" fontId="91" fillId="0" borderId="0" xfId="0" applyFont="1" applyAlignment="1">
      <alignment horizontal="justify" vertical="center"/>
    </xf>
    <xf numFmtId="0" fontId="160" fillId="0" borderId="0" xfId="0" applyFont="1" applyAlignment="1">
      <alignment horizontal="left" vertical="center"/>
    </xf>
    <xf numFmtId="49" fontId="64" fillId="0" borderId="16" xfId="0" applyNumberFormat="1" applyFont="1" applyBorder="1" applyAlignment="1">
      <alignment horizontal="center" vertical="center" wrapText="1"/>
    </xf>
    <xf numFmtId="0" fontId="109" fillId="0" borderId="24" xfId="39" applyFont="1" applyBorder="1" applyAlignment="1">
      <alignment horizontal="center" vertical="center" wrapText="1"/>
    </xf>
    <xf numFmtId="4" fontId="109" fillId="0" borderId="24" xfId="39" applyNumberFormat="1" applyFont="1" applyBorder="1" applyAlignment="1">
      <alignment horizontal="center" vertical="center" wrapText="1"/>
    </xf>
    <xf numFmtId="4" fontId="112" fillId="0" borderId="24" xfId="39" applyNumberFormat="1" applyFont="1" applyBorder="1" applyAlignment="1">
      <alignment horizontal="center" vertical="center" wrapText="1"/>
    </xf>
    <xf numFmtId="0" fontId="75" fillId="0" borderId="24" xfId="39" applyFont="1" applyBorder="1" applyAlignment="1">
      <alignment horizontal="center" vertical="center" wrapText="1"/>
    </xf>
    <xf numFmtId="0" fontId="75" fillId="0" borderId="24" xfId="39" applyFont="1" applyBorder="1" applyAlignment="1">
      <alignment vertical="center" wrapText="1"/>
    </xf>
    <xf numFmtId="4" fontId="75" fillId="0" borderId="24" xfId="39" applyNumberFormat="1" applyFont="1" applyBorder="1" applyAlignment="1">
      <alignment horizontal="center" vertical="center" wrapText="1"/>
    </xf>
    <xf numFmtId="0" fontId="75" fillId="0" borderId="24" xfId="37" applyFont="1" applyBorder="1" applyAlignment="1">
      <alignment horizontal="justify" vertical="center" wrapText="1"/>
    </xf>
    <xf numFmtId="0" fontId="109" fillId="0" borderId="24" xfId="37" applyFont="1" applyBorder="1" applyAlignment="1">
      <alignment horizontal="center" vertical="center" wrapText="1"/>
    </xf>
    <xf numFmtId="4" fontId="113" fillId="0" borderId="24" xfId="39" applyNumberFormat="1" applyFont="1" applyBorder="1" applyAlignment="1">
      <alignment horizontal="center" vertical="center" wrapText="1"/>
    </xf>
    <xf numFmtId="0" fontId="75" fillId="28" borderId="24" xfId="39" applyFont="1" applyFill="1" applyBorder="1" applyAlignment="1">
      <alignment horizontal="center" vertical="center" wrapText="1"/>
    </xf>
    <xf numFmtId="0" fontId="75" fillId="28" borderId="24" xfId="39" applyFont="1" applyFill="1" applyBorder="1" applyAlignment="1">
      <alignment vertical="center" wrapText="1"/>
    </xf>
    <xf numFmtId="4" fontId="109" fillId="28" borderId="24" xfId="39" applyNumberFormat="1" applyFont="1" applyFill="1" applyBorder="1" applyAlignment="1">
      <alignment horizontal="center" vertical="center" wrapText="1"/>
    </xf>
    <xf numFmtId="4" fontId="75" fillId="28" borderId="24" xfId="39" applyNumberFormat="1" applyFont="1" applyFill="1" applyBorder="1" applyAlignment="1">
      <alignment horizontal="center" vertical="center" wrapText="1"/>
    </xf>
    <xf numFmtId="0" fontId="113" fillId="28" borderId="24" xfId="39" applyFont="1" applyFill="1" applyBorder="1" applyAlignment="1">
      <alignment vertical="center" wrapText="1"/>
    </xf>
    <xf numFmtId="0" fontId="107" fillId="0" borderId="0" xfId="0" applyFont="1" applyAlignment="1">
      <alignment horizontal="left" vertical="center"/>
    </xf>
    <xf numFmtId="0" fontId="107" fillId="0" borderId="0" xfId="39" applyFont="1"/>
    <xf numFmtId="4" fontId="109" fillId="28" borderId="0" xfId="0" applyNumberFormat="1" applyFont="1" applyFill="1"/>
    <xf numFmtId="4" fontId="112" fillId="0" borderId="24" xfId="0" applyNumberFormat="1" applyFont="1" applyBorder="1" applyAlignment="1">
      <alignment horizontal="center" vertical="center" wrapText="1"/>
    </xf>
    <xf numFmtId="0" fontId="75" fillId="0" borderId="24" xfId="0" applyFont="1" applyBorder="1" applyAlignment="1">
      <alignment horizontal="center" vertical="center" wrapText="1"/>
    </xf>
    <xf numFmtId="0" fontId="75" fillId="0" borderId="24" xfId="0" applyFont="1" applyBorder="1" applyAlignment="1">
      <alignment horizontal="left" vertical="center" wrapText="1"/>
    </xf>
    <xf numFmtId="0" fontId="113" fillId="0" borderId="24" xfId="0" applyFont="1" applyBorder="1" applyAlignment="1">
      <alignment horizontal="center" vertical="center" wrapText="1"/>
    </xf>
    <xf numFmtId="4" fontId="113" fillId="0" borderId="24" xfId="0" applyNumberFormat="1" applyFont="1" applyBorder="1" applyAlignment="1">
      <alignment horizontal="left" vertical="center" wrapText="1"/>
    </xf>
    <xf numFmtId="4" fontId="113" fillId="0" borderId="24" xfId="0" applyNumberFormat="1" applyFont="1" applyBorder="1" applyAlignment="1">
      <alignment horizontal="center" vertical="center" wrapText="1"/>
    </xf>
    <xf numFmtId="4" fontId="109" fillId="28" borderId="0" xfId="0" applyNumberFormat="1" applyFont="1" applyFill="1" applyAlignment="1">
      <alignment horizontal="center" vertical="center"/>
    </xf>
    <xf numFmtId="0" fontId="112" fillId="28" borderId="24" xfId="0" applyFont="1" applyFill="1" applyBorder="1" applyAlignment="1">
      <alignment horizontal="center" vertical="center" wrapText="1"/>
    </xf>
    <xf numFmtId="0" fontId="112" fillId="28" borderId="24" xfId="0" applyFont="1" applyFill="1" applyBorder="1" applyAlignment="1">
      <alignment horizontal="left" vertical="center" wrapText="1"/>
    </xf>
    <xf numFmtId="4" fontId="112" fillId="28" borderId="24" xfId="0" applyNumberFormat="1" applyFont="1" applyFill="1" applyBorder="1" applyAlignment="1">
      <alignment horizontal="center" vertical="center" wrapText="1"/>
    </xf>
    <xf numFmtId="0" fontId="113" fillId="0" borderId="24" xfId="0" applyFont="1" applyBorder="1" applyAlignment="1">
      <alignment horizontal="left" vertical="center" wrapText="1"/>
    </xf>
    <xf numFmtId="0" fontId="60" fillId="0" borderId="0" xfId="0" applyFont="1" applyAlignment="1">
      <alignment horizontal="center" vertical="center"/>
    </xf>
    <xf numFmtId="0" fontId="64" fillId="0" borderId="0" xfId="0" applyFont="1" applyAlignment="1">
      <alignment horizontal="center" vertical="center"/>
    </xf>
    <xf numFmtId="0" fontId="64" fillId="0" borderId="16" xfId="38" applyFont="1" applyFill="1" applyBorder="1" applyAlignment="1" applyProtection="1">
      <alignment horizontal="center" wrapText="1"/>
      <protection locked="0"/>
    </xf>
    <xf numFmtId="0" fontId="64" fillId="0" borderId="0" xfId="38" applyFont="1" applyFill="1" applyBorder="1" applyAlignment="1" applyProtection="1">
      <alignment horizontal="center" vertical="top" wrapText="1"/>
      <protection locked="0"/>
    </xf>
    <xf numFmtId="0" fontId="64" fillId="0" borderId="15" xfId="38" applyFont="1" applyFill="1" applyBorder="1" applyAlignment="1" applyProtection="1">
      <alignment horizontal="center" vertical="center" wrapText="1"/>
      <protection locked="0"/>
    </xf>
    <xf numFmtId="49" fontId="64" fillId="0" borderId="16" xfId="0" applyNumberFormat="1" applyFont="1" applyBorder="1" applyAlignment="1">
      <alignment horizontal="center" wrapText="1"/>
    </xf>
    <xf numFmtId="49" fontId="64" fillId="0" borderId="0" xfId="0" applyNumberFormat="1" applyFont="1" applyAlignment="1">
      <alignment horizontal="center" vertical="center" wrapText="1"/>
    </xf>
    <xf numFmtId="49" fontId="64" fillId="0" borderId="17" xfId="0" applyNumberFormat="1" applyFont="1" applyBorder="1" applyAlignment="1">
      <alignment horizontal="center" vertical="top" wrapText="1"/>
    </xf>
    <xf numFmtId="49" fontId="64" fillId="28" borderId="16" xfId="0" applyNumberFormat="1" applyFont="1" applyFill="1" applyBorder="1" applyAlignment="1">
      <alignment horizontal="center" wrapText="1"/>
    </xf>
    <xf numFmtId="49" fontId="64" fillId="28" borderId="17" xfId="0" applyNumberFormat="1" applyFont="1" applyFill="1" applyBorder="1" applyAlignment="1">
      <alignment horizontal="center" vertical="top" wrapText="1"/>
    </xf>
    <xf numFmtId="0" fontId="60" fillId="0" borderId="15" xfId="38" applyFont="1" applyFill="1" applyBorder="1" applyAlignment="1" applyProtection="1">
      <alignment horizontal="center" vertical="center" wrapText="1"/>
      <protection locked="0"/>
    </xf>
    <xf numFmtId="49" fontId="89" fillId="0" borderId="15" xfId="0" applyNumberFormat="1" applyFont="1" applyBorder="1" applyAlignment="1">
      <alignment horizontal="center" vertical="center"/>
    </xf>
    <xf numFmtId="49" fontId="64" fillId="0" borderId="15" xfId="0" applyNumberFormat="1" applyFont="1" applyBorder="1" applyAlignment="1">
      <alignment horizontal="center" vertical="center"/>
    </xf>
    <xf numFmtId="49" fontId="114" fillId="38" borderId="15" xfId="0" applyNumberFormat="1" applyFont="1" applyFill="1" applyBorder="1" applyAlignment="1">
      <alignment horizontal="center" vertical="center" wrapText="1"/>
    </xf>
    <xf numFmtId="0" fontId="114" fillId="38" borderId="15" xfId="38" applyFont="1" applyFill="1" applyBorder="1" applyAlignment="1" applyProtection="1">
      <alignment horizontal="center" vertical="center" wrapText="1"/>
      <protection locked="0"/>
    </xf>
    <xf numFmtId="4" fontId="114" fillId="38" borderId="15" xfId="0" applyNumberFormat="1" applyFont="1" applyFill="1" applyBorder="1" applyAlignment="1">
      <alignment horizontal="center" vertical="center" wrapText="1"/>
    </xf>
    <xf numFmtId="4" fontId="114" fillId="38" borderId="15" xfId="38" applyNumberFormat="1" applyFont="1" applyFill="1" applyBorder="1" applyAlignment="1" applyProtection="1">
      <alignment horizontal="center" vertical="center" wrapText="1"/>
      <protection locked="0"/>
    </xf>
    <xf numFmtId="49" fontId="110" fillId="39" borderId="15" xfId="0" applyNumberFormat="1" applyFont="1" applyFill="1" applyBorder="1" applyAlignment="1">
      <alignment horizontal="center" vertical="center" wrapText="1"/>
    </xf>
    <xf numFmtId="0" fontId="110" fillId="39" borderId="15" xfId="38" applyFont="1" applyFill="1" applyBorder="1" applyAlignment="1" applyProtection="1">
      <alignment horizontal="center" vertical="center" wrapText="1"/>
      <protection locked="0"/>
    </xf>
    <xf numFmtId="4" fontId="110" fillId="39" borderId="15" xfId="38" applyNumberFormat="1" applyFont="1" applyFill="1" applyBorder="1" applyAlignment="1" applyProtection="1">
      <alignment horizontal="center" vertical="center" wrapText="1"/>
      <protection locked="0"/>
    </xf>
    <xf numFmtId="4" fontId="110" fillId="39" borderId="15" xfId="0" applyNumberFormat="1" applyFont="1" applyFill="1" applyBorder="1" applyAlignment="1">
      <alignment horizontal="center" vertical="center" wrapText="1"/>
    </xf>
    <xf numFmtId="49" fontId="110" fillId="0" borderId="15" xfId="0" applyNumberFormat="1" applyFont="1" applyBorder="1" applyAlignment="1">
      <alignment horizontal="center" vertical="center" wrapText="1"/>
    </xf>
    <xf numFmtId="0" fontId="110" fillId="0" borderId="15" xfId="38" applyFont="1" applyFill="1" applyBorder="1" applyAlignment="1" applyProtection="1">
      <alignment horizontal="center" vertical="center" wrapText="1"/>
      <protection locked="0"/>
    </xf>
    <xf numFmtId="4" fontId="110" fillId="0" borderId="15" xfId="0" applyNumberFormat="1" applyFont="1" applyBorder="1" applyAlignment="1">
      <alignment horizontal="center" vertical="center" wrapText="1"/>
    </xf>
    <xf numFmtId="49" fontId="114" fillId="0" borderId="15" xfId="0" applyNumberFormat="1" applyFont="1" applyBorder="1" applyAlignment="1">
      <alignment horizontal="center" vertical="center" wrapText="1"/>
    </xf>
    <xf numFmtId="0" fontId="114" fillId="0" borderId="15" xfId="38" applyFont="1" applyFill="1" applyBorder="1" applyAlignment="1" applyProtection="1">
      <alignment horizontal="center" vertical="center" wrapText="1"/>
      <protection locked="0"/>
    </xf>
    <xf numFmtId="4" fontId="114" fillId="0" borderId="15" xfId="0" applyNumberFormat="1" applyFont="1" applyBorder="1" applyAlignment="1">
      <alignment horizontal="center" vertical="center" wrapText="1"/>
    </xf>
    <xf numFmtId="49" fontId="67" fillId="0" borderId="15" xfId="35" applyNumberFormat="1" applyFont="1" applyBorder="1" applyAlignment="1">
      <alignment horizontal="center" vertical="center" wrapText="1"/>
    </xf>
    <xf numFmtId="49" fontId="158" fillId="0" borderId="15" xfId="0" applyNumberFormat="1" applyFont="1" applyBorder="1" applyAlignment="1">
      <alignment horizontal="center" vertical="center" wrapText="1"/>
    </xf>
    <xf numFmtId="0" fontId="158" fillId="0" borderId="15" xfId="38" applyFont="1" applyFill="1" applyBorder="1" applyAlignment="1" applyProtection="1">
      <alignment horizontal="center" vertical="center" wrapText="1"/>
      <protection locked="0"/>
    </xf>
    <xf numFmtId="4" fontId="158" fillId="0" borderId="15" xfId="0" applyNumberFormat="1" applyFont="1" applyBorder="1" applyAlignment="1">
      <alignment horizontal="center" vertical="center" wrapText="1"/>
    </xf>
    <xf numFmtId="0" fontId="67" fillId="0" borderId="15" xfId="35" applyFont="1" applyBorder="1" applyAlignment="1">
      <alignment horizontal="center" vertical="center" wrapText="1"/>
    </xf>
    <xf numFmtId="4" fontId="67" fillId="0" borderId="15" xfId="35" applyNumberFormat="1" applyFont="1" applyBorder="1" applyAlignment="1">
      <alignment horizontal="center" vertical="center"/>
    </xf>
    <xf numFmtId="0" fontId="110" fillId="0" borderId="0" xfId="0" applyFont="1" applyAlignment="1">
      <alignment horizontal="center" vertical="center"/>
    </xf>
    <xf numFmtId="0" fontId="110" fillId="0" borderId="0" xfId="0" applyFont="1" applyAlignment="1">
      <alignment horizontal="left" vertical="center"/>
    </xf>
    <xf numFmtId="4" fontId="110" fillId="0" borderId="0" xfId="0" applyNumberFormat="1" applyFont="1" applyAlignment="1">
      <alignment horizontal="center" vertical="center"/>
    </xf>
    <xf numFmtId="0" fontId="67" fillId="0" borderId="0" xfId="0" applyFont="1" applyAlignment="1">
      <alignment horizontal="left" vertical="center"/>
    </xf>
    <xf numFmtId="0" fontId="67" fillId="0" borderId="0" xfId="39" applyFont="1"/>
    <xf numFmtId="0" fontId="67" fillId="0" borderId="0" xfId="0" applyFont="1" applyAlignment="1">
      <alignment horizontal="center" vertical="center"/>
    </xf>
    <xf numFmtId="49" fontId="64" fillId="0" borderId="19" xfId="0" applyNumberFormat="1" applyFont="1" applyBorder="1" applyAlignment="1">
      <alignment horizontal="center" vertical="center" wrapText="1"/>
    </xf>
    <xf numFmtId="4" fontId="60" fillId="0" borderId="22" xfId="0" applyNumberFormat="1" applyFont="1" applyBorder="1" applyAlignment="1">
      <alignment horizontal="center" vertical="center" wrapText="1"/>
    </xf>
    <xf numFmtId="49" fontId="64" fillId="0" borderId="19" xfId="0" applyNumberFormat="1" applyFont="1" applyBorder="1" applyAlignment="1">
      <alignment horizontal="left" vertical="center" wrapText="1"/>
    </xf>
    <xf numFmtId="4" fontId="64" fillId="0" borderId="22" xfId="0" applyNumberFormat="1" applyFont="1" applyBorder="1" applyAlignment="1">
      <alignment horizontal="center" vertical="center" wrapText="1"/>
    </xf>
    <xf numFmtId="4" fontId="64" fillId="27" borderId="22" xfId="0" applyNumberFormat="1" applyFont="1" applyFill="1" applyBorder="1" applyAlignment="1">
      <alignment horizontal="center" vertical="center" wrapText="1"/>
    </xf>
    <xf numFmtId="49" fontId="64" fillId="0" borderId="15" xfId="0" applyNumberFormat="1" applyFont="1" applyBorder="1" applyAlignment="1">
      <alignment horizontal="left" vertical="center" wrapText="1"/>
    </xf>
    <xf numFmtId="4" fontId="64" fillId="0" borderId="19" xfId="0" applyNumberFormat="1" applyFont="1" applyBorder="1" applyAlignment="1">
      <alignment horizontal="center" vertical="center" wrapText="1"/>
    </xf>
    <xf numFmtId="0" fontId="128" fillId="0" borderId="0" xfId="0" applyFont="1"/>
    <xf numFmtId="4" fontId="67" fillId="0" borderId="16" xfId="30" applyNumberFormat="1" applyFont="1" applyBorder="1" applyAlignment="1">
      <alignment horizontal="center" vertical="center"/>
    </xf>
    <xf numFmtId="0" fontId="158" fillId="0" borderId="15" xfId="100" applyFont="1" applyBorder="1" applyAlignment="1">
      <alignment horizontal="center" vertical="center" wrapText="1"/>
    </xf>
    <xf numFmtId="49" fontId="67" fillId="0" borderId="15" xfId="18" applyNumberFormat="1" applyFont="1" applyBorder="1" applyAlignment="1">
      <alignment horizontal="center" vertical="center" wrapText="1"/>
    </xf>
    <xf numFmtId="0" fontId="67" fillId="0" borderId="15" xfId="92" applyFont="1" applyBorder="1" applyAlignment="1">
      <alignment horizontal="center" vertical="center" wrapText="1"/>
    </xf>
    <xf numFmtId="4" fontId="67" fillId="42" borderId="15" xfId="30" applyNumberFormat="1" applyFont="1" applyFill="1" applyBorder="1" applyAlignment="1">
      <alignment horizontal="center" vertical="center"/>
    </xf>
    <xf numFmtId="0" fontId="67" fillId="0" borderId="15" xfId="40" applyFont="1" applyBorder="1" applyAlignment="1">
      <alignment horizontal="center" vertical="center" wrapText="1"/>
    </xf>
    <xf numFmtId="0" fontId="67" fillId="0" borderId="15" xfId="84" applyFont="1" applyBorder="1" applyAlignment="1">
      <alignment horizontal="center" vertical="center" wrapText="1"/>
    </xf>
    <xf numFmtId="4" fontId="163" fillId="0" borderId="15" xfId="0" applyNumberFormat="1" applyFont="1" applyBorder="1" applyAlignment="1">
      <alignment horizontal="center" vertical="center" wrapText="1"/>
    </xf>
    <xf numFmtId="4" fontId="64" fillId="0" borderId="22" xfId="38" applyNumberFormat="1" applyFont="1" applyFill="1" applyBorder="1" applyAlignment="1" applyProtection="1">
      <alignment horizontal="center" vertical="center" wrapText="1"/>
      <protection locked="0"/>
    </xf>
    <xf numFmtId="165" fontId="64" fillId="0" borderId="16" xfId="30" applyNumberFormat="1" applyFont="1" applyBorder="1" applyAlignment="1">
      <alignment horizontal="center" vertical="center" wrapText="1"/>
    </xf>
    <xf numFmtId="165" fontId="64" fillId="43" borderId="15" xfId="30" applyNumberFormat="1" applyFont="1" applyFill="1" applyBorder="1" applyAlignment="1">
      <alignment horizontal="center" vertical="center" wrapText="1"/>
    </xf>
    <xf numFmtId="4" fontId="64" fillId="43" borderId="15" xfId="0" applyNumberFormat="1" applyFont="1" applyFill="1" applyBorder="1" applyAlignment="1">
      <alignment horizontal="center" vertical="center" wrapText="1"/>
    </xf>
    <xf numFmtId="4" fontId="164" fillId="0" borderId="15" xfId="36" applyNumberFormat="1" applyFont="1" applyFill="1" applyBorder="1" applyAlignment="1">
      <alignment horizontal="center" vertical="center" wrapText="1"/>
    </xf>
    <xf numFmtId="4" fontId="32" fillId="0" borderId="15" xfId="38" applyNumberFormat="1" applyFont="1" applyFill="1" applyBorder="1" applyAlignment="1">
      <alignment horizontal="center" vertical="center" wrapText="1"/>
    </xf>
    <xf numFmtId="4" fontId="32" fillId="0" borderId="15" xfId="0" applyNumberFormat="1" applyFont="1" applyBorder="1" applyAlignment="1">
      <alignment horizontal="center" vertical="center"/>
    </xf>
    <xf numFmtId="4" fontId="30" fillId="0" borderId="15" xfId="38" applyNumberFormat="1" applyFont="1" applyFill="1" applyBorder="1" applyAlignment="1">
      <alignment horizontal="center" vertical="center" wrapText="1"/>
    </xf>
    <xf numFmtId="4" fontId="99" fillId="37" borderId="8" xfId="0" applyNumberFormat="1" applyFont="1" applyFill="1" applyBorder="1" applyAlignment="1">
      <alignment horizontal="center" vertical="center" wrapText="1"/>
    </xf>
    <xf numFmtId="4" fontId="32" fillId="0" borderId="15" xfId="0" applyNumberFormat="1" applyFont="1" applyBorder="1" applyAlignment="1">
      <alignment horizontal="center" vertical="center" wrapText="1"/>
    </xf>
    <xf numFmtId="4" fontId="30" fillId="0" borderId="16" xfId="38" applyNumberFormat="1" applyFont="1" applyFill="1" applyBorder="1" applyAlignment="1">
      <alignment horizontal="center" vertical="center" wrapText="1"/>
    </xf>
    <xf numFmtId="165" fontId="30" fillId="0" borderId="16" xfId="30" applyNumberFormat="1" applyFont="1" applyBorder="1" applyAlignment="1">
      <alignment horizontal="center" vertical="center" wrapText="1"/>
    </xf>
    <xf numFmtId="4" fontId="99" fillId="29" borderId="8" xfId="0" applyNumberFormat="1" applyFont="1" applyFill="1" applyBorder="1" applyAlignment="1">
      <alignment horizontal="center" vertical="center" wrapText="1"/>
    </xf>
    <xf numFmtId="4" fontId="86" fillId="0" borderId="15" xfId="38" applyNumberFormat="1" applyFont="1" applyFill="1" applyBorder="1" applyAlignment="1" applyProtection="1">
      <alignment horizontal="center" vertical="center" wrapText="1"/>
      <protection locked="0"/>
    </xf>
    <xf numFmtId="0" fontId="12" fillId="0" borderId="0" xfId="0" applyFont="1" applyAlignment="1">
      <alignment horizontal="center" vertical="top"/>
    </xf>
    <xf numFmtId="0" fontId="10" fillId="0" borderId="0" xfId="0" applyFont="1" applyAlignment="1">
      <alignment horizontal="center" vertical="center"/>
    </xf>
    <xf numFmtId="0" fontId="16" fillId="0" borderId="0" xfId="0" applyFont="1" applyAlignment="1">
      <alignment horizontal="center" vertical="center"/>
    </xf>
    <xf numFmtId="0" fontId="30" fillId="0" borderId="15" xfId="38" applyFont="1" applyFill="1" applyBorder="1" applyAlignment="1" applyProtection="1">
      <alignment horizontal="center" vertical="center" wrapText="1"/>
      <protection locked="0"/>
    </xf>
    <xf numFmtId="0" fontId="29" fillId="0" borderId="17" xfId="38" applyFont="1" applyFill="1" applyBorder="1" applyAlignment="1" applyProtection="1">
      <alignment horizontal="center" vertical="top" wrapText="1"/>
      <protection locked="0"/>
    </xf>
    <xf numFmtId="0" fontId="16" fillId="0" borderId="0" xfId="39" applyFont="1" applyAlignment="1">
      <alignment vertical="center" wrapText="1"/>
    </xf>
    <xf numFmtId="0" fontId="30" fillId="0" borderId="0" xfId="0" applyFont="1" applyAlignment="1">
      <alignment horizontal="center" vertical="top"/>
    </xf>
    <xf numFmtId="0" fontId="90" fillId="0" borderId="0" xfId="0" applyFont="1" applyAlignment="1">
      <alignment horizontal="center"/>
    </xf>
    <xf numFmtId="0" fontId="0" fillId="0" borderId="0" xfId="0" applyAlignment="1">
      <alignment horizontal="center"/>
    </xf>
    <xf numFmtId="0" fontId="10" fillId="0" borderId="0" xfId="0" applyFont="1"/>
    <xf numFmtId="49" fontId="30" fillId="28" borderId="0" xfId="0" applyNumberFormat="1" applyFont="1" applyFill="1" applyAlignment="1">
      <alignment horizontal="center" vertical="center" wrapText="1"/>
    </xf>
    <xf numFmtId="49" fontId="69" fillId="44" borderId="15" xfId="0" applyNumberFormat="1" applyFont="1" applyFill="1" applyBorder="1" applyAlignment="1">
      <alignment horizontal="center" vertical="center" wrapText="1"/>
    </xf>
    <xf numFmtId="0" fontId="69" fillId="44" borderId="15" xfId="38" applyFont="1" applyFill="1" applyBorder="1" applyAlignment="1" applyProtection="1">
      <alignment horizontal="center" vertical="center" wrapText="1"/>
      <protection locked="0"/>
    </xf>
    <xf numFmtId="4" fontId="69" fillId="44" borderId="15" xfId="0" applyNumberFormat="1" applyFont="1" applyFill="1" applyBorder="1" applyAlignment="1">
      <alignment horizontal="center" vertical="center" wrapText="1"/>
    </xf>
    <xf numFmtId="49" fontId="29" fillId="45" borderId="15" xfId="0" applyNumberFormat="1" applyFont="1" applyFill="1" applyBorder="1" applyAlignment="1">
      <alignment horizontal="center" vertical="center" wrapText="1"/>
    </xf>
    <xf numFmtId="0" fontId="29" fillId="45" borderId="15" xfId="38" applyFont="1" applyFill="1" applyBorder="1" applyAlignment="1" applyProtection="1">
      <alignment horizontal="center" vertical="center" wrapText="1"/>
      <protection locked="0"/>
    </xf>
    <xf numFmtId="4" fontId="29" fillId="45" borderId="15" xfId="38" applyNumberFormat="1" applyFont="1" applyFill="1" applyBorder="1" applyAlignment="1" applyProtection="1">
      <alignment horizontal="center" vertical="center" wrapText="1"/>
      <protection locked="0"/>
    </xf>
    <xf numFmtId="0" fontId="12" fillId="0" borderId="0" xfId="0" applyFont="1"/>
    <xf numFmtId="0" fontId="167" fillId="0" borderId="0" xfId="0" applyFont="1"/>
    <xf numFmtId="4" fontId="16" fillId="0" borderId="15" xfId="0" applyNumberFormat="1" applyFont="1" applyBorder="1" applyAlignment="1">
      <alignment horizontal="center" vertical="center"/>
    </xf>
    <xf numFmtId="4" fontId="16" fillId="0" borderId="22" xfId="0" applyNumberFormat="1" applyFont="1" applyBorder="1" applyAlignment="1">
      <alignment horizontal="center" vertical="center"/>
    </xf>
    <xf numFmtId="4" fontId="16" fillId="37" borderId="15" xfId="0" applyNumberFormat="1" applyFont="1" applyFill="1" applyBorder="1" applyAlignment="1">
      <alignment horizontal="center" vertical="center"/>
    </xf>
    <xf numFmtId="0" fontId="167" fillId="0" borderId="15" xfId="0" applyFont="1" applyBorder="1" applyAlignment="1">
      <alignment horizontal="center" vertical="top" wrapText="1"/>
    </xf>
    <xf numFmtId="0" fontId="167" fillId="0" borderId="15" xfId="35" applyFont="1" applyBorder="1" applyAlignment="1">
      <alignment horizontal="center" vertical="top" wrapText="1"/>
    </xf>
    <xf numFmtId="0" fontId="167" fillId="0" borderId="15" xfId="0" applyFont="1" applyBorder="1" applyAlignment="1">
      <alignment horizontal="center" vertical="top"/>
    </xf>
    <xf numFmtId="0" fontId="16" fillId="0" borderId="15" xfId="0" applyFont="1" applyBorder="1" applyAlignment="1">
      <alignment horizontal="center" vertical="center"/>
    </xf>
    <xf numFmtId="49" fontId="16" fillId="0" borderId="15" xfId="0" applyNumberFormat="1" applyFont="1" applyBorder="1" applyAlignment="1">
      <alignment horizontal="center" vertical="center" wrapText="1"/>
    </xf>
    <xf numFmtId="0" fontId="16" fillId="0" borderId="15" xfId="0" applyFont="1" applyBorder="1" applyAlignment="1">
      <alignment horizontal="center" vertical="center" wrapText="1"/>
    </xf>
    <xf numFmtId="0" fontId="167" fillId="0" borderId="0" xfId="0" applyFont="1" applyAlignment="1">
      <alignment horizontal="center" vertical="center"/>
    </xf>
    <xf numFmtId="4" fontId="167" fillId="0" borderId="0" xfId="0" applyNumberFormat="1" applyFont="1" applyAlignment="1">
      <alignment horizontal="center" vertical="center"/>
    </xf>
    <xf numFmtId="0" fontId="40" fillId="0" borderId="0" xfId="0" applyFont="1"/>
    <xf numFmtId="0" fontId="16" fillId="0" borderId="0" xfId="0" applyFont="1" applyAlignment="1">
      <alignment horizontal="right" vertical="center"/>
    </xf>
    <xf numFmtId="4" fontId="16" fillId="0" borderId="0" xfId="0" applyNumberFormat="1" applyFont="1" applyAlignment="1">
      <alignment horizontal="left" vertical="center"/>
    </xf>
    <xf numFmtId="4" fontId="16" fillId="0" borderId="0" xfId="0" applyNumberFormat="1" applyFont="1" applyAlignment="1">
      <alignment horizontal="center" vertical="center"/>
    </xf>
    <xf numFmtId="0" fontId="149" fillId="0" borderId="0" xfId="0" applyFont="1" applyAlignment="1">
      <alignment horizontal="justify" vertical="center"/>
    </xf>
    <xf numFmtId="4" fontId="69" fillId="44" borderId="15" xfId="38" applyNumberFormat="1" applyFont="1" applyFill="1" applyBorder="1" applyAlignment="1" applyProtection="1">
      <alignment horizontal="center" vertical="center" wrapText="1"/>
      <protection locked="0"/>
    </xf>
    <xf numFmtId="4" fontId="98" fillId="28" borderId="0" xfId="0" applyNumberFormat="1" applyFont="1" applyFill="1" applyAlignment="1">
      <alignment horizontal="center" vertical="center" wrapText="1"/>
    </xf>
    <xf numFmtId="0" fontId="169" fillId="0" borderId="0" xfId="35" applyFont="1"/>
    <xf numFmtId="0" fontId="170" fillId="0" borderId="0" xfId="35" applyFont="1" applyAlignment="1">
      <alignment horizontal="center" vertical="center" wrapText="1"/>
    </xf>
    <xf numFmtId="0" fontId="12" fillId="0" borderId="0" xfId="0" applyFont="1" applyAlignment="1">
      <alignment horizontal="center" vertical="center"/>
    </xf>
    <xf numFmtId="0" fontId="169" fillId="0" borderId="0" xfId="35" applyFont="1" applyAlignment="1">
      <alignment horizontal="center"/>
    </xf>
    <xf numFmtId="0" fontId="170" fillId="0" borderId="0" xfId="35" applyFont="1" applyAlignment="1">
      <alignment horizontal="right"/>
    </xf>
    <xf numFmtId="0" fontId="148" fillId="0" borderId="0" xfId="35" applyFont="1" applyAlignment="1">
      <alignment horizontal="center"/>
    </xf>
    <xf numFmtId="0" fontId="12" fillId="0" borderId="0" xfId="35" applyAlignment="1">
      <alignment horizontal="right" vertical="center"/>
    </xf>
    <xf numFmtId="0" fontId="171" fillId="0" borderId="15" xfId="35" applyFont="1" applyBorder="1" applyAlignment="1">
      <alignment horizontal="center" vertical="top" wrapText="1"/>
    </xf>
    <xf numFmtId="0" fontId="147" fillId="0" borderId="15" xfId="35" applyFont="1" applyBorder="1" applyAlignment="1">
      <alignment horizontal="center" vertical="center" wrapText="1"/>
    </xf>
    <xf numFmtId="0" fontId="147" fillId="0" borderId="15" xfId="0" applyFont="1" applyBorder="1" applyAlignment="1">
      <alignment horizontal="center" vertical="center"/>
    </xf>
    <xf numFmtId="49" fontId="153" fillId="0" borderId="15" xfId="0" applyNumberFormat="1" applyFont="1" applyBorder="1" applyAlignment="1">
      <alignment horizontal="center" vertical="center" wrapText="1"/>
    </xf>
    <xf numFmtId="0" fontId="153" fillId="0" borderId="15" xfId="38" applyFont="1" applyFill="1" applyBorder="1" applyAlignment="1" applyProtection="1">
      <alignment horizontal="center" vertical="center" wrapText="1"/>
      <protection locked="0"/>
    </xf>
    <xf numFmtId="4" fontId="153" fillId="0" borderId="15" xfId="0" applyNumberFormat="1" applyFont="1" applyBorder="1" applyAlignment="1">
      <alignment horizontal="center" vertical="center" wrapText="1"/>
    </xf>
    <xf numFmtId="49" fontId="152" fillId="0" borderId="15" xfId="0" applyNumberFormat="1" applyFont="1" applyBorder="1" applyAlignment="1">
      <alignment horizontal="center" vertical="center" wrapText="1"/>
    </xf>
    <xf numFmtId="0" fontId="152" fillId="0" borderId="15" xfId="38" applyFont="1" applyFill="1" applyBorder="1" applyAlignment="1" applyProtection="1">
      <alignment horizontal="center" vertical="center" wrapText="1"/>
      <protection locked="0"/>
    </xf>
    <xf numFmtId="4" fontId="152" fillId="0" borderId="15" xfId="0" applyNumberFormat="1" applyFont="1" applyBorder="1" applyAlignment="1">
      <alignment horizontal="center" vertical="center" wrapText="1"/>
    </xf>
    <xf numFmtId="49" fontId="149" fillId="0" borderId="15" xfId="35" applyNumberFormat="1" applyFont="1" applyBorder="1" applyAlignment="1">
      <alignment horizontal="center" vertical="center" wrapText="1"/>
    </xf>
    <xf numFmtId="49" fontId="172" fillId="0" borderId="15" xfId="0" applyNumberFormat="1" applyFont="1" applyBorder="1" applyAlignment="1">
      <alignment horizontal="center" vertical="center" wrapText="1"/>
    </xf>
    <xf numFmtId="0" fontId="172" fillId="0" borderId="15" xfId="38" applyFont="1" applyFill="1" applyBorder="1" applyAlignment="1" applyProtection="1">
      <alignment horizontal="center" vertical="center" wrapText="1"/>
      <protection locked="0"/>
    </xf>
    <xf numFmtId="4" fontId="172" fillId="0" borderId="15" xfId="0" applyNumberFormat="1" applyFont="1" applyBorder="1" applyAlignment="1">
      <alignment horizontal="center" vertical="center" wrapText="1"/>
    </xf>
    <xf numFmtId="4" fontId="149" fillId="0" borderId="15" xfId="35" applyNumberFormat="1" applyFont="1" applyBorder="1" applyAlignment="1">
      <alignment horizontal="center" vertical="center"/>
    </xf>
    <xf numFmtId="0" fontId="149" fillId="0" borderId="0" xfId="39" applyFont="1" applyAlignment="1">
      <alignment vertical="center"/>
    </xf>
    <xf numFmtId="0" fontId="69" fillId="0" borderId="15" xfId="0" applyFont="1" applyBorder="1" applyAlignment="1">
      <alignment horizontal="center" vertical="center" wrapText="1"/>
    </xf>
    <xf numFmtId="4" fontId="82" fillId="0" borderId="15" xfId="0" applyNumberFormat="1" applyFont="1" applyBorder="1" applyAlignment="1">
      <alignment horizontal="center" vertical="center"/>
    </xf>
    <xf numFmtId="0" fontId="0" fillId="0" borderId="0" xfId="0" applyAlignment="1">
      <alignment horizontal="left"/>
    </xf>
    <xf numFmtId="0" fontId="12" fillId="0" borderId="0" xfId="0" applyFont="1" applyAlignment="1">
      <alignment horizontal="right"/>
    </xf>
    <xf numFmtId="0" fontId="177" fillId="0" borderId="24" xfId="0" applyFont="1" applyBorder="1" applyAlignment="1">
      <alignment horizontal="center" vertical="center" wrapText="1"/>
    </xf>
    <xf numFmtId="0" fontId="170" fillId="0" borderId="24" xfId="0" applyFont="1" applyBorder="1" applyAlignment="1">
      <alignment horizontal="center" vertical="top" wrapText="1"/>
    </xf>
    <xf numFmtId="0" fontId="178" fillId="0" borderId="24" xfId="0" applyFont="1" applyBorder="1" applyAlignment="1">
      <alignment horizontal="center" vertical="center" wrapText="1"/>
    </xf>
    <xf numFmtId="4" fontId="178" fillId="0" borderId="24" xfId="0" applyNumberFormat="1" applyFont="1" applyBorder="1" applyAlignment="1">
      <alignment horizontal="left" vertical="center" wrapText="1"/>
    </xf>
    <xf numFmtId="4" fontId="178" fillId="0" borderId="24" xfId="0" applyNumberFormat="1" applyFont="1" applyBorder="1" applyAlignment="1">
      <alignment horizontal="center" vertical="center" wrapText="1"/>
    </xf>
    <xf numFmtId="0" fontId="12" fillId="0" borderId="24" xfId="0" applyFont="1" applyBorder="1" applyAlignment="1">
      <alignment horizontal="center" vertical="center" wrapText="1"/>
    </xf>
    <xf numFmtId="0" fontId="12" fillId="0" borderId="24" xfId="0" applyFont="1" applyBorder="1" applyAlignment="1">
      <alignment horizontal="left" vertical="center" wrapText="1"/>
    </xf>
    <xf numFmtId="4" fontId="12" fillId="0" borderId="24" xfId="0" applyNumberFormat="1" applyFont="1" applyBorder="1" applyAlignment="1">
      <alignment horizontal="center" vertical="center" wrapText="1"/>
    </xf>
    <xf numFmtId="0" fontId="179" fillId="0" borderId="24" xfId="0" applyFont="1" applyBorder="1" applyAlignment="1">
      <alignment horizontal="center" vertical="center" wrapText="1"/>
    </xf>
    <xf numFmtId="4" fontId="179" fillId="0" borderId="24" xfId="0" applyNumberFormat="1" applyFont="1" applyBorder="1" applyAlignment="1">
      <alignment horizontal="left" vertical="center" wrapText="1"/>
    </xf>
    <xf numFmtId="4" fontId="179" fillId="0" borderId="24" xfId="0" applyNumberFormat="1" applyFont="1" applyBorder="1" applyAlignment="1">
      <alignment horizontal="center" vertical="center" wrapText="1"/>
    </xf>
    <xf numFmtId="4" fontId="147" fillId="0" borderId="24" xfId="0" applyNumberFormat="1" applyFont="1" applyBorder="1" applyAlignment="1">
      <alignment horizontal="center" vertical="center" wrapText="1"/>
    </xf>
    <xf numFmtId="4" fontId="147" fillId="0" borderId="24" xfId="0" applyNumberFormat="1" applyFont="1" applyBorder="1" applyAlignment="1">
      <alignment horizontal="left" vertical="center" wrapText="1"/>
    </xf>
    <xf numFmtId="0" fontId="179" fillId="0" borderId="24" xfId="0" applyFont="1" applyBorder="1" applyAlignment="1">
      <alignment horizontal="left" vertical="center" wrapText="1"/>
    </xf>
    <xf numFmtId="0" fontId="147" fillId="0" borderId="24" xfId="0" applyFont="1" applyBorder="1" applyAlignment="1">
      <alignment horizontal="center" vertical="center" wrapText="1"/>
    </xf>
    <xf numFmtId="0" fontId="147" fillId="0" borderId="24" xfId="0" applyFont="1" applyBorder="1" applyAlignment="1">
      <alignment horizontal="left" vertical="center" wrapText="1"/>
    </xf>
    <xf numFmtId="0" fontId="147" fillId="41" borderId="24" xfId="0" applyFont="1" applyFill="1" applyBorder="1" applyAlignment="1">
      <alignment horizontal="center" vertical="center" wrapText="1"/>
    </xf>
    <xf numFmtId="0" fontId="147" fillId="41" borderId="24" xfId="0" applyFont="1" applyFill="1" applyBorder="1" applyAlignment="1">
      <alignment horizontal="left" vertical="center" wrapText="1"/>
    </xf>
    <xf numFmtId="4" fontId="147" fillId="41" borderId="24" xfId="0" applyNumberFormat="1" applyFont="1" applyFill="1" applyBorder="1" applyAlignment="1">
      <alignment horizontal="center" vertical="center" wrapText="1"/>
    </xf>
    <xf numFmtId="0" fontId="178" fillId="0" borderId="24" xfId="0" applyFont="1" applyBorder="1" applyAlignment="1">
      <alignment horizontal="left" vertical="center" wrapText="1"/>
    </xf>
    <xf numFmtId="4" fontId="29" fillId="34" borderId="7" xfId="36" applyNumberFormat="1" applyFont="1" applyFill="1" applyBorder="1" applyAlignment="1">
      <alignment horizontal="center" vertical="center" wrapText="1"/>
    </xf>
    <xf numFmtId="0" fontId="30" fillId="0" borderId="0" xfId="0" applyFont="1" applyAlignment="1">
      <alignment horizontal="justify" vertical="center"/>
    </xf>
    <xf numFmtId="0" fontId="150" fillId="0" borderId="15" xfId="38" applyFont="1" applyFill="1" applyBorder="1" applyAlignment="1" applyProtection="1">
      <alignment horizontal="center" vertical="center" wrapText="1"/>
      <protection locked="0"/>
    </xf>
    <xf numFmtId="4" fontId="31" fillId="0" borderId="16" xfId="0" applyNumberFormat="1" applyFont="1" applyBorder="1" applyAlignment="1">
      <alignment horizontal="center" vertical="center" wrapText="1"/>
    </xf>
    <xf numFmtId="4" fontId="32" fillId="0" borderId="16" xfId="0" applyNumberFormat="1" applyFont="1" applyBorder="1" applyAlignment="1">
      <alignment horizontal="center" vertical="center" wrapText="1"/>
    </xf>
    <xf numFmtId="4" fontId="32" fillId="0" borderId="16" xfId="0" applyNumberFormat="1" applyFont="1" applyBorder="1" applyAlignment="1">
      <alignment horizontal="center" vertical="center"/>
    </xf>
    <xf numFmtId="49" fontId="30" fillId="28" borderId="15" xfId="0" applyNumberFormat="1" applyFont="1" applyFill="1" applyBorder="1" applyAlignment="1">
      <alignment horizontal="center" vertical="center" wrapText="1"/>
    </xf>
    <xf numFmtId="4" fontId="30" fillId="28" borderId="15" xfId="0" applyNumberFormat="1" applyFont="1" applyFill="1" applyBorder="1" applyAlignment="1">
      <alignment horizontal="center" vertical="center" wrapText="1"/>
    </xf>
    <xf numFmtId="4" fontId="98" fillId="29" borderId="14" xfId="0" applyNumberFormat="1" applyFont="1" applyFill="1" applyBorder="1" applyAlignment="1">
      <alignment horizontal="center" vertical="center" wrapText="1"/>
    </xf>
    <xf numFmtId="4" fontId="98" fillId="29" borderId="8" xfId="0" applyNumberFormat="1" applyFont="1" applyFill="1" applyBorder="1" applyAlignment="1">
      <alignment horizontal="center" vertical="center" wrapText="1"/>
    </xf>
    <xf numFmtId="0" fontId="99" fillId="28" borderId="0" xfId="0" applyFont="1" applyFill="1" applyAlignment="1">
      <alignment horizontal="center" vertical="center"/>
    </xf>
    <xf numFmtId="49" fontId="30" fillId="0" borderId="15" xfId="0" applyNumberFormat="1" applyFont="1" applyBorder="1" applyAlignment="1">
      <alignment horizontal="left" vertical="center" wrapText="1"/>
    </xf>
    <xf numFmtId="0" fontId="182" fillId="0" borderId="0" xfId="0" applyFont="1" applyAlignment="1">
      <alignment vertical="center"/>
    </xf>
    <xf numFmtId="0" fontId="182" fillId="0" borderId="0" xfId="0" applyFont="1" applyAlignment="1">
      <alignment horizontal="center" vertical="center"/>
    </xf>
    <xf numFmtId="4" fontId="31" fillId="0" borderId="15" xfId="38" applyNumberFormat="1" applyFont="1" applyFill="1" applyBorder="1" applyAlignment="1">
      <alignment horizontal="center" vertical="center" wrapText="1"/>
    </xf>
    <xf numFmtId="4" fontId="183" fillId="28" borderId="0" xfId="0" applyNumberFormat="1" applyFont="1" applyFill="1" applyAlignment="1">
      <alignment horizontal="left" vertical="center"/>
    </xf>
    <xf numFmtId="49" fontId="150" fillId="0" borderId="16" xfId="0" applyNumberFormat="1" applyFont="1" applyBorder="1" applyAlignment="1">
      <alignment horizontal="center" vertical="center" wrapText="1"/>
    </xf>
    <xf numFmtId="0" fontId="30" fillId="0" borderId="16" xfId="38" applyFont="1" applyFill="1" applyBorder="1" applyAlignment="1" applyProtection="1">
      <alignment horizontal="center" wrapText="1"/>
      <protection locked="0"/>
    </xf>
    <xf numFmtId="0" fontId="30" fillId="0" borderId="0" xfId="38" applyFont="1" applyFill="1" applyBorder="1" applyAlignment="1" applyProtection="1">
      <alignment horizontal="center" vertical="top" wrapText="1"/>
      <protection locked="0"/>
    </xf>
    <xf numFmtId="0" fontId="58" fillId="0" borderId="0" xfId="0" applyFont="1" applyAlignment="1">
      <alignment horizontal="center" vertical="center"/>
    </xf>
    <xf numFmtId="0" fontId="39" fillId="0" borderId="0" xfId="36" applyFont="1" applyFill="1" applyAlignment="1">
      <alignment horizontal="center" vertical="center"/>
    </xf>
    <xf numFmtId="0" fontId="39" fillId="28" borderId="0" xfId="36" applyFont="1" applyFill="1" applyAlignment="1">
      <alignment horizontal="center" vertical="top"/>
    </xf>
    <xf numFmtId="0" fontId="38" fillId="0" borderId="0" xfId="36" applyFont="1" applyFill="1" applyAlignment="1">
      <alignment vertical="center"/>
    </xf>
    <xf numFmtId="0" fontId="16" fillId="0" borderId="0" xfId="36" applyFont="1" applyFill="1" applyAlignment="1">
      <alignment horizontal="right" vertical="center"/>
    </xf>
    <xf numFmtId="0" fontId="167" fillId="28" borderId="0" xfId="36" applyFont="1" applyFill="1" applyAlignment="1">
      <alignment horizontal="center" vertical="top"/>
    </xf>
    <xf numFmtId="2" fontId="38" fillId="28" borderId="0" xfId="36" applyNumberFormat="1" applyFont="1" applyFill="1" applyAlignment="1">
      <alignment horizontal="center" vertical="top"/>
    </xf>
    <xf numFmtId="2" fontId="38" fillId="0" borderId="0" xfId="36" applyNumberFormat="1" applyFont="1" applyAlignment="1">
      <alignment horizontal="center" vertical="top"/>
    </xf>
    <xf numFmtId="2" fontId="16" fillId="0" borderId="15" xfId="36" applyNumberFormat="1" applyFont="1" applyFill="1" applyBorder="1" applyAlignment="1">
      <alignment horizontal="center" vertical="center" wrapText="1"/>
    </xf>
    <xf numFmtId="4" fontId="16" fillId="0" borderId="15" xfId="36" applyNumberFormat="1" applyFont="1" applyFill="1" applyBorder="1" applyAlignment="1">
      <alignment horizontal="center" vertical="center"/>
    </xf>
    <xf numFmtId="4" fontId="185" fillId="0" borderId="15" xfId="36" applyNumberFormat="1" applyFont="1" applyFill="1" applyBorder="1" applyAlignment="1">
      <alignment horizontal="center" vertical="center" wrapText="1"/>
    </xf>
    <xf numFmtId="2" fontId="16" fillId="28" borderId="15" xfId="36" applyNumberFormat="1" applyFont="1" applyFill="1" applyBorder="1" applyAlignment="1">
      <alignment horizontal="center" vertical="center" wrapText="1"/>
    </xf>
    <xf numFmtId="2" fontId="184" fillId="28" borderId="15" xfId="36" applyNumberFormat="1" applyFont="1" applyFill="1" applyBorder="1" applyAlignment="1">
      <alignment horizontal="center" vertical="center" wrapText="1"/>
    </xf>
    <xf numFmtId="0" fontId="10" fillId="28" borderId="15" xfId="0" applyFont="1" applyFill="1" applyBorder="1" applyAlignment="1">
      <alignment horizontal="center"/>
    </xf>
    <xf numFmtId="4" fontId="16" fillId="28" borderId="15" xfId="36" applyNumberFormat="1" applyFont="1" applyFill="1" applyBorder="1" applyAlignment="1">
      <alignment horizontal="center" vertical="center"/>
    </xf>
    <xf numFmtId="4" fontId="16" fillId="0" borderId="15" xfId="36" applyNumberFormat="1" applyFont="1" applyFill="1" applyBorder="1" applyAlignment="1">
      <alignment horizontal="center" vertical="center" wrapText="1"/>
    </xf>
    <xf numFmtId="0" fontId="29" fillId="0" borderId="15" xfId="0" applyFont="1" applyBorder="1" applyAlignment="1">
      <alignment horizontal="center" vertical="center" wrapText="1"/>
    </xf>
    <xf numFmtId="4" fontId="69" fillId="0" borderId="15" xfId="38" applyNumberFormat="1" applyFont="1" applyFill="1" applyBorder="1" applyAlignment="1" applyProtection="1">
      <alignment horizontal="center" vertical="center" wrapText="1"/>
      <protection locked="0"/>
    </xf>
    <xf numFmtId="4" fontId="29" fillId="0" borderId="15" xfId="38" applyNumberFormat="1" applyFont="1" applyFill="1" applyBorder="1" applyAlignment="1" applyProtection="1">
      <alignment horizontal="center" vertical="center" wrapText="1"/>
      <protection locked="0"/>
    </xf>
    <xf numFmtId="4" fontId="150" fillId="0" borderId="15" xfId="38" applyNumberFormat="1" applyFont="1" applyFill="1" applyBorder="1" applyAlignment="1" applyProtection="1">
      <alignment horizontal="center" vertical="center" wrapText="1"/>
      <protection locked="0"/>
    </xf>
    <xf numFmtId="49" fontId="150" fillId="0" borderId="15" xfId="0" applyNumberFormat="1" applyFont="1" applyBorder="1" applyAlignment="1">
      <alignment horizontal="center" vertical="center"/>
    </xf>
    <xf numFmtId="49" fontId="30" fillId="0" borderId="15" xfId="0" applyNumberFormat="1" applyFont="1" applyBorder="1" applyAlignment="1">
      <alignment horizontal="center" vertical="center"/>
    </xf>
    <xf numFmtId="4" fontId="86" fillId="28" borderId="15" xfId="0" applyNumberFormat="1" applyFont="1" applyFill="1" applyBorder="1" applyAlignment="1">
      <alignment horizontal="center" vertical="center" wrapText="1"/>
    </xf>
    <xf numFmtId="4" fontId="31" fillId="28" borderId="15" xfId="0" applyNumberFormat="1" applyFont="1" applyFill="1" applyBorder="1" applyAlignment="1">
      <alignment horizontal="center" vertical="center" wrapText="1"/>
    </xf>
    <xf numFmtId="4" fontId="32" fillId="28" borderId="15" xfId="0" applyNumberFormat="1" applyFont="1" applyFill="1" applyBorder="1" applyAlignment="1">
      <alignment horizontal="center" vertical="center" wrapText="1"/>
    </xf>
    <xf numFmtId="4" fontId="32" fillId="28" borderId="15" xfId="0" applyNumberFormat="1" applyFont="1" applyFill="1" applyBorder="1" applyAlignment="1">
      <alignment horizontal="center" vertical="center"/>
    </xf>
    <xf numFmtId="4" fontId="186" fillId="0" borderId="15" xfId="0" applyNumberFormat="1" applyFont="1" applyBorder="1" applyAlignment="1">
      <alignment horizontal="center" vertical="center" wrapText="1"/>
    </xf>
    <xf numFmtId="4" fontId="31" fillId="40" borderId="15" xfId="0" applyNumberFormat="1" applyFont="1" applyFill="1" applyBorder="1" applyAlignment="1">
      <alignment horizontal="center" vertical="center"/>
    </xf>
    <xf numFmtId="2" fontId="29" fillId="40" borderId="15" xfId="0" applyNumberFormat="1" applyFont="1" applyFill="1" applyBorder="1" applyAlignment="1">
      <alignment horizontal="center" vertical="center"/>
    </xf>
    <xf numFmtId="0" fontId="12" fillId="0" borderId="0" xfId="39"/>
    <xf numFmtId="0" fontId="149" fillId="0" borderId="0" xfId="39" applyFont="1" applyAlignment="1">
      <alignment horizontal="center" vertical="center"/>
    </xf>
    <xf numFmtId="0" fontId="187" fillId="0" borderId="0" xfId="39" applyFont="1" applyAlignment="1">
      <alignment horizontal="center" vertical="center"/>
    </xf>
    <xf numFmtId="0" fontId="170" fillId="0" borderId="0" xfId="39" applyFont="1" applyAlignment="1">
      <alignment vertical="center"/>
    </xf>
    <xf numFmtId="0" fontId="12" fillId="0" borderId="0" xfId="39" applyAlignment="1">
      <alignment horizontal="right" vertical="center"/>
    </xf>
    <xf numFmtId="0" fontId="12" fillId="0" borderId="0" xfId="39" applyAlignment="1">
      <alignment vertical="center" wrapText="1"/>
    </xf>
    <xf numFmtId="0" fontId="147" fillId="0" borderId="24" xfId="39" applyFont="1" applyBorder="1" applyAlignment="1">
      <alignment horizontal="center" vertical="center" wrapText="1"/>
    </xf>
    <xf numFmtId="0" fontId="149" fillId="0" borderId="0" xfId="39" applyFont="1" applyAlignment="1">
      <alignment wrapText="1"/>
    </xf>
    <xf numFmtId="4" fontId="147" fillId="0" borderId="24" xfId="39" applyNumberFormat="1" applyFont="1" applyBorder="1" applyAlignment="1">
      <alignment horizontal="center" vertical="center" wrapText="1"/>
    </xf>
    <xf numFmtId="0" fontId="179" fillId="0" borderId="24" xfId="39" applyFont="1" applyBorder="1" applyAlignment="1">
      <alignment horizontal="center" vertical="center" wrapText="1"/>
    </xf>
    <xf numFmtId="0" fontId="179" fillId="0" borderId="24" xfId="39" applyFont="1" applyBorder="1" applyAlignment="1">
      <alignment vertical="center" wrapText="1"/>
    </xf>
    <xf numFmtId="4" fontId="179" fillId="0" borderId="24" xfId="39" applyNumberFormat="1" applyFont="1" applyBorder="1" applyAlignment="1">
      <alignment horizontal="center" vertical="center" wrapText="1"/>
    </xf>
    <xf numFmtId="0" fontId="12" fillId="0" borderId="24" xfId="39" applyBorder="1" applyAlignment="1">
      <alignment horizontal="center" vertical="center" wrapText="1"/>
    </xf>
    <xf numFmtId="0" fontId="12" fillId="0" borderId="24" xfId="39" applyBorder="1" applyAlignment="1">
      <alignment vertical="center" wrapText="1"/>
    </xf>
    <xf numFmtId="4" fontId="12" fillId="0" borderId="24" xfId="39" applyNumberFormat="1" applyBorder="1" applyAlignment="1">
      <alignment horizontal="center" vertical="center" wrapText="1"/>
    </xf>
    <xf numFmtId="0" fontId="12" fillId="0" borderId="24" xfId="37" applyFont="1" applyBorder="1" applyAlignment="1">
      <alignment horizontal="justify" vertical="center" wrapText="1"/>
    </xf>
    <xf numFmtId="0" fontId="147" fillId="0" borderId="24" xfId="37" applyFont="1" applyBorder="1" applyAlignment="1">
      <alignment horizontal="center" vertical="center" wrapText="1"/>
    </xf>
    <xf numFmtId="0" fontId="179" fillId="0" borderId="24" xfId="37" applyFont="1" applyBorder="1" applyAlignment="1">
      <alignment horizontal="justify" vertical="center" wrapText="1"/>
    </xf>
    <xf numFmtId="0" fontId="12" fillId="0" borderId="24" xfId="37" applyFont="1" applyBorder="1" applyAlignment="1">
      <alignment horizontal="left" vertical="center" wrapText="1"/>
    </xf>
    <xf numFmtId="0" fontId="179" fillId="0" borderId="24" xfId="37" applyFont="1" applyBorder="1" applyAlignment="1">
      <alignment horizontal="left" vertical="center" wrapText="1"/>
    </xf>
    <xf numFmtId="0" fontId="147" fillId="0" borderId="24" xfId="37" applyFont="1" applyBorder="1" applyAlignment="1">
      <alignment horizontal="justify" vertical="center" wrapText="1"/>
    </xf>
    <xf numFmtId="0" fontId="12" fillId="0" borderId="24" xfId="37" applyFont="1" applyBorder="1" applyAlignment="1">
      <alignment vertical="center" wrapText="1"/>
    </xf>
    <xf numFmtId="0" fontId="179" fillId="0" borderId="24" xfId="37" applyFont="1" applyBorder="1" applyAlignment="1">
      <alignment vertical="center" wrapText="1"/>
    </xf>
    <xf numFmtId="0" fontId="147" fillId="0" borderId="24" xfId="37" applyFont="1" applyBorder="1" applyAlignment="1">
      <alignment vertical="center" wrapText="1"/>
    </xf>
    <xf numFmtId="0" fontId="12" fillId="0" borderId="24" xfId="0" applyFont="1" applyBorder="1" applyAlignment="1">
      <alignment horizontal="justify" vertical="center"/>
    </xf>
    <xf numFmtId="0" fontId="147" fillId="0" borderId="24" xfId="39" applyFont="1" applyBorder="1" applyAlignment="1">
      <alignment vertical="center" wrapText="1"/>
    </xf>
    <xf numFmtId="0" fontId="147" fillId="40" borderId="24" xfId="39" applyFont="1" applyFill="1" applyBorder="1" applyAlignment="1">
      <alignment horizontal="center" vertical="center" wrapText="1"/>
    </xf>
    <xf numFmtId="0" fontId="147" fillId="40" borderId="24" xfId="37" applyFont="1" applyFill="1" applyBorder="1" applyAlignment="1">
      <alignment horizontal="center" vertical="center" wrapText="1"/>
    </xf>
    <xf numFmtId="4" fontId="147" fillId="40" borderId="24" xfId="39" applyNumberFormat="1" applyFont="1" applyFill="1" applyBorder="1" applyAlignment="1">
      <alignment horizontal="center" vertical="center" wrapText="1"/>
    </xf>
    <xf numFmtId="0" fontId="178" fillId="0" borderId="24" xfId="39" applyFont="1" applyBorder="1" applyAlignment="1">
      <alignment vertical="center" wrapText="1"/>
    </xf>
    <xf numFmtId="4" fontId="178" fillId="0" borderId="24" xfId="39" applyNumberFormat="1" applyFont="1" applyBorder="1" applyAlignment="1">
      <alignment horizontal="center" vertical="center" wrapText="1"/>
    </xf>
    <xf numFmtId="0" fontId="153" fillId="0" borderId="0" xfId="39" applyFont="1" applyAlignment="1">
      <alignment wrapText="1"/>
    </xf>
    <xf numFmtId="0" fontId="147" fillId="45" borderId="24" xfId="39" applyFont="1" applyFill="1" applyBorder="1" applyAlignment="1">
      <alignment horizontal="center" vertical="center" wrapText="1"/>
    </xf>
    <xf numFmtId="4" fontId="147" fillId="45" borderId="24" xfId="39" applyNumberFormat="1" applyFont="1" applyFill="1" applyBorder="1" applyAlignment="1">
      <alignment horizontal="center" vertical="center" wrapText="1"/>
    </xf>
    <xf numFmtId="4" fontId="168" fillId="0" borderId="0" xfId="39" applyNumberFormat="1" applyFont="1"/>
    <xf numFmtId="4" fontId="29" fillId="0" borderId="22" xfId="0" applyNumberFormat="1" applyFont="1" applyBorder="1" applyAlignment="1">
      <alignment horizontal="center" vertical="center" wrapText="1"/>
    </xf>
    <xf numFmtId="4" fontId="30" fillId="0" borderId="22" xfId="0" applyNumberFormat="1" applyFont="1" applyBorder="1" applyAlignment="1">
      <alignment horizontal="center" vertical="center" wrapText="1"/>
    </xf>
    <xf numFmtId="49" fontId="29" fillId="35" borderId="15" xfId="0" applyNumberFormat="1" applyFont="1" applyFill="1" applyBorder="1" applyAlignment="1">
      <alignment horizontal="center" vertical="center" wrapText="1"/>
    </xf>
    <xf numFmtId="4" fontId="29" fillId="35" borderId="22" xfId="0" applyNumberFormat="1" applyFont="1" applyFill="1" applyBorder="1" applyAlignment="1">
      <alignment horizontal="center" vertical="center" wrapText="1"/>
    </xf>
    <xf numFmtId="49" fontId="30" fillId="35" borderId="15" xfId="0" applyNumberFormat="1" applyFont="1" applyFill="1" applyBorder="1" applyAlignment="1">
      <alignment horizontal="center" vertical="center" wrapText="1"/>
    </xf>
    <xf numFmtId="4" fontId="30" fillId="35" borderId="22" xfId="0" applyNumberFormat="1" applyFont="1" applyFill="1" applyBorder="1" applyAlignment="1">
      <alignment horizontal="center" vertical="center" wrapText="1"/>
    </xf>
    <xf numFmtId="4" fontId="30" fillId="35" borderId="15" xfId="0" applyNumberFormat="1" applyFont="1" applyFill="1" applyBorder="1" applyAlignment="1">
      <alignment horizontal="center" vertical="center" wrapText="1"/>
    </xf>
    <xf numFmtId="49" fontId="149" fillId="0" borderId="15" xfId="18" applyNumberFormat="1" applyFont="1" applyBorder="1" applyAlignment="1">
      <alignment horizontal="center" vertical="center" wrapText="1"/>
    </xf>
    <xf numFmtId="0" fontId="149" fillId="0" borderId="15" xfId="92" applyFont="1" applyBorder="1" applyAlignment="1">
      <alignment horizontal="center" vertical="center" wrapText="1"/>
    </xf>
    <xf numFmtId="9" fontId="149" fillId="0" borderId="15" xfId="30" applyNumberFormat="1" applyFont="1" applyBorder="1" applyAlignment="1">
      <alignment horizontal="center" vertical="center"/>
    </xf>
    <xf numFmtId="0" fontId="16" fillId="0" borderId="15" xfId="92" applyFont="1" applyBorder="1" applyAlignment="1">
      <alignment horizontal="center" vertical="center" wrapText="1"/>
    </xf>
    <xf numFmtId="0" fontId="149" fillId="0" borderId="15" xfId="84" applyFont="1" applyBorder="1" applyAlignment="1">
      <alignment horizontal="center" vertical="center" wrapText="1"/>
    </xf>
    <xf numFmtId="0" fontId="149" fillId="0" borderId="15" xfId="38" applyFont="1" applyFill="1" applyBorder="1" applyAlignment="1" applyProtection="1">
      <alignment horizontal="center" vertical="center" wrapText="1"/>
      <protection locked="0"/>
    </xf>
    <xf numFmtId="0" fontId="149" fillId="0" borderId="15" xfId="100" applyFont="1" applyBorder="1" applyAlignment="1">
      <alignment horizontal="center" vertical="center" wrapText="1"/>
    </xf>
    <xf numFmtId="49" fontId="191" fillId="0" borderId="15" xfId="0" applyNumberFormat="1" applyFont="1" applyBorder="1" applyAlignment="1">
      <alignment horizontal="center" vertical="center" wrapText="1"/>
    </xf>
    <xf numFmtId="165" fontId="149" fillId="0" borderId="15" xfId="30" applyNumberFormat="1" applyFont="1" applyBorder="1" applyAlignment="1">
      <alignment horizontal="center" vertical="center" wrapText="1"/>
    </xf>
    <xf numFmtId="0" fontId="181" fillId="28" borderId="0" xfId="35" applyFont="1" applyFill="1" applyAlignment="1">
      <alignment horizontal="left" vertical="center"/>
    </xf>
    <xf numFmtId="4" fontId="149" fillId="0" borderId="16" xfId="30" applyNumberFormat="1" applyFont="1" applyBorder="1" applyAlignment="1">
      <alignment horizontal="center" vertical="center"/>
    </xf>
    <xf numFmtId="0" fontId="149" fillId="0" borderId="15" xfId="45" applyFont="1" applyBorder="1" applyAlignment="1">
      <alignment horizontal="center" vertical="center" wrapText="1"/>
    </xf>
    <xf numFmtId="4" fontId="149" fillId="0" borderId="20" xfId="30" applyNumberFormat="1" applyFont="1" applyBorder="1" applyAlignment="1">
      <alignment horizontal="center" vertical="center"/>
    </xf>
    <xf numFmtId="0" fontId="172" fillId="0" borderId="15" xfId="100" applyFont="1" applyBorder="1" applyAlignment="1">
      <alignment horizontal="center" vertical="center" wrapText="1"/>
    </xf>
    <xf numFmtId="4" fontId="172" fillId="0" borderId="15" xfId="30" applyNumberFormat="1" applyFont="1" applyBorder="1" applyAlignment="1">
      <alignment horizontal="center" vertical="center"/>
    </xf>
    <xf numFmtId="9" fontId="172" fillId="0" borderId="15" xfId="30" applyNumberFormat="1" applyFont="1" applyBorder="1" applyAlignment="1">
      <alignment horizontal="center" vertical="center"/>
    </xf>
    <xf numFmtId="49" fontId="150" fillId="0" borderId="0" xfId="0" applyNumberFormat="1" applyFont="1" applyAlignment="1">
      <alignment horizontal="center" vertical="center" wrapText="1"/>
    </xf>
    <xf numFmtId="4" fontId="86" fillId="0" borderId="16" xfId="0" applyNumberFormat="1" applyFont="1" applyBorder="1" applyAlignment="1">
      <alignment horizontal="center" vertical="center" wrapText="1"/>
    </xf>
    <xf numFmtId="49" fontId="29" fillId="47" borderId="15" xfId="0" applyNumberFormat="1" applyFont="1" applyFill="1" applyBorder="1" applyAlignment="1">
      <alignment horizontal="center" vertical="center" wrapText="1"/>
    </xf>
    <xf numFmtId="0" fontId="29" fillId="47" borderId="15" xfId="38" applyFont="1" applyFill="1" applyBorder="1" applyAlignment="1" applyProtection="1">
      <alignment horizontal="center" vertical="center" wrapText="1"/>
      <protection locked="0"/>
    </xf>
    <xf numFmtId="4" fontId="29" fillId="47" borderId="15" xfId="38" applyNumberFormat="1" applyFont="1" applyFill="1" applyBorder="1" applyAlignment="1" applyProtection="1">
      <alignment horizontal="center" vertical="center" wrapText="1"/>
      <protection locked="0"/>
    </xf>
    <xf numFmtId="49" fontId="69" fillId="32" borderId="15" xfId="0" applyNumberFormat="1" applyFont="1" applyFill="1" applyBorder="1" applyAlignment="1">
      <alignment horizontal="center" vertical="center" wrapText="1"/>
    </xf>
    <xf numFmtId="0" fontId="69" fillId="32" borderId="15" xfId="38" applyFont="1" applyFill="1" applyBorder="1" applyAlignment="1" applyProtection="1">
      <alignment horizontal="center" vertical="center" wrapText="1"/>
      <protection locked="0"/>
    </xf>
    <xf numFmtId="4" fontId="69" fillId="32" borderId="15" xfId="38" applyNumberFormat="1" applyFont="1" applyFill="1" applyBorder="1" applyAlignment="1" applyProtection="1">
      <alignment horizontal="center" vertical="center" wrapText="1"/>
      <protection locked="0"/>
    </xf>
    <xf numFmtId="4" fontId="69" fillId="32" borderId="15" xfId="0" applyNumberFormat="1" applyFont="1" applyFill="1" applyBorder="1" applyAlignment="1">
      <alignment horizontal="center" vertical="center" wrapText="1"/>
    </xf>
    <xf numFmtId="49" fontId="30" fillId="42" borderId="15" xfId="0" applyNumberFormat="1" applyFont="1" applyFill="1" applyBorder="1" applyAlignment="1">
      <alignment horizontal="center" vertical="center" wrapText="1"/>
    </xf>
    <xf numFmtId="4" fontId="31" fillId="42" borderId="15" xfId="0" applyNumberFormat="1" applyFont="1" applyFill="1" applyBorder="1" applyAlignment="1">
      <alignment horizontal="center" vertical="center" wrapText="1"/>
    </xf>
    <xf numFmtId="4" fontId="32" fillId="42" borderId="15" xfId="0" applyNumberFormat="1" applyFont="1" applyFill="1" applyBorder="1" applyAlignment="1">
      <alignment horizontal="center" vertical="center" wrapText="1"/>
    </xf>
    <xf numFmtId="4" fontId="32" fillId="42" borderId="15" xfId="0" applyNumberFormat="1" applyFont="1" applyFill="1" applyBorder="1" applyAlignment="1">
      <alignment horizontal="center" vertical="center"/>
    </xf>
    <xf numFmtId="49" fontId="150" fillId="42" borderId="15" xfId="0" applyNumberFormat="1" applyFont="1" applyFill="1" applyBorder="1" applyAlignment="1">
      <alignment horizontal="center" vertical="center" wrapText="1"/>
    </xf>
    <xf numFmtId="4" fontId="86" fillId="42" borderId="15" xfId="38" applyNumberFormat="1" applyFont="1" applyFill="1" applyBorder="1" applyAlignment="1" applyProtection="1">
      <alignment horizontal="center" vertical="center" wrapText="1"/>
      <protection locked="0"/>
    </xf>
    <xf numFmtId="4" fontId="31" fillId="42" borderId="15" xfId="38" applyNumberFormat="1" applyFont="1" applyFill="1" applyBorder="1" applyAlignment="1" applyProtection="1">
      <alignment horizontal="center" vertical="center" wrapText="1"/>
      <protection locked="0"/>
    </xf>
    <xf numFmtId="4" fontId="32" fillId="42" borderId="15" xfId="38" applyNumberFormat="1" applyFont="1" applyFill="1" applyBorder="1" applyAlignment="1" applyProtection="1">
      <alignment horizontal="center" vertical="center" wrapText="1"/>
      <protection locked="0"/>
    </xf>
    <xf numFmtId="49" fontId="150" fillId="42" borderId="15" xfId="0" applyNumberFormat="1" applyFont="1" applyFill="1" applyBorder="1" applyAlignment="1">
      <alignment horizontal="center" vertical="center"/>
    </xf>
    <xf numFmtId="2" fontId="29" fillId="48" borderId="15" xfId="0" applyNumberFormat="1" applyFont="1" applyFill="1" applyBorder="1" applyAlignment="1">
      <alignment horizontal="center" vertical="center"/>
    </xf>
    <xf numFmtId="4" fontId="31" fillId="48" borderId="15" xfId="0" applyNumberFormat="1" applyFont="1" applyFill="1" applyBorder="1" applyAlignment="1">
      <alignment horizontal="center" vertical="center"/>
    </xf>
    <xf numFmtId="0" fontId="29" fillId="48" borderId="15" xfId="0" applyFont="1" applyFill="1" applyBorder="1" applyAlignment="1">
      <alignment horizontal="center" vertical="center"/>
    </xf>
    <xf numFmtId="0" fontId="29" fillId="48" borderId="15" xfId="0" applyFont="1" applyFill="1" applyBorder="1" applyAlignment="1">
      <alignment horizontal="left" vertical="center"/>
    </xf>
    <xf numFmtId="4" fontId="29" fillId="48" borderId="15" xfId="0" applyNumberFormat="1" applyFont="1" applyFill="1" applyBorder="1" applyAlignment="1">
      <alignment horizontal="center" vertical="center"/>
    </xf>
    <xf numFmtId="2" fontId="39" fillId="47" borderId="15" xfId="36" applyNumberFormat="1" applyFont="1" applyFill="1" applyBorder="1" applyAlignment="1">
      <alignment horizontal="center" vertical="center" wrapText="1"/>
    </xf>
    <xf numFmtId="43" fontId="39" fillId="48" borderId="15" xfId="0" applyNumberFormat="1" applyFont="1" applyFill="1" applyBorder="1" applyAlignment="1">
      <alignment horizontal="center" vertical="center"/>
    </xf>
    <xf numFmtId="43" fontId="39" fillId="48" borderId="15" xfId="36" applyNumberFormat="1" applyFont="1" applyFill="1" applyBorder="1" applyAlignment="1">
      <alignment horizontal="center" vertical="center" wrapText="1"/>
    </xf>
    <xf numFmtId="2" fontId="167" fillId="48" borderId="15" xfId="0" applyNumberFormat="1" applyFont="1" applyFill="1" applyBorder="1" applyAlignment="1">
      <alignment horizontal="center" vertical="center"/>
    </xf>
    <xf numFmtId="4" fontId="167" fillId="48" borderId="15" xfId="0" applyNumberFormat="1" applyFont="1" applyFill="1" applyBorder="1" applyAlignment="1">
      <alignment horizontal="center" vertical="center"/>
    </xf>
    <xf numFmtId="49" fontId="152" fillId="32" borderId="15" xfId="0" applyNumberFormat="1" applyFont="1" applyFill="1" applyBorder="1" applyAlignment="1">
      <alignment horizontal="center" vertical="center" wrapText="1"/>
    </xf>
    <xf numFmtId="0" fontId="152" fillId="32" borderId="15" xfId="38" applyFont="1" applyFill="1" applyBorder="1" applyAlignment="1" applyProtection="1">
      <alignment horizontal="center" vertical="center" wrapText="1"/>
      <protection locked="0"/>
    </xf>
    <xf numFmtId="4" fontId="152" fillId="32" borderId="15" xfId="0" applyNumberFormat="1" applyFont="1" applyFill="1" applyBorder="1" applyAlignment="1">
      <alignment horizontal="center" vertical="center" wrapText="1"/>
    </xf>
    <xf numFmtId="4" fontId="152" fillId="32" borderId="15" xfId="38" applyNumberFormat="1" applyFont="1" applyFill="1" applyBorder="1" applyAlignment="1" applyProtection="1">
      <alignment horizontal="center" vertical="center" wrapText="1"/>
      <protection locked="0"/>
    </xf>
    <xf numFmtId="49" fontId="153" fillId="47" borderId="15" xfId="0" applyNumberFormat="1" applyFont="1" applyFill="1" applyBorder="1" applyAlignment="1">
      <alignment horizontal="center" vertical="center" wrapText="1"/>
    </xf>
    <xf numFmtId="0" fontId="153" fillId="47" borderId="15" xfId="38" applyFont="1" applyFill="1" applyBorder="1" applyAlignment="1" applyProtection="1">
      <alignment horizontal="center" vertical="center" wrapText="1"/>
      <protection locked="0"/>
    </xf>
    <xf numFmtId="4" fontId="153" fillId="47" borderId="15" xfId="38" applyNumberFormat="1" applyFont="1" applyFill="1" applyBorder="1" applyAlignment="1" applyProtection="1">
      <alignment horizontal="center" vertical="center" wrapText="1"/>
      <protection locked="0"/>
    </xf>
    <xf numFmtId="2" fontId="153" fillId="48" borderId="15" xfId="0" applyNumberFormat="1" applyFont="1" applyFill="1" applyBorder="1" applyAlignment="1">
      <alignment horizontal="center" vertical="center"/>
    </xf>
    <xf numFmtId="4" fontId="153" fillId="48" borderId="15" xfId="0" applyNumberFormat="1" applyFont="1" applyFill="1" applyBorder="1" applyAlignment="1">
      <alignment horizontal="center" vertical="center"/>
    </xf>
    <xf numFmtId="49" fontId="150" fillId="49" borderId="15" xfId="0" applyNumberFormat="1" applyFont="1" applyFill="1" applyBorder="1" applyAlignment="1">
      <alignment horizontal="center" vertical="center" wrapText="1"/>
    </xf>
    <xf numFmtId="49" fontId="30" fillId="49" borderId="15" xfId="0" applyNumberFormat="1" applyFont="1" applyFill="1" applyBorder="1" applyAlignment="1">
      <alignment horizontal="center" vertical="center" wrapText="1"/>
    </xf>
    <xf numFmtId="49" fontId="30" fillId="50" borderId="15" xfId="0" applyNumberFormat="1" applyFont="1" applyFill="1" applyBorder="1" applyAlignment="1">
      <alignment horizontal="center" vertical="center" wrapText="1"/>
    </xf>
    <xf numFmtId="0" fontId="30" fillId="50" borderId="15" xfId="38" applyFont="1" applyFill="1" applyBorder="1" applyAlignment="1" applyProtection="1">
      <alignment horizontal="center" vertical="center" wrapText="1"/>
      <protection locked="0"/>
    </xf>
    <xf numFmtId="49" fontId="150" fillId="50" borderId="15" xfId="0" applyNumberFormat="1" applyFont="1" applyFill="1" applyBorder="1" applyAlignment="1">
      <alignment horizontal="center" vertical="center" wrapText="1"/>
    </xf>
    <xf numFmtId="49" fontId="69" fillId="50" borderId="15" xfId="0" applyNumberFormat="1" applyFont="1" applyFill="1" applyBorder="1" applyAlignment="1">
      <alignment horizontal="center" vertical="center" wrapText="1"/>
    </xf>
    <xf numFmtId="0" fontId="107" fillId="0" borderId="15" xfId="92" applyFont="1" applyBorder="1" applyAlignment="1">
      <alignment horizontal="center" vertical="center" wrapText="1"/>
    </xf>
    <xf numFmtId="49" fontId="29" fillId="50" borderId="15" xfId="0" applyNumberFormat="1" applyFont="1" applyFill="1" applyBorder="1" applyAlignment="1">
      <alignment horizontal="center" vertical="center" wrapText="1"/>
    </xf>
    <xf numFmtId="4" fontId="193" fillId="27" borderId="15" xfId="0" applyNumberFormat="1" applyFont="1" applyFill="1" applyBorder="1" applyAlignment="1">
      <alignment horizontal="center" vertical="center" wrapText="1"/>
    </xf>
    <xf numFmtId="4" fontId="194" fillId="27" borderId="15" xfId="0" applyNumberFormat="1" applyFont="1" applyFill="1" applyBorder="1" applyAlignment="1">
      <alignment horizontal="center" vertical="center" wrapText="1"/>
    </xf>
    <xf numFmtId="4" fontId="194" fillId="0" borderId="15" xfId="0" applyNumberFormat="1" applyFont="1" applyBorder="1" applyAlignment="1">
      <alignment horizontal="center" vertical="center" wrapText="1"/>
    </xf>
    <xf numFmtId="4" fontId="195" fillId="28" borderId="0" xfId="0" applyNumberFormat="1" applyFont="1" applyFill="1" applyAlignment="1">
      <alignment vertical="center"/>
    </xf>
    <xf numFmtId="10" fontId="196" fillId="28" borderId="0" xfId="0" applyNumberFormat="1" applyFont="1" applyFill="1" applyAlignment="1">
      <alignment vertical="center"/>
    </xf>
    <xf numFmtId="165" fontId="195" fillId="28" borderId="0" xfId="0" applyNumberFormat="1" applyFont="1" applyFill="1" applyAlignment="1">
      <alignment horizontal="right" vertical="center" wrapText="1"/>
    </xf>
    <xf numFmtId="49" fontId="30" fillId="47" borderId="19" xfId="0" applyNumberFormat="1" applyFont="1" applyFill="1" applyBorder="1" applyAlignment="1">
      <alignment horizontal="center" vertical="center" wrapText="1"/>
    </xf>
    <xf numFmtId="4" fontId="30" fillId="47" borderId="19" xfId="0" applyNumberFormat="1" applyFont="1" applyFill="1" applyBorder="1" applyAlignment="1">
      <alignment horizontal="center" vertical="center" wrapText="1"/>
    </xf>
    <xf numFmtId="49" fontId="30" fillId="51" borderId="19" xfId="0" applyNumberFormat="1" applyFont="1" applyFill="1" applyBorder="1" applyAlignment="1">
      <alignment horizontal="center" vertical="center" wrapText="1"/>
    </xf>
    <xf numFmtId="49" fontId="30" fillId="51" borderId="19" xfId="0" applyNumberFormat="1" applyFont="1" applyFill="1" applyBorder="1" applyAlignment="1">
      <alignment horizontal="left" vertical="center" wrapText="1"/>
    </xf>
    <xf numFmtId="4" fontId="30" fillId="51" borderId="19" xfId="0" applyNumberFormat="1" applyFont="1" applyFill="1" applyBorder="1" applyAlignment="1">
      <alignment horizontal="center" vertical="center" wrapText="1"/>
    </xf>
    <xf numFmtId="0" fontId="147" fillId="51" borderId="24" xfId="39" applyFont="1" applyFill="1" applyBorder="1" applyAlignment="1">
      <alignment horizontal="center" vertical="center" wrapText="1"/>
    </xf>
    <xf numFmtId="4" fontId="147" fillId="51" borderId="24" xfId="39" applyNumberFormat="1" applyFont="1" applyFill="1" applyBorder="1" applyAlignment="1">
      <alignment horizontal="center" vertical="center" wrapText="1"/>
    </xf>
    <xf numFmtId="0" fontId="197" fillId="0" borderId="24" xfId="39" applyFont="1" applyBorder="1" applyAlignment="1">
      <alignment horizontal="center" vertical="center" wrapText="1"/>
    </xf>
    <xf numFmtId="0" fontId="197" fillId="0" borderId="24" xfId="39" applyFont="1" applyBorder="1" applyAlignment="1">
      <alignment vertical="center" wrapText="1"/>
    </xf>
    <xf numFmtId="4" fontId="198" fillId="0" borderId="24" xfId="39" applyNumberFormat="1" applyFont="1" applyBorder="1" applyAlignment="1">
      <alignment horizontal="center" vertical="center" wrapText="1"/>
    </xf>
    <xf numFmtId="4" fontId="197" fillId="0" borderId="24" xfId="39" applyNumberFormat="1" applyFont="1" applyBorder="1" applyAlignment="1">
      <alignment horizontal="center" vertical="center" wrapText="1"/>
    </xf>
    <xf numFmtId="4" fontId="64" fillId="0" borderId="0" xfId="0" applyNumberFormat="1" applyFont="1"/>
    <xf numFmtId="4" fontId="199" fillId="0" borderId="0" xfId="39" applyNumberFormat="1" applyFont="1"/>
    <xf numFmtId="4" fontId="200" fillId="28" borderId="0" xfId="0" applyNumberFormat="1" applyFont="1" applyFill="1"/>
    <xf numFmtId="4" fontId="200" fillId="28" borderId="0" xfId="0" applyNumberFormat="1" applyFont="1" applyFill="1" applyAlignment="1">
      <alignment horizontal="center" vertical="center"/>
    </xf>
    <xf numFmtId="49" fontId="192" fillId="0" borderId="7" xfId="88" applyNumberFormat="1" applyFont="1" applyBorder="1" applyAlignment="1">
      <alignment horizontal="center" vertical="center" wrapText="1"/>
    </xf>
    <xf numFmtId="9" fontId="152" fillId="32" borderId="15" xfId="0" applyNumberFormat="1" applyFont="1" applyFill="1" applyBorder="1" applyAlignment="1">
      <alignment horizontal="center" vertical="center" wrapText="1"/>
    </xf>
    <xf numFmtId="4" fontId="153" fillId="47" borderId="15" xfId="0" applyNumberFormat="1" applyFont="1" applyFill="1" applyBorder="1" applyAlignment="1">
      <alignment horizontal="center" vertical="center" wrapText="1"/>
    </xf>
    <xf numFmtId="9" fontId="153" fillId="47" borderId="15" xfId="0" applyNumberFormat="1" applyFont="1" applyFill="1" applyBorder="1" applyAlignment="1">
      <alignment horizontal="center" vertical="center" wrapText="1"/>
    </xf>
    <xf numFmtId="4" fontId="149" fillId="48" borderId="15" xfId="0" applyNumberFormat="1" applyFont="1" applyFill="1" applyBorder="1" applyAlignment="1">
      <alignment horizontal="center" vertical="center"/>
    </xf>
    <xf numFmtId="4" fontId="199" fillId="28" borderId="15" xfId="0" applyNumberFormat="1" applyFont="1" applyFill="1" applyBorder="1" applyAlignment="1">
      <alignment horizontal="center" vertical="center"/>
    </xf>
    <xf numFmtId="2" fontId="201" fillId="28" borderId="0" xfId="36" applyNumberFormat="1" applyFont="1" applyFill="1" applyAlignment="1">
      <alignment horizontal="center" vertical="top"/>
    </xf>
    <xf numFmtId="0" fontId="202" fillId="46" borderId="0" xfId="0" applyFont="1" applyFill="1"/>
    <xf numFmtId="4" fontId="202" fillId="46" borderId="0" xfId="0" applyNumberFormat="1" applyFont="1" applyFill="1"/>
    <xf numFmtId="0" fontId="202" fillId="28" borderId="0" xfId="0" applyFont="1" applyFill="1"/>
    <xf numFmtId="4" fontId="203" fillId="28" borderId="15" xfId="35" applyNumberFormat="1" applyFont="1" applyFill="1" applyBorder="1" applyAlignment="1">
      <alignment horizontal="left" vertical="center"/>
    </xf>
    <xf numFmtId="0" fontId="204" fillId="0" borderId="0" xfId="35" applyFont="1" applyAlignment="1">
      <alignment horizontal="center" vertical="center"/>
    </xf>
    <xf numFmtId="4" fontId="99" fillId="29" borderId="0" xfId="0" applyNumberFormat="1" applyFont="1" applyFill="1" applyAlignment="1">
      <alignment horizontal="center" vertical="center" wrapText="1"/>
    </xf>
    <xf numFmtId="49" fontId="30" fillId="0" borderId="15" xfId="0" applyNumberFormat="1" applyFont="1" applyFill="1" applyBorder="1" applyAlignment="1">
      <alignment horizontal="center" vertical="center" wrapText="1"/>
    </xf>
    <xf numFmtId="4" fontId="31" fillId="0" borderId="15" xfId="0" applyNumberFormat="1" applyFont="1" applyFill="1" applyBorder="1" applyAlignment="1">
      <alignment horizontal="center" vertical="center" wrapText="1"/>
    </xf>
    <xf numFmtId="4" fontId="32" fillId="0" borderId="15" xfId="0" applyNumberFormat="1" applyFont="1" applyFill="1" applyBorder="1" applyAlignment="1">
      <alignment horizontal="center" vertical="center" wrapText="1"/>
    </xf>
    <xf numFmtId="4" fontId="65" fillId="0" borderId="15" xfId="0" applyNumberFormat="1" applyFont="1" applyFill="1" applyBorder="1" applyAlignment="1">
      <alignment horizontal="center" vertical="center" wrapText="1"/>
    </xf>
    <xf numFmtId="4" fontId="32" fillId="0" borderId="15" xfId="0" applyNumberFormat="1" applyFont="1" applyFill="1" applyBorder="1" applyAlignment="1">
      <alignment horizontal="center" vertical="center"/>
    </xf>
    <xf numFmtId="49" fontId="69" fillId="0" borderId="15" xfId="0" applyNumberFormat="1" applyFont="1" applyFill="1" applyBorder="1" applyAlignment="1">
      <alignment horizontal="center" vertical="center" wrapText="1"/>
    </xf>
    <xf numFmtId="4" fontId="82" fillId="0" borderId="15" xfId="0" applyNumberFormat="1" applyFont="1" applyFill="1" applyBorder="1" applyAlignment="1">
      <alignment horizontal="center" vertical="center" wrapText="1"/>
    </xf>
    <xf numFmtId="0" fontId="30" fillId="42" borderId="15" xfId="38" applyFont="1" applyFill="1" applyBorder="1" applyAlignment="1" applyProtection="1">
      <alignment horizontal="center" vertical="center" wrapText="1"/>
      <protection locked="0"/>
    </xf>
    <xf numFmtId="49" fontId="150" fillId="0" borderId="15" xfId="0" applyNumberFormat="1" applyFont="1" applyFill="1" applyBorder="1" applyAlignment="1">
      <alignment horizontal="center" vertical="center"/>
    </xf>
    <xf numFmtId="49" fontId="150" fillId="0" borderId="15" xfId="0" applyNumberFormat="1" applyFont="1" applyFill="1" applyBorder="1" applyAlignment="1">
      <alignment horizontal="center" vertical="center" wrapText="1"/>
    </xf>
    <xf numFmtId="49" fontId="29" fillId="0" borderId="15" xfId="0" applyNumberFormat="1" applyFont="1" applyFill="1" applyBorder="1" applyAlignment="1">
      <alignment horizontal="center" vertical="center" wrapText="1"/>
    </xf>
    <xf numFmtId="4" fontId="86" fillId="0" borderId="15" xfId="0" applyNumberFormat="1" applyFont="1" applyFill="1" applyBorder="1" applyAlignment="1">
      <alignment horizontal="center" vertical="center" wrapText="1"/>
    </xf>
    <xf numFmtId="0" fontId="187" fillId="0" borderId="0" xfId="39" applyFont="1" applyAlignment="1">
      <alignment horizontal="center" vertical="center"/>
    </xf>
    <xf numFmtId="0" fontId="10" fillId="0" borderId="0" xfId="0" applyFont="1" applyAlignment="1">
      <alignment horizontal="center"/>
    </xf>
    <xf numFmtId="0" fontId="188" fillId="0" borderId="0" xfId="39" applyFont="1" applyAlignment="1">
      <alignment horizontal="center" vertical="center"/>
    </xf>
    <xf numFmtId="0" fontId="58" fillId="0" borderId="0" xfId="0" applyFont="1"/>
    <xf numFmtId="0" fontId="167" fillId="0" borderId="0" xfId="39" applyFont="1" applyAlignment="1">
      <alignment horizontal="center" vertical="center"/>
    </xf>
    <xf numFmtId="0" fontId="40" fillId="0" borderId="0" xfId="0" applyFont="1"/>
    <xf numFmtId="0" fontId="147" fillId="0" borderId="24" xfId="39" applyFont="1" applyBorder="1" applyAlignment="1">
      <alignment horizontal="center" vertical="top" wrapText="1"/>
    </xf>
    <xf numFmtId="0" fontId="16" fillId="0" borderId="0" xfId="0" applyFont="1" applyAlignment="1">
      <alignment horizontal="center" vertical="center"/>
    </xf>
    <xf numFmtId="0" fontId="10" fillId="0" borderId="0" xfId="0" applyFont="1"/>
    <xf numFmtId="0" fontId="10" fillId="0" borderId="0" xfId="0" applyFont="1" applyAlignment="1">
      <alignment horizontal="center" vertical="center"/>
    </xf>
    <xf numFmtId="0" fontId="16" fillId="0" borderId="0" xfId="39" applyFont="1" applyAlignment="1">
      <alignment vertical="center" wrapText="1"/>
    </xf>
    <xf numFmtId="0" fontId="0" fillId="0" borderId="0" xfId="0"/>
    <xf numFmtId="0" fontId="148" fillId="0" borderId="0" xfId="0" applyFont="1" applyAlignment="1">
      <alignment horizontal="center" vertical="center" wrapText="1"/>
    </xf>
    <xf numFmtId="0" fontId="173" fillId="0" borderId="0" xfId="0" applyFont="1" applyAlignment="1">
      <alignment horizontal="center"/>
    </xf>
    <xf numFmtId="0" fontId="174" fillId="0" borderId="0" xfId="0" applyFont="1" applyAlignment="1">
      <alignment horizontal="center"/>
    </xf>
    <xf numFmtId="0" fontId="0" fillId="0" borderId="0" xfId="0" applyAlignment="1">
      <alignment horizontal="center"/>
    </xf>
    <xf numFmtId="0" fontId="175" fillId="0" borderId="0" xfId="0" applyFont="1" applyAlignment="1">
      <alignment horizontal="center" vertical="top"/>
    </xf>
    <xf numFmtId="0" fontId="176" fillId="0" borderId="0" xfId="0" applyFont="1" applyAlignment="1">
      <alignment horizontal="center" vertical="top"/>
    </xf>
    <xf numFmtId="0" fontId="177" fillId="0" borderId="24" xfId="0" applyFont="1" applyBorder="1" applyAlignment="1">
      <alignment horizontal="center" vertical="center" wrapText="1"/>
    </xf>
    <xf numFmtId="0" fontId="0" fillId="0" borderId="24" xfId="0" applyBorder="1" applyAlignment="1">
      <alignment horizontal="center" vertical="center" wrapText="1"/>
    </xf>
    <xf numFmtId="0" fontId="147" fillId="45" borderId="24" xfId="0" applyFont="1" applyFill="1" applyBorder="1" applyAlignment="1">
      <alignment horizontal="left" vertical="center" wrapText="1"/>
    </xf>
    <xf numFmtId="0" fontId="0" fillId="45" borderId="24" xfId="0" applyFill="1" applyBorder="1" applyAlignment="1">
      <alignment wrapText="1"/>
    </xf>
    <xf numFmtId="0" fontId="30" fillId="0" borderId="0" xfId="39" applyFont="1" applyAlignment="1">
      <alignment vertical="center" wrapText="1"/>
    </xf>
    <xf numFmtId="0" fontId="33" fillId="0" borderId="0" xfId="0" applyFont="1"/>
    <xf numFmtId="4" fontId="68" fillId="28" borderId="16" xfId="0" applyNumberFormat="1" applyFont="1" applyFill="1" applyBorder="1" applyAlignment="1">
      <alignment horizontal="center" vertical="center" wrapText="1"/>
    </xf>
    <xf numFmtId="0" fontId="61" fillId="28" borderId="18" xfId="0" applyFont="1" applyFill="1" applyBorder="1" applyAlignment="1">
      <alignment horizontal="center" vertical="center" wrapText="1"/>
    </xf>
    <xf numFmtId="0" fontId="61" fillId="28" borderId="17" xfId="0" applyFont="1" applyFill="1" applyBorder="1" applyAlignment="1">
      <alignment horizontal="center" vertical="center" wrapText="1"/>
    </xf>
    <xf numFmtId="4" fontId="65" fillId="28" borderId="16" xfId="0" applyNumberFormat="1" applyFont="1" applyFill="1" applyBorder="1" applyAlignment="1">
      <alignment horizontal="center" vertical="center" wrapText="1"/>
    </xf>
    <xf numFmtId="4" fontId="31" fillId="28" borderId="0" xfId="0" applyNumberFormat="1" applyFont="1" applyFill="1" applyAlignment="1">
      <alignment horizontal="left" vertical="center" wrapText="1"/>
    </xf>
    <xf numFmtId="0" fontId="0" fillId="28" borderId="0" xfId="0" applyFill="1"/>
    <xf numFmtId="49" fontId="64" fillId="28" borderId="16" xfId="0" applyNumberFormat="1" applyFont="1" applyFill="1" applyBorder="1" applyAlignment="1">
      <alignment horizontal="center" vertical="center" wrapText="1"/>
    </xf>
    <xf numFmtId="4" fontId="68" fillId="0" borderId="16" xfId="0" applyNumberFormat="1" applyFont="1" applyBorder="1" applyAlignment="1">
      <alignment horizontal="center" vertical="center" wrapText="1"/>
    </xf>
    <xf numFmtId="0" fontId="61" fillId="0" borderId="18" xfId="0" applyFont="1" applyBorder="1" applyAlignment="1">
      <alignment horizontal="center" vertical="center" wrapText="1"/>
    </xf>
    <xf numFmtId="0" fontId="61" fillId="0" borderId="17" xfId="0" applyFont="1" applyBorder="1" applyAlignment="1">
      <alignment horizontal="center" vertical="center" wrapText="1"/>
    </xf>
    <xf numFmtId="4" fontId="64" fillId="0" borderId="15" xfId="0" applyNumberFormat="1" applyFont="1" applyBorder="1" applyAlignment="1">
      <alignment horizontal="center" vertical="center" wrapText="1"/>
    </xf>
    <xf numFmtId="4" fontId="60" fillId="0" borderId="15" xfId="0" applyNumberFormat="1" applyFont="1" applyBorder="1" applyAlignment="1">
      <alignment horizontal="center" vertical="center" wrapText="1"/>
    </xf>
    <xf numFmtId="0" fontId="61" fillId="0" borderId="15" xfId="0" applyFont="1" applyBorder="1" applyAlignment="1">
      <alignment horizontal="center" vertical="center" wrapText="1"/>
    </xf>
    <xf numFmtId="4" fontId="61" fillId="0" borderId="15" xfId="0" applyNumberFormat="1" applyFont="1" applyBorder="1" applyAlignment="1">
      <alignment horizontal="center" vertical="center" wrapText="1"/>
    </xf>
    <xf numFmtId="4" fontId="65" fillId="0" borderId="15" xfId="0" applyNumberFormat="1" applyFont="1" applyBorder="1" applyAlignment="1">
      <alignment horizontal="center" vertical="center"/>
    </xf>
    <xf numFmtId="0" fontId="61" fillId="0" borderId="15" xfId="0" applyFont="1" applyBorder="1" applyAlignment="1">
      <alignment horizontal="center" vertical="center"/>
    </xf>
    <xf numFmtId="4" fontId="62" fillId="0" borderId="15" xfId="0" applyNumberFormat="1" applyFont="1" applyBorder="1" applyAlignment="1">
      <alignment horizontal="center" vertical="center" wrapText="1"/>
    </xf>
    <xf numFmtId="4" fontId="65" fillId="0" borderId="16" xfId="0" applyNumberFormat="1" applyFont="1" applyBorder="1" applyAlignment="1">
      <alignment horizontal="center" vertical="center" wrapText="1"/>
    </xf>
    <xf numFmtId="49" fontId="64" fillId="0" borderId="16" xfId="0" applyNumberFormat="1" applyFont="1" applyBorder="1" applyAlignment="1">
      <alignment horizontal="center" vertical="center" wrapText="1"/>
    </xf>
    <xf numFmtId="0" fontId="0" fillId="28" borderId="0" xfId="0" applyFill="1" applyAlignment="1">
      <alignment horizontal="left" vertical="center" wrapText="1"/>
    </xf>
    <xf numFmtId="0" fontId="61" fillId="28" borderId="23" xfId="0" applyFont="1" applyFill="1" applyBorder="1"/>
    <xf numFmtId="4" fontId="60" fillId="28" borderId="15" xfId="0" applyNumberFormat="1" applyFont="1" applyFill="1" applyBorder="1" applyAlignment="1">
      <alignment horizontal="center" vertical="center" wrapText="1"/>
    </xf>
    <xf numFmtId="49" fontId="64" fillId="28" borderId="15" xfId="0" applyNumberFormat="1" applyFont="1" applyFill="1" applyBorder="1" applyAlignment="1">
      <alignment horizontal="center" vertical="center" wrapText="1"/>
    </xf>
    <xf numFmtId="4" fontId="68" fillId="28" borderId="15" xfId="0" applyNumberFormat="1" applyFont="1" applyFill="1" applyBorder="1" applyAlignment="1">
      <alignment horizontal="center" vertical="center" wrapText="1"/>
    </xf>
    <xf numFmtId="4" fontId="64" fillId="28" borderId="15" xfId="0" applyNumberFormat="1" applyFont="1" applyFill="1" applyBorder="1" applyAlignment="1">
      <alignment horizontal="center" vertical="center" wrapText="1"/>
    </xf>
    <xf numFmtId="49" fontId="30" fillId="0" borderId="15" xfId="0" applyNumberFormat="1" applyFont="1" applyBorder="1" applyAlignment="1">
      <alignment horizontal="center" vertical="center" wrapText="1"/>
    </xf>
    <xf numFmtId="49" fontId="64" fillId="0" borderId="15" xfId="0" applyNumberFormat="1" applyFont="1" applyBorder="1" applyAlignment="1">
      <alignment horizontal="center" vertical="center" wrapText="1"/>
    </xf>
    <xf numFmtId="0" fontId="30" fillId="0" borderId="0" xfId="0" applyFont="1"/>
    <xf numFmtId="4" fontId="65" fillId="28" borderId="15" xfId="0" applyNumberFormat="1" applyFont="1" applyFill="1" applyBorder="1" applyAlignment="1">
      <alignment horizontal="center" vertical="center"/>
    </xf>
    <xf numFmtId="4" fontId="68" fillId="0" borderId="15" xfId="0" applyNumberFormat="1" applyFont="1" applyBorder="1" applyAlignment="1">
      <alignment horizontal="center" vertical="center" wrapText="1"/>
    </xf>
    <xf numFmtId="4" fontId="30" fillId="0" borderId="16" xfId="0" applyNumberFormat="1" applyFont="1" applyBorder="1" applyAlignment="1">
      <alignment horizontal="center" vertical="center" wrapText="1"/>
    </xf>
    <xf numFmtId="4" fontId="30" fillId="0" borderId="17" xfId="0" applyNumberFormat="1" applyFont="1" applyBorder="1" applyAlignment="1">
      <alignment horizontal="center" vertical="center" wrapText="1"/>
    </xf>
    <xf numFmtId="0" fontId="33" fillId="0" borderId="15" xfId="0" applyFont="1" applyBorder="1" applyAlignment="1">
      <alignment horizontal="center" vertical="center" wrapText="1"/>
    </xf>
    <xf numFmtId="0" fontId="0" fillId="0" borderId="15" xfId="0" applyBorder="1" applyAlignment="1">
      <alignment horizontal="center" vertical="center" wrapText="1"/>
    </xf>
    <xf numFmtId="0" fontId="71" fillId="0" borderId="15" xfId="0" applyFont="1" applyBorder="1" applyAlignment="1">
      <alignment horizontal="center" vertical="center" wrapText="1"/>
    </xf>
    <xf numFmtId="0" fontId="30"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xf>
    <xf numFmtId="0" fontId="30" fillId="0" borderId="0" xfId="0" applyFont="1" applyAlignment="1">
      <alignment vertical="center"/>
    </xf>
    <xf numFmtId="0" fontId="29" fillId="0" borderId="0" xfId="0" applyFont="1" applyAlignment="1">
      <alignment horizontal="center" vertical="center"/>
    </xf>
    <xf numFmtId="0" fontId="144" fillId="0" borderId="0" xfId="0" applyFont="1" applyAlignment="1">
      <alignment horizontal="center"/>
    </xf>
    <xf numFmtId="0" fontId="145" fillId="0" borderId="0" xfId="0" applyFont="1" applyAlignment="1">
      <alignment horizontal="center"/>
    </xf>
    <xf numFmtId="0" fontId="29" fillId="0" borderId="15" xfId="0" applyFont="1" applyBorder="1" applyAlignment="1">
      <alignment horizontal="center" vertical="top"/>
    </xf>
    <xf numFmtId="0" fontId="0" fillId="0" borderId="15" xfId="0" applyBorder="1" applyAlignment="1">
      <alignment horizontal="center" vertical="top"/>
    </xf>
    <xf numFmtId="0" fontId="29" fillId="0" borderId="15" xfId="0" applyFont="1" applyBorder="1" applyAlignment="1">
      <alignment horizontal="center" vertical="top" wrapText="1"/>
    </xf>
    <xf numFmtId="0" fontId="30" fillId="0" borderId="0" xfId="0" applyFont="1" applyAlignment="1">
      <alignment horizontal="center" vertical="top"/>
    </xf>
    <xf numFmtId="0" fontId="33" fillId="0" borderId="0" xfId="0" applyFont="1" applyAlignment="1">
      <alignment horizontal="center" vertical="top"/>
    </xf>
    <xf numFmtId="0" fontId="15" fillId="0" borderId="15" xfId="0" applyFont="1" applyBorder="1" applyAlignment="1">
      <alignment horizontal="center" vertical="top"/>
    </xf>
    <xf numFmtId="0" fontId="52" fillId="0" borderId="0" xfId="0" applyFont="1" applyAlignment="1">
      <alignment horizontal="left" vertical="center"/>
    </xf>
    <xf numFmtId="0" fontId="53" fillId="0" borderId="0" xfId="0" applyFont="1" applyAlignment="1">
      <alignment horizontal="left" vertical="center"/>
    </xf>
    <xf numFmtId="0" fontId="30" fillId="28" borderId="0" xfId="0" applyFont="1" applyFill="1"/>
    <xf numFmtId="4" fontId="32" fillId="0" borderId="16" xfId="0" applyNumberFormat="1" applyFont="1" applyBorder="1" applyAlignment="1">
      <alignment horizontal="center" vertical="center"/>
    </xf>
    <xf numFmtId="4" fontId="32" fillId="0" borderId="17" xfId="0" applyNumberFormat="1" applyFont="1" applyBorder="1" applyAlignment="1">
      <alignment horizontal="center" vertical="center"/>
    </xf>
    <xf numFmtId="4" fontId="29" fillId="0" borderId="16" xfId="0" applyNumberFormat="1" applyFont="1" applyBorder="1" applyAlignment="1">
      <alignment horizontal="center" vertical="center" wrapText="1"/>
    </xf>
    <xf numFmtId="4" fontId="29" fillId="0" borderId="17" xfId="0" applyNumberFormat="1" applyFont="1" applyBorder="1" applyAlignment="1">
      <alignment horizontal="center" vertical="center" wrapText="1"/>
    </xf>
    <xf numFmtId="4" fontId="31" fillId="0" borderId="15" xfId="0" applyNumberFormat="1" applyFont="1" applyBorder="1" applyAlignment="1">
      <alignment horizontal="center" vertical="center" wrapText="1"/>
    </xf>
    <xf numFmtId="4" fontId="31" fillId="0" borderId="16" xfId="0" applyNumberFormat="1" applyFont="1" applyBorder="1" applyAlignment="1">
      <alignment horizontal="center" vertical="center" wrapText="1"/>
    </xf>
    <xf numFmtId="4" fontId="31" fillId="0" borderId="17" xfId="0" applyNumberFormat="1" applyFont="1" applyBorder="1" applyAlignment="1">
      <alignment horizontal="center" vertical="center" wrapText="1"/>
    </xf>
    <xf numFmtId="0" fontId="171" fillId="0" borderId="15" xfId="35" applyFont="1" applyBorder="1" applyAlignment="1">
      <alignment horizontal="center" vertical="top" wrapText="1"/>
    </xf>
    <xf numFmtId="0" fontId="15" fillId="0" borderId="15" xfId="0" applyFont="1" applyBorder="1" applyAlignment="1">
      <alignment horizontal="center" vertical="top" wrapText="1"/>
    </xf>
    <xf numFmtId="0" fontId="67" fillId="0" borderId="0" xfId="0" applyFont="1"/>
    <xf numFmtId="0" fontId="149" fillId="0" borderId="0" xfId="35" applyFont="1" applyAlignment="1">
      <alignment horizontal="center" vertical="center" wrapText="1"/>
    </xf>
    <xf numFmtId="0" fontId="148" fillId="0" borderId="0" xfId="35" applyFont="1" applyAlignment="1">
      <alignment horizontal="center" vertical="center" wrapText="1"/>
    </xf>
    <xf numFmtId="0" fontId="147" fillId="0" borderId="15" xfId="35" applyFont="1" applyBorder="1" applyAlignment="1">
      <alignment horizontal="center" vertical="top" wrapText="1"/>
    </xf>
    <xf numFmtId="0" fontId="149" fillId="0" borderId="0" xfId="0" applyFont="1"/>
    <xf numFmtId="0" fontId="149" fillId="0" borderId="0" xfId="0" applyFont="1" applyAlignment="1">
      <alignment horizontal="justify" vertical="center"/>
    </xf>
    <xf numFmtId="0" fontId="90" fillId="0" borderId="0" xfId="0" applyFont="1" applyAlignment="1">
      <alignment horizontal="center" vertical="center"/>
    </xf>
    <xf numFmtId="0" fontId="90" fillId="0" borderId="0" xfId="0" applyFont="1" applyAlignment="1">
      <alignment horizontal="center"/>
    </xf>
    <xf numFmtId="0" fontId="58" fillId="0" borderId="0" xfId="0" applyFont="1" applyAlignment="1">
      <alignment horizontal="center"/>
    </xf>
    <xf numFmtId="0" fontId="12" fillId="0" borderId="0" xfId="0" applyFont="1" applyAlignment="1">
      <alignment horizontal="center" vertical="top"/>
    </xf>
    <xf numFmtId="0" fontId="10" fillId="0" borderId="0" xfId="0" applyFont="1" applyAlignment="1">
      <alignment horizontal="center" vertical="top"/>
    </xf>
    <xf numFmtId="0" fontId="76" fillId="0" borderId="0" xfId="35" applyFont="1"/>
    <xf numFmtId="0" fontId="61" fillId="0" borderId="0" xfId="0" applyFont="1"/>
    <xf numFmtId="0" fontId="147" fillId="0" borderId="15" xfId="0" applyFont="1" applyBorder="1" applyAlignment="1">
      <alignment horizontal="center" vertical="top" wrapText="1"/>
    </xf>
    <xf numFmtId="0" fontId="147" fillId="0" borderId="15" xfId="0" applyFont="1" applyBorder="1" applyAlignment="1">
      <alignment horizontal="center" vertical="top"/>
    </xf>
    <xf numFmtId="0" fontId="10" fillId="0" borderId="0" xfId="0" applyFont="1" applyAlignment="1">
      <alignment horizontal="center" vertical="center" wrapText="1"/>
    </xf>
    <xf numFmtId="49" fontId="30" fillId="0" borderId="19" xfId="0" applyNumberFormat="1" applyFont="1" applyBorder="1" applyAlignment="1">
      <alignment horizontal="left" vertical="center" wrapText="1"/>
    </xf>
    <xf numFmtId="0" fontId="0" fillId="0" borderId="22" xfId="0" applyBorder="1" applyAlignment="1">
      <alignment horizontal="left" vertical="center" wrapText="1"/>
    </xf>
    <xf numFmtId="0" fontId="64" fillId="0" borderId="0" xfId="0" applyFont="1"/>
    <xf numFmtId="49" fontId="29" fillId="51" borderId="19" xfId="0" applyNumberFormat="1" applyFont="1" applyFill="1" applyBorder="1" applyAlignment="1">
      <alignment horizontal="center" vertical="center" wrapText="1"/>
    </xf>
    <xf numFmtId="0" fontId="15" fillId="51" borderId="21" xfId="0" applyFont="1" applyFill="1" applyBorder="1" applyAlignment="1">
      <alignment horizontal="center" vertical="center" wrapText="1"/>
    </xf>
    <xf numFmtId="0" fontId="15" fillId="51" borderId="22" xfId="0" applyFont="1" applyFill="1" applyBorder="1" applyAlignment="1">
      <alignment horizontal="center" vertical="center" wrapText="1"/>
    </xf>
    <xf numFmtId="49" fontId="29" fillId="0" borderId="19" xfId="0" applyNumberFormat="1" applyFont="1" applyBorder="1" applyAlignment="1">
      <alignment horizontal="left" vertical="center" wrapText="1"/>
    </xf>
    <xf numFmtId="0" fontId="15" fillId="0" borderId="22" xfId="0" applyFont="1" applyBorder="1" applyAlignment="1">
      <alignment horizontal="left" vertical="center" wrapText="1"/>
    </xf>
    <xf numFmtId="49" fontId="30" fillId="47" borderId="19" xfId="0" applyNumberFormat="1" applyFont="1" applyFill="1" applyBorder="1" applyAlignment="1">
      <alignment horizontal="left" vertical="center" wrapText="1"/>
    </xf>
    <xf numFmtId="49" fontId="30" fillId="47" borderId="22" xfId="0" applyNumberFormat="1" applyFont="1" applyFill="1" applyBorder="1" applyAlignment="1">
      <alignment horizontal="left" vertical="center" wrapText="1"/>
    </xf>
    <xf numFmtId="49" fontId="30" fillId="35" borderId="19" xfId="0" applyNumberFormat="1" applyFont="1" applyFill="1" applyBorder="1" applyAlignment="1">
      <alignment horizontal="left" vertical="center" wrapText="1"/>
    </xf>
    <xf numFmtId="0" fontId="0" fillId="35" borderId="22" xfId="0" applyFill="1" applyBorder="1" applyAlignment="1">
      <alignment horizontal="left" vertical="center" wrapText="1"/>
    </xf>
    <xf numFmtId="0" fontId="29" fillId="0" borderId="0" xfId="0" applyFont="1" applyAlignment="1">
      <alignment horizontal="left" vertical="center"/>
    </xf>
    <xf numFmtId="0" fontId="0" fillId="0" borderId="0" xfId="0" applyAlignment="1">
      <alignment horizontal="left" vertical="center"/>
    </xf>
    <xf numFmtId="0" fontId="30" fillId="0" borderId="0" xfId="0" applyFont="1" applyAlignment="1">
      <alignment horizontal="justify" vertical="center"/>
    </xf>
    <xf numFmtId="0" fontId="64" fillId="0" borderId="0" xfId="39" applyFont="1" applyAlignment="1">
      <alignment vertical="top" wrapText="1"/>
    </xf>
    <xf numFmtId="0" fontId="61" fillId="0" borderId="0" xfId="0" applyFont="1" applyAlignment="1">
      <alignment vertical="top" wrapText="1"/>
    </xf>
    <xf numFmtId="49" fontId="64" fillId="27" borderId="19" xfId="0" applyNumberFormat="1" applyFont="1" applyFill="1" applyBorder="1" applyAlignment="1">
      <alignment horizontal="left" vertical="center" wrapText="1"/>
    </xf>
    <xf numFmtId="0" fontId="61" fillId="27" borderId="22" xfId="0" applyFont="1" applyFill="1" applyBorder="1" applyAlignment="1">
      <alignment horizontal="left" vertical="center" wrapText="1"/>
    </xf>
    <xf numFmtId="49" fontId="29" fillId="35" borderId="19" xfId="0" applyNumberFormat="1" applyFont="1" applyFill="1" applyBorder="1" applyAlignment="1">
      <alignment horizontal="left" vertical="center" wrapText="1"/>
    </xf>
    <xf numFmtId="49" fontId="29" fillId="35" borderId="22" xfId="0" applyNumberFormat="1" applyFont="1" applyFill="1" applyBorder="1" applyAlignment="1">
      <alignment horizontal="left" vertical="center" wrapText="1"/>
    </xf>
    <xf numFmtId="49" fontId="29" fillId="47" borderId="19" xfId="0" applyNumberFormat="1" applyFont="1" applyFill="1" applyBorder="1" applyAlignment="1">
      <alignment horizontal="center" vertical="center" wrapText="1"/>
    </xf>
    <xf numFmtId="0" fontId="15" fillId="47" borderId="21" xfId="0" applyFont="1" applyFill="1" applyBorder="1" applyAlignment="1">
      <alignment horizontal="center" vertical="center" wrapText="1"/>
    </xf>
    <xf numFmtId="0" fontId="15" fillId="47" borderId="22" xfId="0" applyFont="1" applyFill="1" applyBorder="1" applyAlignment="1">
      <alignment horizontal="center" vertical="center" wrapText="1"/>
    </xf>
    <xf numFmtId="49" fontId="30" fillId="0" borderId="26" xfId="0" applyNumberFormat="1" applyFont="1" applyBorder="1" applyAlignment="1">
      <alignment horizontal="left" wrapText="1"/>
    </xf>
    <xf numFmtId="0" fontId="0" fillId="0" borderId="27" xfId="0" applyBorder="1" applyAlignment="1">
      <alignment horizontal="left" wrapText="1"/>
    </xf>
    <xf numFmtId="49" fontId="30" fillId="0" borderId="0" xfId="0" applyNumberFormat="1" applyFont="1" applyAlignment="1">
      <alignment horizontal="left" vertical="top" wrapText="1"/>
    </xf>
    <xf numFmtId="0" fontId="0" fillId="0" borderId="0" xfId="0" applyAlignment="1">
      <alignment horizontal="left" vertical="top" wrapText="1"/>
    </xf>
    <xf numFmtId="0" fontId="64" fillId="27" borderId="0" xfId="0" applyFont="1" applyFill="1" applyAlignment="1">
      <alignment horizontal="center" vertical="center"/>
    </xf>
    <xf numFmtId="0" fontId="64" fillId="27" borderId="0" xfId="0" applyFont="1" applyFill="1" applyAlignment="1">
      <alignment vertical="center"/>
    </xf>
    <xf numFmtId="49" fontId="29" fillId="0" borderId="22" xfId="0" applyNumberFormat="1" applyFont="1" applyBorder="1" applyAlignment="1">
      <alignment horizontal="left" vertical="center" wrapText="1"/>
    </xf>
    <xf numFmtId="49" fontId="30" fillId="0" borderId="22" xfId="0" applyNumberFormat="1" applyFont="1" applyBorder="1" applyAlignment="1">
      <alignment horizontal="left" vertical="center" wrapText="1"/>
    </xf>
    <xf numFmtId="0" fontId="29" fillId="0" borderId="19" xfId="0" applyFont="1" applyBorder="1" applyAlignment="1">
      <alignment horizontal="center" vertical="center" wrapText="1"/>
    </xf>
    <xf numFmtId="0" fontId="15" fillId="0" borderId="22" xfId="0" applyFont="1" applyBorder="1" applyAlignment="1">
      <alignment horizontal="center" vertical="center" wrapText="1"/>
    </xf>
    <xf numFmtId="49" fontId="30" fillId="0" borderId="19" xfId="0" applyNumberFormat="1" applyFont="1" applyBorder="1" applyAlignment="1">
      <alignment horizontal="center" vertical="center" wrapText="1"/>
    </xf>
    <xf numFmtId="0" fontId="0" fillId="0" borderId="22" xfId="0" applyBorder="1" applyAlignment="1">
      <alignment horizontal="center" vertical="center" wrapText="1"/>
    </xf>
    <xf numFmtId="49" fontId="60" fillId="0" borderId="19" xfId="0" applyNumberFormat="1" applyFont="1" applyBorder="1" applyAlignment="1">
      <alignment horizontal="left" vertical="center" wrapText="1"/>
    </xf>
    <xf numFmtId="0" fontId="62" fillId="0" borderId="22" xfId="0" applyFont="1" applyBorder="1" applyAlignment="1">
      <alignment horizontal="left" vertical="center" wrapText="1"/>
    </xf>
    <xf numFmtId="49" fontId="64" fillId="0" borderId="19" xfId="0" applyNumberFormat="1" applyFont="1" applyBorder="1" applyAlignment="1">
      <alignment horizontal="left" vertical="center" wrapText="1"/>
    </xf>
    <xf numFmtId="0" fontId="61" fillId="0" borderId="22" xfId="0" applyFont="1" applyBorder="1" applyAlignment="1">
      <alignment horizontal="left" vertical="center" wrapText="1"/>
    </xf>
    <xf numFmtId="49" fontId="30" fillId="0" borderId="16" xfId="0" applyNumberFormat="1" applyFont="1" applyBorder="1" applyAlignment="1">
      <alignment horizontal="center" vertical="center" wrapText="1"/>
    </xf>
    <xf numFmtId="0" fontId="0" fillId="0" borderId="17" xfId="0" applyBorder="1" applyAlignment="1">
      <alignment horizontal="center" vertical="center" wrapText="1"/>
    </xf>
    <xf numFmtId="0" fontId="160" fillId="0" borderId="0" xfId="0" applyFont="1" applyAlignment="1">
      <alignment horizontal="justify" vertical="center"/>
    </xf>
    <xf numFmtId="0" fontId="154" fillId="0" borderId="0" xfId="0" applyFont="1"/>
    <xf numFmtId="0" fontId="190" fillId="0" borderId="0" xfId="0" applyFont="1" applyAlignment="1">
      <alignment horizontal="left" vertical="center"/>
    </xf>
    <xf numFmtId="0" fontId="157" fillId="0" borderId="0" xfId="0" applyFont="1" applyAlignment="1">
      <alignment horizontal="center" vertical="center"/>
    </xf>
    <xf numFmtId="0" fontId="107" fillId="0" borderId="0" xfId="35" applyFont="1" applyAlignment="1">
      <alignment horizontal="center" vertical="center"/>
    </xf>
    <xf numFmtId="0" fontId="151" fillId="0" borderId="0" xfId="35" applyFont="1" applyAlignment="1">
      <alignment horizontal="center" vertical="center" wrapText="1"/>
    </xf>
    <xf numFmtId="4" fontId="98" fillId="29" borderId="23" xfId="0" applyNumberFormat="1" applyFont="1" applyFill="1" applyBorder="1" applyAlignment="1">
      <alignment horizontal="center" vertical="center" wrapText="1"/>
    </xf>
    <xf numFmtId="0" fontId="94" fillId="0" borderId="23" xfId="0" applyFont="1" applyBorder="1"/>
    <xf numFmtId="0" fontId="33" fillId="0" borderId="17" xfId="0" applyFont="1" applyBorder="1" applyAlignment="1">
      <alignment horizontal="center" vertical="center" wrapText="1"/>
    </xf>
    <xf numFmtId="4" fontId="64" fillId="0" borderId="16" xfId="0" applyNumberFormat="1" applyFont="1" applyBorder="1" applyAlignment="1">
      <alignment horizontal="center" vertical="center" wrapText="1"/>
    </xf>
    <xf numFmtId="4" fontId="64" fillId="0" borderId="17" xfId="0" applyNumberFormat="1" applyFont="1" applyBorder="1" applyAlignment="1">
      <alignment horizontal="center" vertical="center" wrapText="1"/>
    </xf>
    <xf numFmtId="0" fontId="71" fillId="0" borderId="17" xfId="0" applyFont="1" applyBorder="1" applyAlignment="1">
      <alignment horizontal="center" vertical="center" wrapText="1"/>
    </xf>
    <xf numFmtId="49" fontId="30" fillId="0" borderId="17" xfId="0" applyNumberFormat="1" applyFont="1" applyBorder="1" applyAlignment="1">
      <alignment horizontal="center" vertical="center" wrapText="1"/>
    </xf>
    <xf numFmtId="4" fontId="80" fillId="29" borderId="23" xfId="0" applyNumberFormat="1" applyFont="1" applyFill="1" applyBorder="1" applyAlignment="1">
      <alignment horizontal="center" vertical="center" wrapText="1"/>
    </xf>
    <xf numFmtId="0" fontId="75" fillId="28" borderId="23" xfId="0" applyFont="1" applyFill="1" applyBorder="1"/>
    <xf numFmtId="0" fontId="30" fillId="0" borderId="15" xfId="0" applyFont="1" applyBorder="1" applyAlignment="1">
      <alignment horizontal="center" vertical="top" wrapText="1"/>
    </xf>
    <xf numFmtId="0" fontId="30" fillId="0" borderId="15" xfId="0" applyFont="1" applyBorder="1" applyAlignment="1">
      <alignment horizontal="center" vertical="top"/>
    </xf>
    <xf numFmtId="4" fontId="99" fillId="29" borderId="23" xfId="0" applyNumberFormat="1" applyFont="1" applyFill="1" applyBorder="1" applyAlignment="1">
      <alignment horizontal="center" vertical="center" wrapText="1"/>
    </xf>
    <xf numFmtId="0" fontId="146" fillId="28" borderId="23" xfId="0" applyFont="1" applyFill="1" applyBorder="1"/>
    <xf numFmtId="165" fontId="30" fillId="0" borderId="16" xfId="30" applyNumberFormat="1" applyFont="1" applyBorder="1" applyAlignment="1">
      <alignment horizontal="center" vertical="center" wrapText="1"/>
    </xf>
    <xf numFmtId="165" fontId="30" fillId="0" borderId="17" xfId="30" applyNumberFormat="1" applyFont="1" applyBorder="1" applyAlignment="1">
      <alignment horizontal="center" vertical="center" wrapText="1"/>
    </xf>
    <xf numFmtId="165" fontId="64" fillId="0" borderId="16" xfId="30" applyNumberFormat="1" applyFont="1" applyBorder="1" applyAlignment="1">
      <alignment horizontal="center" vertical="center" wrapText="1"/>
    </xf>
    <xf numFmtId="4" fontId="64" fillId="0" borderId="16" xfId="38" applyNumberFormat="1" applyFont="1" applyFill="1" applyBorder="1" applyAlignment="1" applyProtection="1">
      <alignment horizontal="center" vertical="center" wrapText="1"/>
      <protection locked="0"/>
    </xf>
    <xf numFmtId="4" fontId="64" fillId="0" borderId="16" xfId="38" applyNumberFormat="1" applyFont="1" applyFill="1" applyBorder="1" applyAlignment="1">
      <alignment horizontal="center" vertical="center" wrapText="1"/>
    </xf>
    <xf numFmtId="0" fontId="159" fillId="0" borderId="0" xfId="0" applyFont="1" applyAlignment="1">
      <alignment horizontal="justify" vertical="center"/>
    </xf>
    <xf numFmtId="4" fontId="64" fillId="28" borderId="16" xfId="0" applyNumberFormat="1" applyFont="1" applyFill="1" applyBorder="1" applyAlignment="1">
      <alignment horizontal="center" vertical="center" wrapText="1"/>
    </xf>
    <xf numFmtId="0" fontId="64" fillId="28" borderId="17" xfId="0" applyFont="1" applyFill="1" applyBorder="1" applyAlignment="1">
      <alignment horizontal="center" vertical="center" wrapText="1"/>
    </xf>
    <xf numFmtId="0" fontId="40" fillId="0" borderId="0" xfId="0" applyFont="1" applyAlignment="1">
      <alignment horizontal="center" vertical="center"/>
    </xf>
    <xf numFmtId="2" fontId="184" fillId="0" borderId="15" xfId="36" applyNumberFormat="1" applyFont="1" applyFill="1" applyBorder="1" applyAlignment="1">
      <alignment horizontal="center" vertical="center" wrapText="1"/>
    </xf>
    <xf numFmtId="0" fontId="10" fillId="0" borderId="15" xfId="0" applyFont="1" applyBorder="1" applyAlignment="1">
      <alignment horizontal="center"/>
    </xf>
    <xf numFmtId="2" fontId="39" fillId="47" borderId="15" xfId="36" applyNumberFormat="1" applyFont="1" applyFill="1" applyBorder="1" applyAlignment="1">
      <alignment horizontal="center" vertical="center"/>
    </xf>
    <xf numFmtId="0" fontId="0" fillId="47" borderId="15" xfId="0" applyFill="1" applyBorder="1" applyAlignment="1">
      <alignment horizontal="center"/>
    </xf>
    <xf numFmtId="0" fontId="10" fillId="47" borderId="15" xfId="0" applyFont="1" applyFill="1" applyBorder="1" applyAlignment="1">
      <alignment horizontal="center"/>
    </xf>
    <xf numFmtId="43" fontId="39" fillId="48" borderId="15" xfId="36" applyNumberFormat="1" applyFont="1" applyFill="1" applyBorder="1" applyAlignment="1">
      <alignment horizontal="left" vertical="center" wrapText="1"/>
    </xf>
    <xf numFmtId="43" fontId="0" fillId="48" borderId="15" xfId="0" applyNumberFormat="1" applyFill="1" applyBorder="1" applyAlignment="1">
      <alignment horizontal="left"/>
    </xf>
    <xf numFmtId="0" fontId="16" fillId="0" borderId="0" xfId="0" applyFont="1" applyAlignment="1">
      <alignment horizontal="left" vertical="center"/>
    </xf>
    <xf numFmtId="0" fontId="40" fillId="0" borderId="0" xfId="0" applyFont="1" applyAlignment="1">
      <alignment horizontal="left" vertical="center"/>
    </xf>
    <xf numFmtId="0" fontId="39" fillId="0" borderId="0" xfId="36" applyFont="1" applyAlignment="1">
      <alignment horizontal="center"/>
    </xf>
    <xf numFmtId="0" fontId="39" fillId="0" borderId="0" xfId="0" applyFont="1" applyAlignment="1">
      <alignment horizontal="center"/>
    </xf>
    <xf numFmtId="0" fontId="39" fillId="0" borderId="0" xfId="36" applyFont="1" applyAlignment="1">
      <alignment horizontal="center" vertical="top"/>
    </xf>
    <xf numFmtId="0" fontId="10" fillId="0" borderId="0" xfId="0" applyFont="1" applyAlignment="1">
      <alignment vertical="top"/>
    </xf>
    <xf numFmtId="0" fontId="39" fillId="0" borderId="0" xfId="36" applyFont="1" applyAlignment="1">
      <alignment horizontal="center" vertical="center"/>
    </xf>
    <xf numFmtId="0" fontId="10" fillId="0" borderId="0" xfId="0" applyFont="1" applyAlignment="1">
      <alignment vertical="center"/>
    </xf>
    <xf numFmtId="0" fontId="78" fillId="0" borderId="0" xfId="36" applyFont="1">
      <alignment vertical="top"/>
    </xf>
    <xf numFmtId="0" fontId="107" fillId="0" borderId="0" xfId="36" applyFont="1" applyAlignment="1">
      <alignment horizontal="center" vertical="center" wrapText="1"/>
    </xf>
    <xf numFmtId="0" fontId="132" fillId="0" borderId="0" xfId="36" applyFont="1" applyAlignment="1">
      <alignment horizontal="left" vertical="top" wrapText="1"/>
    </xf>
    <xf numFmtId="2" fontId="66" fillId="0" borderId="15" xfId="36" applyNumberFormat="1" applyFont="1" applyFill="1" applyBorder="1" applyAlignment="1">
      <alignment horizontal="center" vertical="center" wrapText="1"/>
    </xf>
    <xf numFmtId="0" fontId="61" fillId="0" borderId="15" xfId="0" applyFont="1" applyBorder="1" applyAlignment="1">
      <alignment horizontal="center"/>
    </xf>
    <xf numFmtId="2" fontId="39" fillId="0" borderId="15" xfId="36" applyNumberFormat="1" applyFont="1" applyFill="1" applyBorder="1" applyAlignment="1">
      <alignment horizontal="center" vertical="center" wrapText="1"/>
    </xf>
    <xf numFmtId="43" fontId="10" fillId="48" borderId="15" xfId="0" applyNumberFormat="1" applyFont="1" applyFill="1" applyBorder="1" applyAlignment="1">
      <alignment horizontal="left"/>
    </xf>
    <xf numFmtId="2" fontId="184" fillId="0" borderId="0" xfId="36" applyNumberFormat="1" applyFont="1" applyFill="1" applyBorder="1" applyAlignment="1">
      <alignment horizontal="center" vertical="center" wrapText="1"/>
    </xf>
    <xf numFmtId="0" fontId="39" fillId="0" borderId="0" xfId="0" applyFont="1" applyAlignment="1">
      <alignment horizontal="center" vertical="center"/>
    </xf>
    <xf numFmtId="2" fontId="78" fillId="28" borderId="23" xfId="36" applyNumberFormat="1" applyFont="1" applyFill="1" applyBorder="1" applyAlignment="1">
      <alignment horizontal="center" vertical="top"/>
    </xf>
    <xf numFmtId="0" fontId="61" fillId="0" borderId="0" xfId="0" applyFont="1" applyAlignment="1">
      <alignment horizontal="center" vertical="top"/>
    </xf>
    <xf numFmtId="0" fontId="0" fillId="0" borderId="0" xfId="0" applyAlignment="1">
      <alignment horizontal="center" vertical="top"/>
    </xf>
    <xf numFmtId="0" fontId="16" fillId="0" borderId="0" xfId="0" applyFont="1" applyAlignment="1">
      <alignment horizontal="right" vertical="center"/>
    </xf>
    <xf numFmtId="0" fontId="12" fillId="0" borderId="0" xfId="0" applyFont="1" applyAlignment="1">
      <alignment horizontal="left" vertical="center"/>
    </xf>
    <xf numFmtId="0" fontId="167" fillId="0" borderId="0" xfId="0" applyFont="1" applyAlignment="1">
      <alignment horizontal="center"/>
    </xf>
  </cellXfs>
  <cellStyles count="191">
    <cellStyle name="20% - Акцент1" xfId="46"/>
    <cellStyle name="20% - Акцент2" xfId="47"/>
    <cellStyle name="20% - Акцент3" xfId="48"/>
    <cellStyle name="20% - Акцент4" xfId="49"/>
    <cellStyle name="20% - Акцент5" xfId="50"/>
    <cellStyle name="20% - Акцент6" xfId="51"/>
    <cellStyle name="40% - Акцент1" xfId="52"/>
    <cellStyle name="40% - Акцент2" xfId="53"/>
    <cellStyle name="40% - Акцент3" xfId="54"/>
    <cellStyle name="40% - Акцент4" xfId="55"/>
    <cellStyle name="40% - Акцент5" xfId="56"/>
    <cellStyle name="40% - Акцент6" xfId="57"/>
    <cellStyle name="60% - Акцент1" xfId="58"/>
    <cellStyle name="60% - Акцент2" xfId="59"/>
    <cellStyle name="60% - Акцент3" xfId="60"/>
    <cellStyle name="60% - Акцент4" xfId="61"/>
    <cellStyle name="60% - Акцент5" xfId="62"/>
    <cellStyle name="60% - Акцент6" xfId="63"/>
    <cellStyle name="Excel Built-in Normal" xfId="102"/>
    <cellStyle name="Excel Built-in Normal 2" xfId="118"/>
    <cellStyle name="Excel Built-in Обычный_УКБ до бюджету 2016р ост" xfId="84"/>
    <cellStyle name="Normal_meresha_07" xfId="1"/>
    <cellStyle name="TableStyleLight1" xfId="131"/>
    <cellStyle name="TableStyleLight1 2" xfId="173"/>
    <cellStyle name="Акцент1" xfId="64"/>
    <cellStyle name="Акцент2" xfId="65"/>
    <cellStyle name="Акцент3" xfId="66"/>
    <cellStyle name="Акцент4" xfId="67"/>
    <cellStyle name="Акцент5" xfId="68"/>
    <cellStyle name="Акцент6" xfId="69"/>
    <cellStyle name="Ввід" xfId="2"/>
    <cellStyle name="Ввід 2" xfId="180"/>
    <cellStyle name="Ввід 3" xfId="103"/>
    <cellStyle name="Ввод " xfId="70"/>
    <cellStyle name="Вывод" xfId="71"/>
    <cellStyle name="Вычисление" xfId="72"/>
    <cellStyle name="Гіперпосилання 2" xfId="73"/>
    <cellStyle name="Добре" xfId="3"/>
    <cellStyle name="Заголовок 1" xfId="4" builtinId="16" customBuiltin="1"/>
    <cellStyle name="Заголовок 1 2" xfId="104"/>
    <cellStyle name="Заголовок 2" xfId="5" builtinId="17" customBuiltin="1"/>
    <cellStyle name="Заголовок 2 2" xfId="105"/>
    <cellStyle name="Заголовок 3" xfId="6" builtinId="18" customBuiltin="1"/>
    <cellStyle name="Заголовок 3 2" xfId="106"/>
    <cellStyle name="Заголовок 4" xfId="7" builtinId="19" customBuiltin="1"/>
    <cellStyle name="Заголовок 4 2" xfId="107"/>
    <cellStyle name="Звичайний" xfId="0" builtinId="0"/>
    <cellStyle name="Звичайний 10" xfId="8"/>
    <cellStyle name="Звичайний 11" xfId="9"/>
    <cellStyle name="Звичайний 12" xfId="10"/>
    <cellStyle name="Звичайний 13" xfId="11"/>
    <cellStyle name="Звичайний 14" xfId="12"/>
    <cellStyle name="Звичайний 15" xfId="13"/>
    <cellStyle name="Звичайний 16" xfId="14"/>
    <cellStyle name="Звичайний 17" xfId="15"/>
    <cellStyle name="Звичайний 18" xfId="16"/>
    <cellStyle name="Звичайний 19" xfId="17"/>
    <cellStyle name="Звичайний 2" xfId="18"/>
    <cellStyle name="Звичайний 2 2" xfId="19"/>
    <cellStyle name="Звичайний 2 2 2" xfId="88"/>
    <cellStyle name="Звичайний 2 3" xfId="94"/>
    <cellStyle name="Звичайний 20" xfId="20"/>
    <cellStyle name="Звичайний 21" xfId="86"/>
    <cellStyle name="Звичайний 21 2" xfId="93"/>
    <cellStyle name="Звичайний 21 2 2" xfId="96"/>
    <cellStyle name="Звичайний 21 2 2 2" xfId="181"/>
    <cellStyle name="Звичайний 21 2 3" xfId="98"/>
    <cellStyle name="Звичайний 21 2 3 2" xfId="100"/>
    <cellStyle name="Звичайний 21 2 3 2 2" xfId="182"/>
    <cellStyle name="Звичайний 21 2 3 2 3" xfId="178"/>
    <cellStyle name="Звичайний 21 2 3 2 3 2 2 2" xfId="190"/>
    <cellStyle name="Звичайний 21 2 4" xfId="160"/>
    <cellStyle name="Звичайний 21 3" xfId="113"/>
    <cellStyle name="Звичайний 22" xfId="114"/>
    <cellStyle name="Звичайний 22 2" xfId="140"/>
    <cellStyle name="Звичайний 23" xfId="115"/>
    <cellStyle name="Звичайний 23 2" xfId="141"/>
    <cellStyle name="Звичайний 24" xfId="116"/>
    <cellStyle name="Звичайний 24 2" xfId="142"/>
    <cellStyle name="Звичайний 25" xfId="117"/>
    <cellStyle name="Звичайний 26" xfId="127"/>
    <cellStyle name="Звичайний 27" xfId="132"/>
    <cellStyle name="Звичайний 27 2" xfId="145"/>
    <cellStyle name="Звичайний 27 2 3" xfId="151"/>
    <cellStyle name="Звичайний 27 2 3 2" xfId="152"/>
    <cellStyle name="Звичайний 27 2 3 2 2" xfId="162"/>
    <cellStyle name="Звичайний 27 2 3 2 2 2" xfId="177"/>
    <cellStyle name="Звичайний 27 3" xfId="129"/>
    <cellStyle name="Звичайний 27 3 2" xfId="87"/>
    <cellStyle name="Звичайний 27 3 2 2" xfId="144"/>
    <cellStyle name="Звичайний 27 3 2 3" xfId="156"/>
    <cellStyle name="Звичайний 27 3 2 4" xfId="165"/>
    <cellStyle name="Звичайний 27 3 2 4 2" xfId="170"/>
    <cellStyle name="Звичайний 27 3 2 5" xfId="130"/>
    <cellStyle name="Звичайний 27 3 3" xfId="143"/>
    <cellStyle name="Звичайний 27 3 3 2" xfId="135"/>
    <cellStyle name="Звичайний 27 3 3 2 2" xfId="147"/>
    <cellStyle name="Звичайний 27 3 3 2 3" xfId="155"/>
    <cellStyle name="Звичайний 27 4 2" xfId="164"/>
    <cellStyle name="Звичайний 27 4 2 2" xfId="169"/>
    <cellStyle name="Звичайний 27 4 2 2 2" xfId="175"/>
    <cellStyle name="Звичайний 27 5" xfId="163"/>
    <cellStyle name="Звичайний 27 5 2" xfId="168"/>
    <cellStyle name="Звичайний 27 5 2 2" xfId="174"/>
    <cellStyle name="Звичайний 28" xfId="136"/>
    <cellStyle name="Звичайний 28 2" xfId="148"/>
    <cellStyle name="Звичайний 28 3" xfId="154"/>
    <cellStyle name="Звичайний 29" xfId="139"/>
    <cellStyle name="Звичайний 29 2" xfId="153"/>
    <cellStyle name="Звичайний 29 2 2" xfId="166"/>
    <cellStyle name="Звичайний 29 2 2 2" xfId="176"/>
    <cellStyle name="Звичайний 3" xfId="21"/>
    <cellStyle name="Звичайний 3 2" xfId="22"/>
    <cellStyle name="Звичайний 3 2 2" xfId="89"/>
    <cellStyle name="Звичайний 30" xfId="158"/>
    <cellStyle name="Звичайний 30 2" xfId="95"/>
    <cellStyle name="Звичайний 30 2 2" xfId="97"/>
    <cellStyle name="Звичайний 30 2 3" xfId="99"/>
    <cellStyle name="Звичайний 30 2 3 2" xfId="101"/>
    <cellStyle name="Звичайний 31" xfId="161"/>
    <cellStyle name="Звичайний 31 2" xfId="171"/>
    <cellStyle name="Звичайний 31 2 2" xfId="172"/>
    <cellStyle name="Звичайний 32" xfId="134"/>
    <cellStyle name="Звичайний 32 2" xfId="137"/>
    <cellStyle name="Звичайний 32 2 2" xfId="138"/>
    <cellStyle name="Звичайний 32 2 2 2" xfId="150"/>
    <cellStyle name="Звичайний 32 2 2 3" xfId="157"/>
    <cellStyle name="Звичайний 32 2 2 4" xfId="159"/>
    <cellStyle name="Звичайний 32 2 3" xfId="149"/>
    <cellStyle name="Звичайний 32 3" xfId="146"/>
    <cellStyle name="Звичайний 33" xfId="179"/>
    <cellStyle name="Звичайний 4" xfId="23"/>
    <cellStyle name="Звичайний 4 2" xfId="24"/>
    <cellStyle name="Звичайний 4 2 2" xfId="90"/>
    <cellStyle name="Звичайний 4 3" xfId="167"/>
    <cellStyle name="Звичайний 5" xfId="25"/>
    <cellStyle name="Звичайний 6" xfId="26"/>
    <cellStyle name="Звичайний 7" xfId="27"/>
    <cellStyle name="Звичайний 8" xfId="28"/>
    <cellStyle name="Звичайний 9" xfId="29"/>
    <cellStyle name="Звичайний_Додаток _ 3 зм_ни 4575" xfId="30"/>
    <cellStyle name="Зв'язана клітинка" xfId="41"/>
    <cellStyle name="Зв'язана клітинка 2" xfId="183"/>
    <cellStyle name="Зв'язана клітинка 3" xfId="108"/>
    <cellStyle name="Итог" xfId="74"/>
    <cellStyle name="Контрольна клітинка" xfId="31"/>
    <cellStyle name="Контрольна клітинка 2" xfId="184"/>
    <cellStyle name="Контрольная ячейка" xfId="75"/>
    <cellStyle name="Назва" xfId="32"/>
    <cellStyle name="Назва 2" xfId="185"/>
    <cellStyle name="Назва 3" xfId="109"/>
    <cellStyle name="Название" xfId="76"/>
    <cellStyle name="Нейтральный" xfId="77"/>
    <cellStyle name="Обычный 2" xfId="33"/>
    <cellStyle name="Обычный 2 2" xfId="34"/>
    <cellStyle name="Обычный 2 2 2" xfId="91"/>
    <cellStyle name="Обычный 2 2 2 2" xfId="120"/>
    <cellStyle name="Обычный 2 2 3" xfId="128"/>
    <cellStyle name="Обычный 2 3" xfId="110"/>
    <cellStyle name="Обычный 2 3 2" xfId="187"/>
    <cellStyle name="Обычный 2 4" xfId="119"/>
    <cellStyle name="Обычный 2 5" xfId="186"/>
    <cellStyle name="Обычный 3" xfId="35"/>
    <cellStyle name="Обычный 3 2" xfId="121"/>
    <cellStyle name="Обычный 3 3" xfId="188"/>
    <cellStyle name="Обычный 3 4" xfId="111"/>
    <cellStyle name="Обычный 4" xfId="112"/>
    <cellStyle name="Обычный 4 2" xfId="122"/>
    <cellStyle name="Обычный 4 3" xfId="85"/>
    <cellStyle name="Обычный 5" xfId="123"/>
    <cellStyle name="Обычный 6" xfId="124"/>
    <cellStyle name="Обычный 7" xfId="125"/>
    <cellStyle name="Обычный 8" xfId="126"/>
    <cellStyle name="Обычный_Plan_kapbud_2006 уточн." xfId="36"/>
    <cellStyle name="Обычный_дод.1" xfId="37"/>
    <cellStyle name="Обычный_Додаток 2 до бюджету 2000 року" xfId="38"/>
    <cellStyle name="Обычный_Додаток №1" xfId="39"/>
    <cellStyle name="Обычный_КАПІТАЛЬНІ  ВКЛАДЕННЯ 2015 2 2" xfId="45"/>
    <cellStyle name="Обычный_УЖКГ бюджет 2016 Після Ямчука 2" xfId="40"/>
    <cellStyle name="Обычный_УКБ до бюджету 2016р ост 2" xfId="92"/>
    <cellStyle name="Плохой" xfId="78"/>
    <cellStyle name="Пояснение" xfId="79"/>
    <cellStyle name="Примечание" xfId="80"/>
    <cellStyle name="Связанная ячейка" xfId="81"/>
    <cellStyle name="Середній" xfId="42"/>
    <cellStyle name="Стиль 1" xfId="43"/>
    <cellStyle name="Текст попередження" xfId="44"/>
    <cellStyle name="Текст попередження 2" xfId="189"/>
    <cellStyle name="Текст предупреждения" xfId="82"/>
    <cellStyle name="Фінансовий 2" xfId="133"/>
    <cellStyle name="Хороший" xfId="83"/>
  </cellStyles>
  <dxfs count="0"/>
  <tableStyles count="0" defaultTableStyle="TableStyleMedium2" defaultPivotStyle="PivotStyleLight16"/>
  <colors>
    <mruColors>
      <color rgb="FFCCFF99"/>
      <color rgb="FFCCECFF"/>
      <color rgb="FFCCFFCC"/>
      <color rgb="FF00FFCC"/>
      <color rgb="FFCCCCFF"/>
      <color rgb="FFFFAFAF"/>
      <color rgb="FFFFABAB"/>
      <color rgb="FFFFCCCC"/>
      <color rgb="FF66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58"/>
  <sheetViews>
    <sheetView view="pageBreakPreview" zoomScaleNormal="100" zoomScaleSheetLayoutView="100" workbookViewId="0">
      <selection activeCell="A8" sqref="A8:F8"/>
    </sheetView>
  </sheetViews>
  <sheetFormatPr defaultColWidth="6.85546875" defaultRowHeight="12.75" x14ac:dyDescent="0.2"/>
  <cols>
    <col min="1" max="1" width="10.140625" style="104" customWidth="1"/>
    <col min="2" max="2" width="40.42578125" style="104" customWidth="1"/>
    <col min="3" max="4" width="17.28515625" style="104" customWidth="1"/>
    <col min="5" max="5" width="15.7109375" style="104" customWidth="1"/>
    <col min="6" max="6" width="14.5703125" style="104" customWidth="1"/>
    <col min="7" max="10" width="10.85546875" style="104" bestFit="1" customWidth="1"/>
    <col min="11" max="252" width="7.85546875" style="104" customWidth="1"/>
    <col min="253" max="16384" width="6.85546875" style="104"/>
  </cols>
  <sheetData>
    <row r="1" spans="1:7" ht="15.75" x14ac:dyDescent="0.2">
      <c r="A1" s="598"/>
      <c r="B1" s="598"/>
      <c r="C1" s="598"/>
      <c r="D1" s="754" t="s">
        <v>56</v>
      </c>
      <c r="E1" s="755"/>
      <c r="F1" s="755"/>
      <c r="G1" s="755"/>
    </row>
    <row r="2" spans="1:7" ht="15.75" x14ac:dyDescent="0.2">
      <c r="A2" s="598"/>
      <c r="B2" s="598"/>
      <c r="C2" s="599"/>
      <c r="D2" s="754" t="s">
        <v>1630</v>
      </c>
      <c r="E2" s="756"/>
      <c r="F2" s="756"/>
      <c r="G2" s="756"/>
    </row>
    <row r="3" spans="1:7" ht="6" hidden="1" customHeight="1" x14ac:dyDescent="0.2">
      <c r="A3" s="598"/>
      <c r="B3" s="598"/>
      <c r="C3" s="599"/>
      <c r="D3" s="754"/>
      <c r="E3" s="756"/>
      <c r="F3" s="756"/>
      <c r="G3" s="756"/>
    </row>
    <row r="4" spans="1:7" ht="12.75" customHeight="1" x14ac:dyDescent="0.2">
      <c r="A4" s="747"/>
      <c r="B4" s="747"/>
      <c r="C4" s="747"/>
      <c r="D4" s="747"/>
      <c r="E4" s="747"/>
      <c r="F4" s="598"/>
      <c r="G4" s="598"/>
    </row>
    <row r="5" spans="1:7" ht="20.25" x14ac:dyDescent="0.2">
      <c r="A5" s="747" t="s">
        <v>1110</v>
      </c>
      <c r="B5" s="748"/>
      <c r="C5" s="748"/>
      <c r="D5" s="748"/>
      <c r="E5" s="748"/>
      <c r="F5" s="748"/>
      <c r="G5" s="598"/>
    </row>
    <row r="6" spans="1:7" ht="20.25" x14ac:dyDescent="0.2">
      <c r="A6" s="747" t="s">
        <v>1532</v>
      </c>
      <c r="B6" s="748"/>
      <c r="C6" s="748"/>
      <c r="D6" s="748"/>
      <c r="E6" s="748"/>
      <c r="F6" s="748"/>
      <c r="G6" s="598"/>
    </row>
    <row r="7" spans="1:7" ht="20.25" x14ac:dyDescent="0.2">
      <c r="A7" s="600"/>
      <c r="B7" s="308"/>
      <c r="C7" s="308"/>
      <c r="D7" s="308"/>
      <c r="E7" s="308"/>
      <c r="F7" s="308"/>
      <c r="G7" s="598"/>
    </row>
    <row r="8" spans="1:7" ht="20.25" x14ac:dyDescent="0.2">
      <c r="A8" s="749">
        <v>2256400000</v>
      </c>
      <c r="B8" s="750"/>
      <c r="C8" s="750"/>
      <c r="D8" s="750"/>
      <c r="E8" s="750"/>
      <c r="F8" s="750"/>
      <c r="G8" s="598"/>
    </row>
    <row r="9" spans="1:7" ht="15.75" x14ac:dyDescent="0.2">
      <c r="A9" s="751" t="s">
        <v>490</v>
      </c>
      <c r="B9" s="752"/>
      <c r="C9" s="752"/>
      <c r="D9" s="752"/>
      <c r="E9" s="752"/>
      <c r="F9" s="752"/>
      <c r="G9" s="598"/>
    </row>
    <row r="10" spans="1:7" ht="20.25" x14ac:dyDescent="0.2">
      <c r="A10" s="600"/>
      <c r="B10" s="476"/>
      <c r="C10" s="476"/>
      <c r="D10" s="476"/>
      <c r="E10" s="476"/>
      <c r="F10" s="476"/>
      <c r="G10" s="598"/>
    </row>
    <row r="11" spans="1:7" ht="13.5" thickBot="1" x14ac:dyDescent="0.25">
      <c r="A11" s="598"/>
      <c r="B11" s="601"/>
      <c r="C11" s="601"/>
      <c r="D11" s="601"/>
      <c r="E11" s="601"/>
      <c r="F11" s="602" t="s">
        <v>404</v>
      </c>
      <c r="G11" s="598"/>
    </row>
    <row r="12" spans="1:7" ht="14.25" thickTop="1" thickBot="1" x14ac:dyDescent="0.25">
      <c r="A12" s="753" t="s">
        <v>57</v>
      </c>
      <c r="B12" s="753" t="s">
        <v>1533</v>
      </c>
      <c r="C12" s="753" t="s">
        <v>383</v>
      </c>
      <c r="D12" s="753" t="s">
        <v>12</v>
      </c>
      <c r="E12" s="753" t="s">
        <v>52</v>
      </c>
      <c r="F12" s="753"/>
      <c r="G12" s="603"/>
    </row>
    <row r="13" spans="1:7" ht="39.75" thickTop="1" thickBot="1" x14ac:dyDescent="0.3">
      <c r="A13" s="753"/>
      <c r="B13" s="753"/>
      <c r="C13" s="753"/>
      <c r="D13" s="753"/>
      <c r="E13" s="604" t="s">
        <v>384</v>
      </c>
      <c r="F13" s="604" t="s">
        <v>426</v>
      </c>
      <c r="G13" s="605"/>
    </row>
    <row r="14" spans="1:7" ht="16.5" thickTop="1" thickBot="1" x14ac:dyDescent="0.3">
      <c r="A14" s="604">
        <v>1</v>
      </c>
      <c r="B14" s="604">
        <v>2</v>
      </c>
      <c r="C14" s="604">
        <v>3</v>
      </c>
      <c r="D14" s="604">
        <v>4</v>
      </c>
      <c r="E14" s="604">
        <v>5</v>
      </c>
      <c r="F14" s="604">
        <v>6</v>
      </c>
      <c r="G14" s="605"/>
    </row>
    <row r="15" spans="1:7" ht="25.5" customHeight="1" thickTop="1" thickBot="1" x14ac:dyDescent="0.25">
      <c r="A15" s="712">
        <v>10000000</v>
      </c>
      <c r="B15" s="712" t="s">
        <v>58</v>
      </c>
      <c r="C15" s="713">
        <f t="shared" ref="C15:C20" si="0">SUM(D15,E15)</f>
        <v>3183182765</v>
      </c>
      <c r="D15" s="713">
        <f>SUM(D16,D32,D40,D61,D26)</f>
        <v>3181982765</v>
      </c>
      <c r="E15" s="713">
        <f>SUM(E16,E32,E40,E61,E26)</f>
        <v>1200000</v>
      </c>
      <c r="F15" s="713">
        <f>SUM(F16,F32,F40,F61,F26)</f>
        <v>0</v>
      </c>
      <c r="G15" s="106"/>
    </row>
    <row r="16" spans="1:7" ht="31.7" customHeight="1" thickTop="1" thickBot="1" x14ac:dyDescent="0.25">
      <c r="A16" s="604">
        <v>11000000</v>
      </c>
      <c r="B16" s="604" t="s">
        <v>59</v>
      </c>
      <c r="C16" s="606">
        <f>SUM(D16,E16)</f>
        <v>1823737665</v>
      </c>
      <c r="D16" s="606">
        <f>SUM(D17,D24)</f>
        <v>1823737665</v>
      </c>
      <c r="E16" s="371"/>
      <c r="F16" s="371"/>
      <c r="G16" s="107"/>
    </row>
    <row r="17" spans="1:7" ht="24.75" customHeight="1" thickTop="1" thickBot="1" x14ac:dyDescent="0.25">
      <c r="A17" s="607">
        <v>11010000</v>
      </c>
      <c r="B17" s="608" t="s">
        <v>60</v>
      </c>
      <c r="C17" s="609">
        <f t="shared" si="0"/>
        <v>1822037665</v>
      </c>
      <c r="D17" s="609">
        <f>SUM(D18:D23)</f>
        <v>1822037665</v>
      </c>
      <c r="E17" s="372"/>
      <c r="F17" s="372"/>
      <c r="G17" s="107"/>
    </row>
    <row r="18" spans="1:7" ht="39.75" thickTop="1" thickBot="1" x14ac:dyDescent="0.25">
      <c r="A18" s="610">
        <v>11010100</v>
      </c>
      <c r="B18" s="611" t="s">
        <v>61</v>
      </c>
      <c r="C18" s="606">
        <f>SUM(D18,E18)</f>
        <v>1699332665</v>
      </c>
      <c r="D18" s="612">
        <f>(1611780000)+87552665</f>
        <v>1699332665</v>
      </c>
      <c r="E18" s="375"/>
      <c r="F18" s="375"/>
      <c r="G18" s="107"/>
    </row>
    <row r="19" spans="1:7" ht="65.25" hidden="1" thickTop="1" thickBot="1" x14ac:dyDescent="0.25">
      <c r="A19" s="373">
        <v>11010200</v>
      </c>
      <c r="B19" s="374" t="s">
        <v>62</v>
      </c>
      <c r="C19" s="371">
        <f t="shared" si="0"/>
        <v>0</v>
      </c>
      <c r="D19" s="375">
        <v>0</v>
      </c>
      <c r="E19" s="375"/>
      <c r="F19" s="375"/>
      <c r="G19" s="107"/>
    </row>
    <row r="20" spans="1:7" ht="39.75" thickTop="1" thickBot="1" x14ac:dyDescent="0.25">
      <c r="A20" s="610">
        <v>11010400</v>
      </c>
      <c r="B20" s="611" t="s">
        <v>63</v>
      </c>
      <c r="C20" s="606">
        <f t="shared" si="0"/>
        <v>60665000</v>
      </c>
      <c r="D20" s="612">
        <v>60665000</v>
      </c>
      <c r="E20" s="375"/>
      <c r="F20" s="375"/>
      <c r="G20" s="107"/>
    </row>
    <row r="21" spans="1:7" ht="39.75" thickTop="1" thickBot="1" x14ac:dyDescent="0.3">
      <c r="A21" s="610">
        <v>11010500</v>
      </c>
      <c r="B21" s="611" t="s">
        <v>64</v>
      </c>
      <c r="C21" s="606">
        <f t="shared" ref="C21:C106" si="1">SUM(D21,E21)</f>
        <v>61355000</v>
      </c>
      <c r="D21" s="612">
        <f>(56355000)+5000000</f>
        <v>61355000</v>
      </c>
      <c r="E21" s="375"/>
      <c r="F21" s="375"/>
      <c r="G21" s="105"/>
    </row>
    <row r="22" spans="1:7" ht="27" thickTop="1" thickBot="1" x14ac:dyDescent="0.3">
      <c r="A22" s="610">
        <v>11011200</v>
      </c>
      <c r="B22" s="611" t="s">
        <v>1534</v>
      </c>
      <c r="C22" s="606">
        <f t="shared" si="1"/>
        <v>645000</v>
      </c>
      <c r="D22" s="612">
        <v>645000</v>
      </c>
      <c r="E22" s="375"/>
      <c r="F22" s="375"/>
      <c r="G22" s="105"/>
    </row>
    <row r="23" spans="1:7" ht="39.75" thickTop="1" thickBot="1" x14ac:dyDescent="0.3">
      <c r="A23" s="610">
        <v>11011300</v>
      </c>
      <c r="B23" s="611" t="s">
        <v>1535</v>
      </c>
      <c r="C23" s="606">
        <f t="shared" si="1"/>
        <v>40000</v>
      </c>
      <c r="D23" s="612">
        <v>40000</v>
      </c>
      <c r="E23" s="375"/>
      <c r="F23" s="375"/>
      <c r="G23" s="105"/>
    </row>
    <row r="24" spans="1:7" ht="28.5" customHeight="1" thickTop="1" thickBot="1" x14ac:dyDescent="0.25">
      <c r="A24" s="607">
        <v>11020000</v>
      </c>
      <c r="B24" s="608" t="s">
        <v>65</v>
      </c>
      <c r="C24" s="609">
        <f>SUM(D24,E24)</f>
        <v>1700000</v>
      </c>
      <c r="D24" s="609">
        <f>D25</f>
        <v>1700000</v>
      </c>
      <c r="E24" s="372"/>
      <c r="F24" s="372"/>
      <c r="G24" s="106"/>
    </row>
    <row r="25" spans="1:7" ht="27" thickTop="1" thickBot="1" x14ac:dyDescent="0.3">
      <c r="A25" s="610">
        <v>11020200</v>
      </c>
      <c r="B25" s="613" t="s">
        <v>66</v>
      </c>
      <c r="C25" s="606">
        <f>SUM(D25,E25)</f>
        <v>1700000</v>
      </c>
      <c r="D25" s="612">
        <v>1700000</v>
      </c>
      <c r="E25" s="375"/>
      <c r="F25" s="375"/>
      <c r="G25" s="105"/>
    </row>
    <row r="26" spans="1:7" ht="27" thickTop="1" thickBot="1" x14ac:dyDescent="0.3">
      <c r="A26" s="604">
        <v>13000000</v>
      </c>
      <c r="B26" s="614" t="s">
        <v>526</v>
      </c>
      <c r="C26" s="606">
        <f>D26+E26</f>
        <v>1000000</v>
      </c>
      <c r="D26" s="606">
        <f>SUM(D27,D30)</f>
        <v>1000000</v>
      </c>
      <c r="E26" s="375"/>
      <c r="F26" s="375"/>
      <c r="G26" s="105"/>
    </row>
    <row r="27" spans="1:7" ht="28.5" thickTop="1" thickBot="1" x14ac:dyDescent="0.3">
      <c r="A27" s="607">
        <v>13010000</v>
      </c>
      <c r="B27" s="615" t="s">
        <v>527</v>
      </c>
      <c r="C27" s="609">
        <f>D27+E27</f>
        <v>985000</v>
      </c>
      <c r="D27" s="609">
        <f>SUM(D28:D29)</f>
        <v>985000</v>
      </c>
      <c r="E27" s="372"/>
      <c r="F27" s="372"/>
      <c r="G27" s="105"/>
    </row>
    <row r="28" spans="1:7" ht="52.5" thickTop="1" thickBot="1" x14ac:dyDescent="0.3">
      <c r="A28" s="610">
        <v>13010100</v>
      </c>
      <c r="B28" s="616" t="s">
        <v>1536</v>
      </c>
      <c r="C28" s="606">
        <f t="shared" ref="C28:C32" si="2">D28+E28</f>
        <v>450000</v>
      </c>
      <c r="D28" s="612">
        <v>450000</v>
      </c>
      <c r="E28" s="375"/>
      <c r="F28" s="375"/>
      <c r="G28" s="105"/>
    </row>
    <row r="29" spans="1:7" ht="65.25" thickTop="1" thickBot="1" x14ac:dyDescent="0.3">
      <c r="A29" s="610">
        <v>13010200</v>
      </c>
      <c r="B29" s="616" t="s">
        <v>528</v>
      </c>
      <c r="C29" s="606">
        <f t="shared" si="2"/>
        <v>535000</v>
      </c>
      <c r="D29" s="612">
        <v>535000</v>
      </c>
      <c r="E29" s="375"/>
      <c r="F29" s="375"/>
      <c r="G29" s="105"/>
    </row>
    <row r="30" spans="1:7" ht="16.5" thickTop="1" thickBot="1" x14ac:dyDescent="0.3">
      <c r="A30" s="607">
        <v>13030000</v>
      </c>
      <c r="B30" s="617" t="s">
        <v>529</v>
      </c>
      <c r="C30" s="609">
        <f>D30+E30</f>
        <v>15000</v>
      </c>
      <c r="D30" s="609">
        <f>SUM(D31)</f>
        <v>15000</v>
      </c>
      <c r="E30" s="372"/>
      <c r="F30" s="372"/>
      <c r="G30" s="105"/>
    </row>
    <row r="31" spans="1:7" ht="39.75" thickTop="1" thickBot="1" x14ac:dyDescent="0.3">
      <c r="A31" s="610">
        <v>13030100</v>
      </c>
      <c r="B31" s="616" t="s">
        <v>530</v>
      </c>
      <c r="C31" s="606">
        <f t="shared" si="2"/>
        <v>15000</v>
      </c>
      <c r="D31" s="612">
        <v>15000</v>
      </c>
      <c r="E31" s="375"/>
      <c r="F31" s="375"/>
      <c r="G31" s="105"/>
    </row>
    <row r="32" spans="1:7" ht="26.45" customHeight="1" thickTop="1" thickBot="1" x14ac:dyDescent="0.3">
      <c r="A32" s="604">
        <v>14000000</v>
      </c>
      <c r="B32" s="614" t="s">
        <v>531</v>
      </c>
      <c r="C32" s="606">
        <f t="shared" si="2"/>
        <v>400215000</v>
      </c>
      <c r="D32" s="606">
        <f>SUM(D33,D35,D37)</f>
        <v>400215000</v>
      </c>
      <c r="E32" s="371"/>
      <c r="F32" s="375"/>
      <c r="G32" s="105"/>
    </row>
    <row r="33" spans="1:7" ht="30" customHeight="1" thickTop="1" thickBot="1" x14ac:dyDescent="0.3">
      <c r="A33" s="607">
        <v>14020000</v>
      </c>
      <c r="B33" s="615" t="s">
        <v>622</v>
      </c>
      <c r="C33" s="609">
        <f>SUM(D33,E33)</f>
        <v>21715000</v>
      </c>
      <c r="D33" s="609">
        <f>SUM(D34,E34)</f>
        <v>21715000</v>
      </c>
      <c r="E33" s="372"/>
      <c r="F33" s="378"/>
      <c r="G33" s="105"/>
    </row>
    <row r="34" spans="1:7" ht="16.5" thickTop="1" thickBot="1" x14ac:dyDescent="0.3">
      <c r="A34" s="610">
        <v>14021900</v>
      </c>
      <c r="B34" s="613" t="s">
        <v>621</v>
      </c>
      <c r="C34" s="612">
        <f>SUM(D34,E34)</f>
        <v>21715000</v>
      </c>
      <c r="D34" s="612">
        <v>21715000</v>
      </c>
      <c r="E34" s="371"/>
      <c r="F34" s="375"/>
      <c r="G34" s="105"/>
    </row>
    <row r="35" spans="1:7" ht="42" thickTop="1" thickBot="1" x14ac:dyDescent="0.3">
      <c r="A35" s="607">
        <v>14030000</v>
      </c>
      <c r="B35" s="615" t="s">
        <v>623</v>
      </c>
      <c r="C35" s="609">
        <f>SUM(D35,E35)</f>
        <v>73500000</v>
      </c>
      <c r="D35" s="609">
        <f>SUM(D36,E36)</f>
        <v>73500000</v>
      </c>
      <c r="E35" s="372"/>
      <c r="F35" s="378"/>
      <c r="G35" s="105"/>
    </row>
    <row r="36" spans="1:7" ht="16.5" thickTop="1" thickBot="1" x14ac:dyDescent="0.3">
      <c r="A36" s="610">
        <v>14031900</v>
      </c>
      <c r="B36" s="613" t="s">
        <v>621</v>
      </c>
      <c r="C36" s="612">
        <f>SUM(D36,E36)</f>
        <v>73500000</v>
      </c>
      <c r="D36" s="612">
        <v>73500000</v>
      </c>
      <c r="E36" s="371"/>
      <c r="F36" s="375"/>
      <c r="G36" s="105"/>
    </row>
    <row r="37" spans="1:7" ht="42" thickTop="1" thickBot="1" x14ac:dyDescent="0.3">
      <c r="A37" s="607">
        <v>14040000</v>
      </c>
      <c r="B37" s="615" t="s">
        <v>1209</v>
      </c>
      <c r="C37" s="609">
        <f>SUM(C38:C39)</f>
        <v>305000000</v>
      </c>
      <c r="D37" s="609">
        <f>SUM(D38:D39)</f>
        <v>305000000</v>
      </c>
      <c r="E37" s="372"/>
      <c r="F37" s="378"/>
      <c r="G37" s="105"/>
    </row>
    <row r="38" spans="1:7" ht="103.5" thickTop="1" thickBot="1" x14ac:dyDescent="0.25">
      <c r="A38" s="610">
        <v>14040100</v>
      </c>
      <c r="B38" s="613" t="s">
        <v>1229</v>
      </c>
      <c r="C38" s="612">
        <f>SUM(D38,E38)</f>
        <v>198250115</v>
      </c>
      <c r="D38" s="612">
        <v>198250115</v>
      </c>
      <c r="E38" s="371"/>
      <c r="F38" s="375"/>
      <c r="G38" s="108"/>
    </row>
    <row r="39" spans="1:7" ht="65.25" thickTop="1" thickBot="1" x14ac:dyDescent="0.25">
      <c r="A39" s="610">
        <v>14040200</v>
      </c>
      <c r="B39" s="613" t="s">
        <v>1208</v>
      </c>
      <c r="C39" s="612">
        <f>SUM(D39,E39)</f>
        <v>106749885</v>
      </c>
      <c r="D39" s="612">
        <v>106749885</v>
      </c>
      <c r="E39" s="371"/>
      <c r="F39" s="375"/>
      <c r="G39" s="108"/>
    </row>
    <row r="40" spans="1:7" ht="29.25" customHeight="1" thickTop="1" thickBot="1" x14ac:dyDescent="0.3">
      <c r="A40" s="604">
        <v>18000000</v>
      </c>
      <c r="B40" s="604" t="s">
        <v>67</v>
      </c>
      <c r="C40" s="606">
        <f t="shared" si="1"/>
        <v>957030100</v>
      </c>
      <c r="D40" s="606">
        <f>SUM(D41,D54,D57,D52)</f>
        <v>957030100</v>
      </c>
      <c r="E40" s="371"/>
      <c r="F40" s="371"/>
      <c r="G40" s="105"/>
    </row>
    <row r="41" spans="1:7" ht="16.5" thickTop="1" thickBot="1" x14ac:dyDescent="0.3">
      <c r="A41" s="607">
        <v>18010000</v>
      </c>
      <c r="B41" s="615" t="s">
        <v>68</v>
      </c>
      <c r="C41" s="609">
        <f>SUM(D41,E41)</f>
        <v>319115000</v>
      </c>
      <c r="D41" s="609">
        <f>SUM(D42:D51)</f>
        <v>319115000</v>
      </c>
      <c r="E41" s="372"/>
      <c r="F41" s="372"/>
      <c r="G41" s="105"/>
    </row>
    <row r="42" spans="1:7" ht="52.5" thickTop="1" thickBot="1" x14ac:dyDescent="0.3">
      <c r="A42" s="610">
        <v>18010100</v>
      </c>
      <c r="B42" s="613" t="s">
        <v>69</v>
      </c>
      <c r="C42" s="606">
        <f t="shared" si="1"/>
        <v>310500</v>
      </c>
      <c r="D42" s="612">
        <v>310500</v>
      </c>
      <c r="E42" s="375"/>
      <c r="F42" s="375"/>
      <c r="G42" s="105"/>
    </row>
    <row r="43" spans="1:7" ht="52.5" thickTop="1" thickBot="1" x14ac:dyDescent="0.3">
      <c r="A43" s="610">
        <v>18010200</v>
      </c>
      <c r="B43" s="613" t="s">
        <v>70</v>
      </c>
      <c r="C43" s="606">
        <f t="shared" si="1"/>
        <v>23955000</v>
      </c>
      <c r="D43" s="612">
        <f>(20055000)+3900000</f>
        <v>23955000</v>
      </c>
      <c r="E43" s="375"/>
      <c r="F43" s="375"/>
      <c r="G43" s="105"/>
    </row>
    <row r="44" spans="1:7" ht="52.5" thickTop="1" thickBot="1" x14ac:dyDescent="0.3">
      <c r="A44" s="610">
        <v>18010300</v>
      </c>
      <c r="B44" s="613" t="s">
        <v>71</v>
      </c>
      <c r="C44" s="606">
        <f t="shared" si="1"/>
        <v>17550600</v>
      </c>
      <c r="D44" s="612">
        <f>(10050600)+7500000</f>
        <v>17550600</v>
      </c>
      <c r="E44" s="375"/>
      <c r="F44" s="375"/>
      <c r="G44" s="105"/>
    </row>
    <row r="45" spans="1:7" ht="52.5" thickTop="1" thickBot="1" x14ac:dyDescent="0.3">
      <c r="A45" s="610">
        <v>18010400</v>
      </c>
      <c r="B45" s="613" t="s">
        <v>72</v>
      </c>
      <c r="C45" s="606">
        <f t="shared" si="1"/>
        <v>43583900</v>
      </c>
      <c r="D45" s="612">
        <f>(38083900)+5500000</f>
        <v>43583900</v>
      </c>
      <c r="E45" s="375"/>
      <c r="F45" s="375"/>
      <c r="G45" s="105"/>
    </row>
    <row r="46" spans="1:7" ht="16.5" thickTop="1" thickBot="1" x14ac:dyDescent="0.3">
      <c r="A46" s="610">
        <v>18010500</v>
      </c>
      <c r="B46" s="613" t="s">
        <v>73</v>
      </c>
      <c r="C46" s="606">
        <f t="shared" si="1"/>
        <v>40250000</v>
      </c>
      <c r="D46" s="612">
        <v>40250000</v>
      </c>
      <c r="E46" s="375"/>
      <c r="F46" s="375"/>
      <c r="G46" s="105"/>
    </row>
    <row r="47" spans="1:7" ht="16.5" thickTop="1" thickBot="1" x14ac:dyDescent="0.3">
      <c r="A47" s="610">
        <v>18010600</v>
      </c>
      <c r="B47" s="613" t="s">
        <v>74</v>
      </c>
      <c r="C47" s="606">
        <f t="shared" si="1"/>
        <v>145650800</v>
      </c>
      <c r="D47" s="612">
        <v>145650800</v>
      </c>
      <c r="E47" s="375"/>
      <c r="F47" s="375"/>
      <c r="G47" s="105"/>
    </row>
    <row r="48" spans="1:7" ht="16.5" thickTop="1" thickBot="1" x14ac:dyDescent="0.3">
      <c r="A48" s="610">
        <v>18010700</v>
      </c>
      <c r="B48" s="613" t="s">
        <v>75</v>
      </c>
      <c r="C48" s="606">
        <f t="shared" si="1"/>
        <v>3500000</v>
      </c>
      <c r="D48" s="612">
        <v>3500000</v>
      </c>
      <c r="E48" s="375"/>
      <c r="F48" s="375"/>
      <c r="G48" s="105"/>
    </row>
    <row r="49" spans="1:7" ht="16.5" thickTop="1" thickBot="1" x14ac:dyDescent="0.3">
      <c r="A49" s="610">
        <v>18010900</v>
      </c>
      <c r="B49" s="613" t="s">
        <v>76</v>
      </c>
      <c r="C49" s="606">
        <f t="shared" si="1"/>
        <v>42814200</v>
      </c>
      <c r="D49" s="612">
        <v>42814200</v>
      </c>
      <c r="E49" s="375"/>
      <c r="F49" s="375"/>
      <c r="G49" s="105"/>
    </row>
    <row r="50" spans="1:7" ht="15.75" thickTop="1" thickBot="1" x14ac:dyDescent="0.25">
      <c r="A50" s="610">
        <v>18011000</v>
      </c>
      <c r="B50" s="613" t="s">
        <v>77</v>
      </c>
      <c r="C50" s="606">
        <f t="shared" si="1"/>
        <v>950000</v>
      </c>
      <c r="D50" s="612">
        <v>950000</v>
      </c>
      <c r="E50" s="375"/>
      <c r="F50" s="375"/>
      <c r="G50" s="106"/>
    </row>
    <row r="51" spans="1:7" ht="16.5" thickTop="1" thickBot="1" x14ac:dyDescent="0.3">
      <c r="A51" s="610">
        <v>18011100</v>
      </c>
      <c r="B51" s="613" t="s">
        <v>78</v>
      </c>
      <c r="C51" s="606">
        <f t="shared" si="1"/>
        <v>550000</v>
      </c>
      <c r="D51" s="612">
        <v>550000</v>
      </c>
      <c r="E51" s="375"/>
      <c r="F51" s="375"/>
      <c r="G51" s="105"/>
    </row>
    <row r="52" spans="1:7" ht="28.5" thickTop="1" thickBot="1" x14ac:dyDescent="0.3">
      <c r="A52" s="607">
        <v>18020000</v>
      </c>
      <c r="B52" s="615" t="s">
        <v>1157</v>
      </c>
      <c r="C52" s="609">
        <f t="shared" si="1"/>
        <v>500000</v>
      </c>
      <c r="D52" s="609">
        <f>SUM(D53,E53)</f>
        <v>500000</v>
      </c>
      <c r="E52" s="372"/>
      <c r="F52" s="372"/>
      <c r="G52" s="105"/>
    </row>
    <row r="53" spans="1:7" ht="27" thickTop="1" thickBot="1" x14ac:dyDescent="0.3">
      <c r="A53" s="610">
        <v>180201000</v>
      </c>
      <c r="B53" s="613" t="s">
        <v>1158</v>
      </c>
      <c r="C53" s="606">
        <f t="shared" si="1"/>
        <v>500000</v>
      </c>
      <c r="D53" s="612">
        <v>500000</v>
      </c>
      <c r="E53" s="375"/>
      <c r="F53" s="375"/>
      <c r="G53" s="105"/>
    </row>
    <row r="54" spans="1:7" ht="16.5" thickTop="1" thickBot="1" x14ac:dyDescent="0.3">
      <c r="A54" s="607">
        <v>18030000</v>
      </c>
      <c r="B54" s="615" t="s">
        <v>79</v>
      </c>
      <c r="C54" s="609">
        <f>SUM(D54,E54)</f>
        <v>2215000</v>
      </c>
      <c r="D54" s="609">
        <f>SUM(D55:D56)</f>
        <v>2215000</v>
      </c>
      <c r="E54" s="372"/>
      <c r="F54" s="372"/>
      <c r="G54" s="105"/>
    </row>
    <row r="55" spans="1:7" ht="27" thickTop="1" thickBot="1" x14ac:dyDescent="0.3">
      <c r="A55" s="610">
        <v>18030100</v>
      </c>
      <c r="B55" s="613" t="s">
        <v>80</v>
      </c>
      <c r="C55" s="606">
        <f>SUM(D55,E55)</f>
        <v>1050000</v>
      </c>
      <c r="D55" s="612">
        <v>1050000</v>
      </c>
      <c r="E55" s="375"/>
      <c r="F55" s="375"/>
      <c r="G55" s="105"/>
    </row>
    <row r="56" spans="1:7" ht="27" thickTop="1" thickBot="1" x14ac:dyDescent="0.3">
      <c r="A56" s="610">
        <v>18030200</v>
      </c>
      <c r="B56" s="613" t="s">
        <v>81</v>
      </c>
      <c r="C56" s="606">
        <f>SUM(D56,E56)</f>
        <v>1165000</v>
      </c>
      <c r="D56" s="612">
        <v>1165000</v>
      </c>
      <c r="E56" s="375"/>
      <c r="F56" s="375"/>
      <c r="G56" s="105"/>
    </row>
    <row r="57" spans="1:7" ht="16.5" thickTop="1" thickBot="1" x14ac:dyDescent="0.3">
      <c r="A57" s="607">
        <v>18050000</v>
      </c>
      <c r="B57" s="615" t="s">
        <v>82</v>
      </c>
      <c r="C57" s="609">
        <f>SUM(D57,E57)</f>
        <v>635200100</v>
      </c>
      <c r="D57" s="609">
        <f>SUM(D58:D60)</f>
        <v>635200100</v>
      </c>
      <c r="E57" s="378"/>
      <c r="F57" s="378"/>
      <c r="G57" s="105"/>
    </row>
    <row r="58" spans="1:7" ht="16.5" thickTop="1" thickBot="1" x14ac:dyDescent="0.3">
      <c r="A58" s="610">
        <v>18050300</v>
      </c>
      <c r="B58" s="611" t="s">
        <v>1039</v>
      </c>
      <c r="C58" s="606">
        <f t="shared" si="1"/>
        <v>121450000</v>
      </c>
      <c r="D58" s="612">
        <v>121450000</v>
      </c>
      <c r="E58" s="375"/>
      <c r="F58" s="375"/>
      <c r="G58" s="105"/>
    </row>
    <row r="59" spans="1:7" ht="15.75" thickTop="1" thickBot="1" x14ac:dyDescent="0.25">
      <c r="A59" s="610">
        <v>18050400</v>
      </c>
      <c r="B59" s="613" t="s">
        <v>83</v>
      </c>
      <c r="C59" s="606">
        <f t="shared" si="1"/>
        <v>508750000</v>
      </c>
      <c r="D59" s="612">
        <f>(473750000)+35000000</f>
        <v>508750000</v>
      </c>
      <c r="E59" s="375"/>
      <c r="F59" s="375"/>
      <c r="G59" s="106"/>
    </row>
    <row r="60" spans="1:7" ht="65.25" thickTop="1" thickBot="1" x14ac:dyDescent="0.25">
      <c r="A60" s="610">
        <v>18050500</v>
      </c>
      <c r="B60" s="613" t="s">
        <v>539</v>
      </c>
      <c r="C60" s="606">
        <f t="shared" si="1"/>
        <v>5000100</v>
      </c>
      <c r="D60" s="612">
        <v>5000100</v>
      </c>
      <c r="E60" s="375"/>
      <c r="F60" s="375"/>
      <c r="G60" s="106"/>
    </row>
    <row r="61" spans="1:7" ht="31.7" customHeight="1" thickTop="1" thickBot="1" x14ac:dyDescent="0.25">
      <c r="A61" s="604">
        <v>19000000</v>
      </c>
      <c r="B61" s="618" t="s">
        <v>532</v>
      </c>
      <c r="C61" s="606">
        <f t="shared" si="1"/>
        <v>1200000</v>
      </c>
      <c r="D61" s="606"/>
      <c r="E61" s="606">
        <f>SUM(E63:E65)</f>
        <v>1200000</v>
      </c>
      <c r="F61" s="375"/>
      <c r="G61" s="106"/>
    </row>
    <row r="62" spans="1:7" ht="16.5" thickTop="1" thickBot="1" x14ac:dyDescent="0.3">
      <c r="A62" s="607">
        <v>1901000</v>
      </c>
      <c r="B62" s="608" t="s">
        <v>84</v>
      </c>
      <c r="C62" s="609">
        <f t="shared" ref="C62:C66" si="3">SUM(D62,E62)</f>
        <v>1200000</v>
      </c>
      <c r="D62" s="609">
        <f>SUM(D63:D65)</f>
        <v>0</v>
      </c>
      <c r="E62" s="609">
        <f>SUM(E63:E65)</f>
        <v>1200000</v>
      </c>
      <c r="F62" s="372"/>
      <c r="G62" s="105"/>
    </row>
    <row r="63" spans="1:7" ht="52.5" thickTop="1" thickBot="1" x14ac:dyDescent="0.3">
      <c r="A63" s="610">
        <v>19010100</v>
      </c>
      <c r="B63" s="611" t="s">
        <v>533</v>
      </c>
      <c r="C63" s="606">
        <f t="shared" si="3"/>
        <v>165850</v>
      </c>
      <c r="D63" s="612"/>
      <c r="E63" s="612">
        <v>165850</v>
      </c>
      <c r="F63" s="375"/>
      <c r="G63" s="105"/>
    </row>
    <row r="64" spans="1:7" ht="27" thickTop="1" thickBot="1" x14ac:dyDescent="0.25">
      <c r="A64" s="610">
        <v>19010200</v>
      </c>
      <c r="B64" s="611" t="s">
        <v>1273</v>
      </c>
      <c r="C64" s="606">
        <f t="shared" si="3"/>
        <v>318550</v>
      </c>
      <c r="D64" s="612"/>
      <c r="E64" s="612">
        <v>318550</v>
      </c>
      <c r="F64" s="375"/>
      <c r="G64" s="108"/>
    </row>
    <row r="65" spans="1:7" ht="52.5" thickTop="1" thickBot="1" x14ac:dyDescent="0.3">
      <c r="A65" s="610">
        <v>19010300</v>
      </c>
      <c r="B65" s="611" t="s">
        <v>1274</v>
      </c>
      <c r="C65" s="606">
        <f t="shared" si="3"/>
        <v>715600</v>
      </c>
      <c r="D65" s="612"/>
      <c r="E65" s="612">
        <v>715600</v>
      </c>
      <c r="F65" s="375"/>
      <c r="G65" s="105"/>
    </row>
    <row r="66" spans="1:7" ht="30" customHeight="1" thickTop="1" thickBot="1" x14ac:dyDescent="0.3">
      <c r="A66" s="712">
        <v>20000000</v>
      </c>
      <c r="B66" s="712" t="s">
        <v>85</v>
      </c>
      <c r="C66" s="713">
        <f t="shared" si="3"/>
        <v>356187776</v>
      </c>
      <c r="D66" s="713">
        <f>SUM(D67,D77,D88,D93)+D87</f>
        <v>123842600</v>
      </c>
      <c r="E66" s="713">
        <f>SUM(E67,E77,E88,E93)+E87</f>
        <v>232345176</v>
      </c>
      <c r="F66" s="713">
        <f>SUM(F67,F77,F88,F93)+F87</f>
        <v>3200024</v>
      </c>
      <c r="G66" s="105"/>
    </row>
    <row r="67" spans="1:7" ht="27" thickTop="1" thickBot="1" x14ac:dyDescent="0.3">
      <c r="A67" s="604">
        <v>21000000</v>
      </c>
      <c r="B67" s="604" t="s">
        <v>534</v>
      </c>
      <c r="C67" s="606">
        <f>SUM(D67,E67)</f>
        <v>41635000</v>
      </c>
      <c r="D67" s="606">
        <f>SUM(D68,D71,D70)</f>
        <v>41635000</v>
      </c>
      <c r="E67" s="371"/>
      <c r="F67" s="371"/>
      <c r="G67" s="105"/>
    </row>
    <row r="68" spans="1:7" ht="55.5" thickTop="1" thickBot="1" x14ac:dyDescent="0.3">
      <c r="A68" s="607">
        <v>21010000</v>
      </c>
      <c r="B68" s="615" t="s">
        <v>535</v>
      </c>
      <c r="C68" s="609">
        <f t="shared" si="1"/>
        <v>2500000</v>
      </c>
      <c r="D68" s="609">
        <f>D69</f>
        <v>2500000</v>
      </c>
      <c r="E68" s="372"/>
      <c r="F68" s="372"/>
      <c r="G68" s="105"/>
    </row>
    <row r="69" spans="1:7" ht="52.5" thickTop="1" thickBot="1" x14ac:dyDescent="0.3">
      <c r="A69" s="610">
        <v>21010300</v>
      </c>
      <c r="B69" s="613" t="s">
        <v>1400</v>
      </c>
      <c r="C69" s="606">
        <f t="shared" si="1"/>
        <v>2500000</v>
      </c>
      <c r="D69" s="612">
        <v>2500000</v>
      </c>
      <c r="E69" s="375"/>
      <c r="F69" s="375"/>
      <c r="G69" s="105"/>
    </row>
    <row r="70" spans="1:7" ht="28.5" thickTop="1" thickBot="1" x14ac:dyDescent="0.3">
      <c r="A70" s="607">
        <v>21050000</v>
      </c>
      <c r="B70" s="615" t="s">
        <v>86</v>
      </c>
      <c r="C70" s="609">
        <f t="shared" si="1"/>
        <v>13900000</v>
      </c>
      <c r="D70" s="609">
        <v>13900000</v>
      </c>
      <c r="E70" s="372"/>
      <c r="F70" s="372"/>
      <c r="G70" s="105"/>
    </row>
    <row r="71" spans="1:7" ht="15" thickTop="1" thickBot="1" x14ac:dyDescent="0.25">
      <c r="A71" s="607">
        <v>21080000</v>
      </c>
      <c r="B71" s="615" t="s">
        <v>1040</v>
      </c>
      <c r="C71" s="609">
        <f>SUM(D71,E71)</f>
        <v>25235000</v>
      </c>
      <c r="D71" s="609">
        <f>SUM(D72:D76)</f>
        <v>25235000</v>
      </c>
      <c r="E71" s="372"/>
      <c r="F71" s="372"/>
      <c r="G71" s="108"/>
    </row>
    <row r="72" spans="1:7" ht="16.5" thickTop="1" thickBot="1" x14ac:dyDescent="0.3">
      <c r="A72" s="610">
        <v>21081100</v>
      </c>
      <c r="B72" s="619" t="s">
        <v>87</v>
      </c>
      <c r="C72" s="606">
        <f t="shared" ref="C72:C78" si="4">SUM(D72,E72)</f>
        <v>5500000</v>
      </c>
      <c r="D72" s="612">
        <v>5500000</v>
      </c>
      <c r="E72" s="375"/>
      <c r="F72" s="375"/>
      <c r="G72" s="105"/>
    </row>
    <row r="73" spans="1:7" ht="90.75" thickTop="1" thickBot="1" x14ac:dyDescent="0.3">
      <c r="A73" s="610">
        <v>21081500</v>
      </c>
      <c r="B73" s="611" t="s">
        <v>1289</v>
      </c>
      <c r="C73" s="606">
        <f t="shared" si="4"/>
        <v>1055000</v>
      </c>
      <c r="D73" s="612">
        <v>1055000</v>
      </c>
      <c r="E73" s="375"/>
      <c r="F73" s="375"/>
      <c r="G73" s="105"/>
    </row>
    <row r="74" spans="1:7" ht="16.5" thickTop="1" thickBot="1" x14ac:dyDescent="0.3">
      <c r="A74" s="610">
        <v>21081700</v>
      </c>
      <c r="B74" s="611" t="s">
        <v>374</v>
      </c>
      <c r="C74" s="606">
        <f t="shared" si="4"/>
        <v>18000000</v>
      </c>
      <c r="D74" s="612">
        <v>18000000</v>
      </c>
      <c r="E74" s="375"/>
      <c r="F74" s="375"/>
      <c r="G74" s="109"/>
    </row>
    <row r="75" spans="1:7" ht="52.5" thickTop="1" thickBot="1" x14ac:dyDescent="0.3">
      <c r="A75" s="610">
        <v>21081800</v>
      </c>
      <c r="B75" s="611" t="s">
        <v>1537</v>
      </c>
      <c r="C75" s="606">
        <f t="shared" si="4"/>
        <v>650000</v>
      </c>
      <c r="D75" s="612">
        <v>650000</v>
      </c>
      <c r="E75" s="375"/>
      <c r="F75" s="375"/>
      <c r="G75" s="109"/>
    </row>
    <row r="76" spans="1:7" ht="78" thickTop="1" thickBot="1" x14ac:dyDescent="0.3">
      <c r="A76" s="610">
        <v>21082400</v>
      </c>
      <c r="B76" s="611" t="s">
        <v>1538</v>
      </c>
      <c r="C76" s="606">
        <f t="shared" si="4"/>
        <v>30000</v>
      </c>
      <c r="D76" s="612">
        <v>30000</v>
      </c>
      <c r="E76" s="375"/>
      <c r="F76" s="375"/>
      <c r="G76" s="109"/>
    </row>
    <row r="77" spans="1:7" ht="27" thickTop="1" thickBot="1" x14ac:dyDescent="0.3">
      <c r="A77" s="604">
        <v>22000000</v>
      </c>
      <c r="B77" s="604" t="s">
        <v>88</v>
      </c>
      <c r="C77" s="606">
        <f t="shared" si="4"/>
        <v>71146600</v>
      </c>
      <c r="D77" s="606">
        <f>SUM(D78,D82,D84)</f>
        <v>71146600</v>
      </c>
      <c r="E77" s="375"/>
      <c r="F77" s="375"/>
      <c r="G77" s="105"/>
    </row>
    <row r="78" spans="1:7" ht="24.75" customHeight="1" thickTop="1" thickBot="1" x14ac:dyDescent="0.3">
      <c r="A78" s="607">
        <v>22010000</v>
      </c>
      <c r="B78" s="608" t="s">
        <v>536</v>
      </c>
      <c r="C78" s="609">
        <f t="shared" si="4"/>
        <v>45150000</v>
      </c>
      <c r="D78" s="609">
        <f>SUM(D79:D81)</f>
        <v>45150000</v>
      </c>
      <c r="E78" s="372"/>
      <c r="F78" s="372"/>
      <c r="G78" s="105"/>
    </row>
    <row r="79" spans="1:7" ht="39.75" thickTop="1" thickBot="1" x14ac:dyDescent="0.3">
      <c r="A79" s="610">
        <v>22010300</v>
      </c>
      <c r="B79" s="611" t="s">
        <v>147</v>
      </c>
      <c r="C79" s="606">
        <f t="shared" si="1"/>
        <v>1350300</v>
      </c>
      <c r="D79" s="612">
        <v>1350300</v>
      </c>
      <c r="E79" s="375"/>
      <c r="F79" s="375"/>
      <c r="G79" s="105"/>
    </row>
    <row r="80" spans="1:7" ht="16.5" thickTop="1" thickBot="1" x14ac:dyDescent="0.3">
      <c r="A80" s="610">
        <v>22012500</v>
      </c>
      <c r="B80" s="611" t="s">
        <v>90</v>
      </c>
      <c r="C80" s="606">
        <f t="shared" si="1"/>
        <v>40699700</v>
      </c>
      <c r="D80" s="612">
        <f>(26299700)+14400000</f>
        <v>40699700</v>
      </c>
      <c r="E80" s="375"/>
      <c r="F80" s="375"/>
      <c r="G80" s="105"/>
    </row>
    <row r="81" spans="1:7" ht="27" thickTop="1" thickBot="1" x14ac:dyDescent="0.3">
      <c r="A81" s="610">
        <v>22012600</v>
      </c>
      <c r="B81" s="611" t="s">
        <v>89</v>
      </c>
      <c r="C81" s="606">
        <f>SUM(D81,E81)</f>
        <v>3100000</v>
      </c>
      <c r="D81" s="612">
        <v>3100000</v>
      </c>
      <c r="E81" s="375"/>
      <c r="F81" s="375"/>
      <c r="G81" s="105"/>
    </row>
    <row r="82" spans="1:7" ht="42" thickTop="1" thickBot="1" x14ac:dyDescent="0.3">
      <c r="A82" s="607">
        <v>2208000</v>
      </c>
      <c r="B82" s="608" t="s">
        <v>537</v>
      </c>
      <c r="C82" s="609">
        <f t="shared" si="1"/>
        <v>25486600</v>
      </c>
      <c r="D82" s="609">
        <f>D83</f>
        <v>25486600</v>
      </c>
      <c r="E82" s="372"/>
      <c r="F82" s="372"/>
      <c r="G82" s="105"/>
    </row>
    <row r="83" spans="1:7" ht="52.5" thickTop="1" thickBot="1" x14ac:dyDescent="0.3">
      <c r="A83" s="610">
        <v>22080400</v>
      </c>
      <c r="B83" s="619" t="s">
        <v>91</v>
      </c>
      <c r="C83" s="606">
        <f t="shared" si="1"/>
        <v>25486600</v>
      </c>
      <c r="D83" s="612">
        <v>25486600</v>
      </c>
      <c r="E83" s="375"/>
      <c r="F83" s="375"/>
      <c r="G83" s="105"/>
    </row>
    <row r="84" spans="1:7" ht="16.5" thickTop="1" thickBot="1" x14ac:dyDescent="0.3">
      <c r="A84" s="607">
        <v>22090000</v>
      </c>
      <c r="B84" s="620" t="s">
        <v>92</v>
      </c>
      <c r="C84" s="609">
        <f t="shared" si="1"/>
        <v>510000</v>
      </c>
      <c r="D84" s="609">
        <f>SUM(D85:D86)</f>
        <v>510000</v>
      </c>
      <c r="E84" s="372"/>
      <c r="F84" s="372"/>
      <c r="G84" s="105"/>
    </row>
    <row r="85" spans="1:7" ht="52.5" thickTop="1" thickBot="1" x14ac:dyDescent="0.3">
      <c r="A85" s="610">
        <v>22090100</v>
      </c>
      <c r="B85" s="613" t="s">
        <v>93</v>
      </c>
      <c r="C85" s="606">
        <f t="shared" si="1"/>
        <v>405000</v>
      </c>
      <c r="D85" s="612">
        <v>405000</v>
      </c>
      <c r="E85" s="375"/>
      <c r="F85" s="375"/>
      <c r="G85" s="105"/>
    </row>
    <row r="86" spans="1:7" ht="39.75" thickTop="1" thickBot="1" x14ac:dyDescent="0.25">
      <c r="A86" s="610">
        <v>22090400</v>
      </c>
      <c r="B86" s="613" t="s">
        <v>94</v>
      </c>
      <c r="C86" s="606">
        <f t="shared" si="1"/>
        <v>105000</v>
      </c>
      <c r="D86" s="612">
        <v>105000</v>
      </c>
      <c r="E86" s="375"/>
      <c r="F86" s="375"/>
      <c r="G86" s="107"/>
    </row>
    <row r="87" spans="1:7" ht="78" thickTop="1" thickBot="1" x14ac:dyDescent="0.25">
      <c r="A87" s="604">
        <v>22130000</v>
      </c>
      <c r="B87" s="621" t="s">
        <v>1539</v>
      </c>
      <c r="C87" s="606">
        <f t="shared" si="1"/>
        <v>61000</v>
      </c>
      <c r="D87" s="606">
        <v>61000</v>
      </c>
      <c r="E87" s="606"/>
      <c r="F87" s="606"/>
      <c r="G87" s="107"/>
    </row>
    <row r="88" spans="1:7" ht="20.25" customHeight="1" thickTop="1" thickBot="1" x14ac:dyDescent="0.3">
      <c r="A88" s="604">
        <v>24000000</v>
      </c>
      <c r="B88" s="621" t="s">
        <v>95</v>
      </c>
      <c r="C88" s="606">
        <f t="shared" si="1"/>
        <v>14200024</v>
      </c>
      <c r="D88" s="606">
        <f>D89+D90+D92+D91</f>
        <v>11000000</v>
      </c>
      <c r="E88" s="606">
        <f>E89+E90+E92+E91</f>
        <v>3200024</v>
      </c>
      <c r="F88" s="606">
        <f>F89+F90+F92+F91</f>
        <v>3200024</v>
      </c>
      <c r="G88" s="105"/>
    </row>
    <row r="89" spans="1:7" ht="16.5" thickTop="1" thickBot="1" x14ac:dyDescent="0.3">
      <c r="A89" s="610">
        <v>24060300</v>
      </c>
      <c r="B89" s="611" t="s">
        <v>96</v>
      </c>
      <c r="C89" s="606">
        <f t="shared" si="1"/>
        <v>10000000</v>
      </c>
      <c r="D89" s="612">
        <v>10000000</v>
      </c>
      <c r="E89" s="612"/>
      <c r="F89" s="612"/>
      <c r="G89" s="105"/>
    </row>
    <row r="90" spans="1:7" ht="65.25" thickTop="1" thickBot="1" x14ac:dyDescent="0.3">
      <c r="A90" s="610">
        <v>24062200</v>
      </c>
      <c r="B90" s="611" t="s">
        <v>375</v>
      </c>
      <c r="C90" s="606">
        <f t="shared" si="1"/>
        <v>1000000</v>
      </c>
      <c r="D90" s="612">
        <v>1000000</v>
      </c>
      <c r="E90" s="375"/>
      <c r="F90" s="375"/>
      <c r="G90" s="105"/>
    </row>
    <row r="91" spans="1:7" ht="39.75" thickTop="1" thickBot="1" x14ac:dyDescent="0.3">
      <c r="A91" s="610">
        <v>24110700</v>
      </c>
      <c r="B91" s="622" t="s">
        <v>589</v>
      </c>
      <c r="C91" s="606">
        <f t="shared" si="1"/>
        <v>24</v>
      </c>
      <c r="D91" s="612"/>
      <c r="E91" s="612">
        <v>24</v>
      </c>
      <c r="F91" s="612">
        <v>24</v>
      </c>
      <c r="G91" s="105"/>
    </row>
    <row r="92" spans="1:7" ht="27" thickTop="1" thickBot="1" x14ac:dyDescent="0.25">
      <c r="A92" s="610">
        <v>24170000</v>
      </c>
      <c r="B92" s="613" t="s">
        <v>97</v>
      </c>
      <c r="C92" s="606">
        <f t="shared" ref="C92:C98" si="5">SUM(D92,E92)</f>
        <v>3200000</v>
      </c>
      <c r="D92" s="612"/>
      <c r="E92" s="612">
        <f>(2000000)+1200000</f>
        <v>3200000</v>
      </c>
      <c r="F92" s="612">
        <f>(2000000)+1200000</f>
        <v>3200000</v>
      </c>
      <c r="G92" s="106"/>
    </row>
    <row r="93" spans="1:7" ht="16.5" thickTop="1" thickBot="1" x14ac:dyDescent="0.3">
      <c r="A93" s="604">
        <v>25000000</v>
      </c>
      <c r="B93" s="623" t="s">
        <v>98</v>
      </c>
      <c r="C93" s="606">
        <f t="shared" si="5"/>
        <v>229145152</v>
      </c>
      <c r="D93" s="606">
        <f>SUM(D94:D98,)</f>
        <v>0</v>
      </c>
      <c r="E93" s="606">
        <f>SUM(E94)</f>
        <v>229145152</v>
      </c>
      <c r="F93" s="371"/>
      <c r="G93" s="105"/>
    </row>
    <row r="94" spans="1:7" ht="42" thickTop="1" thickBot="1" x14ac:dyDescent="0.3">
      <c r="A94" s="607">
        <v>25010000</v>
      </c>
      <c r="B94" s="615" t="s">
        <v>99</v>
      </c>
      <c r="C94" s="609">
        <f t="shared" si="5"/>
        <v>229145152</v>
      </c>
      <c r="D94" s="609">
        <v>0</v>
      </c>
      <c r="E94" s="609">
        <f>SUM(E95:E98)</f>
        <v>229145152</v>
      </c>
      <c r="F94" s="372"/>
      <c r="G94" s="105"/>
    </row>
    <row r="95" spans="1:7" ht="27" thickTop="1" thickBot="1" x14ac:dyDescent="0.3">
      <c r="A95" s="610">
        <v>25010100</v>
      </c>
      <c r="B95" s="613" t="s">
        <v>100</v>
      </c>
      <c r="C95" s="606">
        <f t="shared" si="5"/>
        <v>212790555</v>
      </c>
      <c r="D95" s="612"/>
      <c r="E95" s="612">
        <f>(212809795)-19240</f>
        <v>212790555</v>
      </c>
      <c r="F95" s="375"/>
      <c r="G95" s="105"/>
    </row>
    <row r="96" spans="1:7" ht="27" thickTop="1" thickBot="1" x14ac:dyDescent="0.3">
      <c r="A96" s="610">
        <v>25010200</v>
      </c>
      <c r="B96" s="613" t="s">
        <v>101</v>
      </c>
      <c r="C96" s="606">
        <f t="shared" si="5"/>
        <v>12810270</v>
      </c>
      <c r="D96" s="612"/>
      <c r="E96" s="612">
        <v>12810270</v>
      </c>
      <c r="F96" s="375"/>
      <c r="G96" s="105"/>
    </row>
    <row r="97" spans="1:7" ht="16.5" thickTop="1" thickBot="1" x14ac:dyDescent="0.3">
      <c r="A97" s="610">
        <v>25010300</v>
      </c>
      <c r="B97" s="613" t="s">
        <v>102</v>
      </c>
      <c r="C97" s="606">
        <f t="shared" si="5"/>
        <v>3488027</v>
      </c>
      <c r="D97" s="612"/>
      <c r="E97" s="612">
        <f>(3462787)+25240</f>
        <v>3488027</v>
      </c>
      <c r="F97" s="375"/>
      <c r="G97" s="105"/>
    </row>
    <row r="98" spans="1:7" ht="39.75" thickTop="1" thickBot="1" x14ac:dyDescent="0.3">
      <c r="A98" s="610">
        <v>25010400</v>
      </c>
      <c r="B98" s="613" t="s">
        <v>103</v>
      </c>
      <c r="C98" s="606">
        <f t="shared" si="5"/>
        <v>56300</v>
      </c>
      <c r="D98" s="612"/>
      <c r="E98" s="612">
        <f>(62300)-6000</f>
        <v>56300</v>
      </c>
      <c r="F98" s="375"/>
      <c r="G98" s="105"/>
    </row>
    <row r="99" spans="1:7" ht="24.75" customHeight="1" thickTop="1" thickBot="1" x14ac:dyDescent="0.25">
      <c r="A99" s="712">
        <v>30000000</v>
      </c>
      <c r="B99" s="712" t="s">
        <v>104</v>
      </c>
      <c r="C99" s="713">
        <f>SUM(D99,E99)</f>
        <v>19287979</v>
      </c>
      <c r="D99" s="713">
        <f>SUM(D100)+D104</f>
        <v>45000</v>
      </c>
      <c r="E99" s="713">
        <f>SUM(E100)+E104</f>
        <v>19242979</v>
      </c>
      <c r="F99" s="713">
        <f>SUM(F100)+F104</f>
        <v>19242979</v>
      </c>
      <c r="G99" s="107"/>
    </row>
    <row r="100" spans="1:7" ht="27" customHeight="1" thickTop="1" thickBot="1" x14ac:dyDescent="0.3">
      <c r="A100" s="604">
        <v>31000000</v>
      </c>
      <c r="B100" s="604" t="s">
        <v>105</v>
      </c>
      <c r="C100" s="606">
        <f>SUM(D100,E100)</f>
        <v>10345000</v>
      </c>
      <c r="D100" s="606">
        <f>D101+D103</f>
        <v>45000</v>
      </c>
      <c r="E100" s="606">
        <f>E101+E103</f>
        <v>10300000</v>
      </c>
      <c r="F100" s="606">
        <f>F101+F103</f>
        <v>10300000</v>
      </c>
      <c r="G100" s="105"/>
    </row>
    <row r="101" spans="1:7" ht="82.5" thickTop="1" thickBot="1" x14ac:dyDescent="0.3">
      <c r="A101" s="607">
        <v>3101000</v>
      </c>
      <c r="B101" s="608" t="s">
        <v>538</v>
      </c>
      <c r="C101" s="609">
        <f>SUM(D101,E101)</f>
        <v>45000</v>
      </c>
      <c r="D101" s="609">
        <f>D102</f>
        <v>45000</v>
      </c>
      <c r="E101" s="609"/>
      <c r="F101" s="609"/>
      <c r="G101" s="105"/>
    </row>
    <row r="102" spans="1:7" ht="78" thickTop="1" thickBot="1" x14ac:dyDescent="0.3">
      <c r="A102" s="610">
        <v>31010200</v>
      </c>
      <c r="B102" s="613" t="s">
        <v>106</v>
      </c>
      <c r="C102" s="606">
        <f>SUM(D102,E102)</f>
        <v>45000</v>
      </c>
      <c r="D102" s="612">
        <v>45000</v>
      </c>
      <c r="E102" s="612"/>
      <c r="F102" s="612"/>
      <c r="G102" s="105"/>
    </row>
    <row r="103" spans="1:7" ht="55.5" thickTop="1" thickBot="1" x14ac:dyDescent="0.3">
      <c r="A103" s="607">
        <v>31030000</v>
      </c>
      <c r="B103" s="615" t="s">
        <v>107</v>
      </c>
      <c r="C103" s="609">
        <f t="shared" si="1"/>
        <v>10300000</v>
      </c>
      <c r="D103" s="609"/>
      <c r="E103" s="609">
        <f>(800000)+9500000</f>
        <v>10300000</v>
      </c>
      <c r="F103" s="609">
        <f>(800000)+9500000</f>
        <v>10300000</v>
      </c>
      <c r="G103" s="105"/>
    </row>
    <row r="104" spans="1:7" ht="27" thickTop="1" thickBot="1" x14ac:dyDescent="0.3">
      <c r="A104" s="604">
        <v>33000000</v>
      </c>
      <c r="B104" s="604" t="s">
        <v>108</v>
      </c>
      <c r="C104" s="606">
        <f t="shared" si="1"/>
        <v>8942979</v>
      </c>
      <c r="D104" s="606">
        <f>SUM(D105)</f>
        <v>0</v>
      </c>
      <c r="E104" s="606">
        <f>SUM(E105)</f>
        <v>8942979</v>
      </c>
      <c r="F104" s="606">
        <f>SUM(F105)</f>
        <v>8942979</v>
      </c>
      <c r="G104" s="105"/>
    </row>
    <row r="105" spans="1:7" ht="16.5" thickTop="1" thickBot="1" x14ac:dyDescent="0.3">
      <c r="A105" s="607">
        <v>33010000</v>
      </c>
      <c r="B105" s="608" t="s">
        <v>109</v>
      </c>
      <c r="C105" s="609">
        <f>SUM(D105,E105)</f>
        <v>8942979</v>
      </c>
      <c r="D105" s="609">
        <f>SUM(D106:D108)</f>
        <v>0</v>
      </c>
      <c r="E105" s="609">
        <f>SUM(E106:E108)</f>
        <v>8942979</v>
      </c>
      <c r="F105" s="609">
        <f>SUM(F106:F108)</f>
        <v>8942979</v>
      </c>
      <c r="G105" s="105"/>
    </row>
    <row r="106" spans="1:7" ht="52.5" thickTop="1" thickBot="1" x14ac:dyDescent="0.3">
      <c r="A106" s="610">
        <v>33010100</v>
      </c>
      <c r="B106" s="613" t="s">
        <v>343</v>
      </c>
      <c r="C106" s="606">
        <f t="shared" si="1"/>
        <v>7517840</v>
      </c>
      <c r="D106" s="612"/>
      <c r="E106" s="612">
        <v>7517840</v>
      </c>
      <c r="F106" s="612">
        <v>7517840</v>
      </c>
      <c r="G106" s="105"/>
    </row>
    <row r="107" spans="1:7" ht="52.5" thickTop="1" thickBot="1" x14ac:dyDescent="0.3">
      <c r="A107" s="610">
        <v>33010200</v>
      </c>
      <c r="B107" s="613" t="s">
        <v>110</v>
      </c>
      <c r="C107" s="606">
        <f>SUM(D107,E107)</f>
        <v>1425139</v>
      </c>
      <c r="D107" s="612"/>
      <c r="E107" s="612">
        <v>1425139</v>
      </c>
      <c r="F107" s="612">
        <v>1425139</v>
      </c>
      <c r="G107" s="105"/>
    </row>
    <row r="108" spans="1:7" ht="65.25" hidden="1" thickTop="1" thickBot="1" x14ac:dyDescent="0.3">
      <c r="A108" s="373">
        <v>33010500</v>
      </c>
      <c r="B108" s="376" t="s">
        <v>1401</v>
      </c>
      <c r="C108" s="371">
        <f>SUM(D108,E108)</f>
        <v>0</v>
      </c>
      <c r="D108" s="375"/>
      <c r="E108" s="375">
        <v>0</v>
      </c>
      <c r="F108" s="375">
        <v>0</v>
      </c>
      <c r="G108" s="105"/>
    </row>
    <row r="109" spans="1:7" ht="27" customHeight="1" thickTop="1" thickBot="1" x14ac:dyDescent="0.3">
      <c r="A109" s="712">
        <v>50000000</v>
      </c>
      <c r="B109" s="712" t="s">
        <v>487</v>
      </c>
      <c r="C109" s="713">
        <f>SUM(D109,E109)</f>
        <v>5215800</v>
      </c>
      <c r="D109" s="713">
        <f>SUM(D110)</f>
        <v>0</v>
      </c>
      <c r="E109" s="713">
        <f>SUM(E110)</f>
        <v>5215800</v>
      </c>
      <c r="F109" s="713">
        <f>SUM(F110)</f>
        <v>0</v>
      </c>
      <c r="G109" s="105"/>
    </row>
    <row r="110" spans="1:7" ht="52.5" thickTop="1" thickBot="1" x14ac:dyDescent="0.3">
      <c r="A110" s="604">
        <v>50110000</v>
      </c>
      <c r="B110" s="618" t="s">
        <v>111</v>
      </c>
      <c r="C110" s="606">
        <f t="shared" ref="C110:C147" si="6">SUM(D110,E110)</f>
        <v>5215800</v>
      </c>
      <c r="D110" s="612"/>
      <c r="E110" s="606">
        <v>5215800</v>
      </c>
      <c r="F110" s="612"/>
      <c r="G110" s="105"/>
    </row>
    <row r="111" spans="1:7" ht="45.75" customHeight="1" thickTop="1" thickBot="1" x14ac:dyDescent="0.25">
      <c r="A111" s="624"/>
      <c r="B111" s="625" t="s">
        <v>488</v>
      </c>
      <c r="C111" s="626">
        <f t="shared" ref="C111:C119" si="7">SUM(D111,E111)</f>
        <v>3563874320</v>
      </c>
      <c r="D111" s="626">
        <f>D109+D99+D66+D15</f>
        <v>3305870365</v>
      </c>
      <c r="E111" s="626">
        <f>E109+E99+E66+E15</f>
        <v>258003955</v>
      </c>
      <c r="F111" s="626">
        <f>F109+F99+F66+F15</f>
        <v>22443003</v>
      </c>
      <c r="G111" s="106"/>
    </row>
    <row r="112" spans="1:7" ht="34.5" customHeight="1" thickTop="1" thickBot="1" x14ac:dyDescent="0.25">
      <c r="A112" s="712">
        <v>40000000</v>
      </c>
      <c r="B112" s="712" t="s">
        <v>427</v>
      </c>
      <c r="C112" s="713">
        <f>SUM(D112,E112)</f>
        <v>794169284.00999999</v>
      </c>
      <c r="D112" s="713">
        <f>SUM(D118,D115,D113)</f>
        <v>786497173.00999999</v>
      </c>
      <c r="E112" s="713">
        <f>SUM(E118,E115,E113)</f>
        <v>7672111</v>
      </c>
      <c r="F112" s="713">
        <f>SUM(F118,F115,F113)</f>
        <v>0</v>
      </c>
      <c r="G112" s="106"/>
    </row>
    <row r="113" spans="1:7" ht="34.5" hidden="1" customHeight="1" thickTop="1" thickBot="1" x14ac:dyDescent="0.25">
      <c r="A113" s="370">
        <v>41020000</v>
      </c>
      <c r="B113" s="377" t="s">
        <v>1338</v>
      </c>
      <c r="C113" s="371">
        <f t="shared" ref="C113:C114" si="8">SUM(D113,E113)</f>
        <v>0</v>
      </c>
      <c r="D113" s="371">
        <f>SUM(D114)</f>
        <v>0</v>
      </c>
      <c r="E113" s="371"/>
      <c r="F113" s="371"/>
      <c r="G113" s="106"/>
    </row>
    <row r="114" spans="1:7" ht="103.5" hidden="1" thickTop="1" thickBot="1" x14ac:dyDescent="0.25">
      <c r="A114" s="373">
        <v>41021400</v>
      </c>
      <c r="B114" s="376" t="s">
        <v>1345</v>
      </c>
      <c r="C114" s="371">
        <f t="shared" si="8"/>
        <v>0</v>
      </c>
      <c r="D114" s="375">
        <v>0</v>
      </c>
      <c r="E114" s="371"/>
      <c r="F114" s="371"/>
      <c r="G114" s="106"/>
    </row>
    <row r="115" spans="1:7" ht="27" thickTop="1" thickBot="1" x14ac:dyDescent="0.25">
      <c r="A115" s="604">
        <v>41040000</v>
      </c>
      <c r="B115" s="614" t="s">
        <v>344</v>
      </c>
      <c r="C115" s="606">
        <f>SUM(D115,E115)</f>
        <v>7650489.0099999998</v>
      </c>
      <c r="D115" s="606">
        <f>SUM(D116:D117)</f>
        <v>7650489.0099999998</v>
      </c>
      <c r="E115" s="371"/>
      <c r="F115" s="371"/>
      <c r="G115" s="106"/>
    </row>
    <row r="116" spans="1:7" ht="66" customHeight="1" thickTop="1" thickBot="1" x14ac:dyDescent="0.25">
      <c r="A116" s="610">
        <v>41040200</v>
      </c>
      <c r="B116" s="613" t="s">
        <v>1159</v>
      </c>
      <c r="C116" s="606">
        <f t="shared" si="7"/>
        <v>7509500</v>
      </c>
      <c r="D116" s="612">
        <v>7509500</v>
      </c>
      <c r="E116" s="371"/>
      <c r="F116" s="371"/>
      <c r="G116" s="106"/>
    </row>
    <row r="117" spans="1:7" ht="15.75" thickTop="1" thickBot="1" x14ac:dyDescent="0.25">
      <c r="A117" s="610">
        <v>41040400</v>
      </c>
      <c r="B117" s="613" t="s">
        <v>1217</v>
      </c>
      <c r="C117" s="606">
        <f t="shared" si="7"/>
        <v>140989.01</v>
      </c>
      <c r="D117" s="612">
        <v>140989.01</v>
      </c>
      <c r="E117" s="371"/>
      <c r="F117" s="371"/>
      <c r="G117" s="106"/>
    </row>
    <row r="118" spans="1:7" s="598" customFormat="1" ht="15.75" thickTop="1" thickBot="1" x14ac:dyDescent="0.25">
      <c r="A118" s="604">
        <v>41000000</v>
      </c>
      <c r="B118" s="604" t="s">
        <v>112</v>
      </c>
      <c r="C118" s="606">
        <f t="shared" si="7"/>
        <v>786518795</v>
      </c>
      <c r="D118" s="606">
        <f>SUM(D119,D127)</f>
        <v>778846684</v>
      </c>
      <c r="E118" s="606">
        <f>SUM(E119,E127)</f>
        <v>7672111</v>
      </c>
      <c r="F118" s="606">
        <f>SUM(F119,F127)</f>
        <v>0</v>
      </c>
      <c r="G118" s="629"/>
    </row>
    <row r="119" spans="1:7" s="598" customFormat="1" ht="27" thickTop="1" thickBot="1" x14ac:dyDescent="0.3">
      <c r="A119" s="604">
        <v>41030000</v>
      </c>
      <c r="B119" s="623" t="s">
        <v>438</v>
      </c>
      <c r="C119" s="606">
        <f t="shared" si="7"/>
        <v>762406300</v>
      </c>
      <c r="D119" s="606">
        <f>SUM(D120:D126)</f>
        <v>762406300</v>
      </c>
      <c r="E119" s="606">
        <f>SUM(E120:E126)</f>
        <v>0</v>
      </c>
      <c r="F119" s="606">
        <f>SUM(F120:F126)</f>
        <v>0</v>
      </c>
      <c r="G119" s="605"/>
    </row>
    <row r="120" spans="1:7" ht="52.5" hidden="1" thickTop="1" thickBot="1" x14ac:dyDescent="0.3">
      <c r="A120" s="373">
        <v>41032300</v>
      </c>
      <c r="B120" s="374" t="s">
        <v>982</v>
      </c>
      <c r="C120" s="371">
        <f t="shared" si="6"/>
        <v>0</v>
      </c>
      <c r="D120" s="375">
        <v>0</v>
      </c>
      <c r="E120" s="371"/>
      <c r="F120" s="375"/>
      <c r="G120" s="105"/>
    </row>
    <row r="121" spans="1:7" ht="52.5" thickTop="1" thickBot="1" x14ac:dyDescent="0.3">
      <c r="A121" s="714">
        <v>41033800</v>
      </c>
      <c r="B121" s="715" t="s">
        <v>1042</v>
      </c>
      <c r="C121" s="716">
        <f t="shared" si="6"/>
        <v>8649900</v>
      </c>
      <c r="D121" s="717">
        <f>(0)+8649900</f>
        <v>8649900</v>
      </c>
      <c r="E121" s="716"/>
      <c r="F121" s="717"/>
      <c r="G121" s="105"/>
    </row>
    <row r="122" spans="1:7" ht="27" thickTop="1" thickBot="1" x14ac:dyDescent="0.3">
      <c r="A122" s="610">
        <v>41033900</v>
      </c>
      <c r="B122" s="611" t="s">
        <v>113</v>
      </c>
      <c r="C122" s="606">
        <f t="shared" si="6"/>
        <v>753756400</v>
      </c>
      <c r="D122" s="612">
        <f>(752597500)+1158900</f>
        <v>753756400</v>
      </c>
      <c r="E122" s="612"/>
      <c r="F122" s="612"/>
      <c r="G122" s="105"/>
    </row>
    <row r="123" spans="1:7" ht="39.75" hidden="1" thickTop="1" thickBot="1" x14ac:dyDescent="0.3">
      <c r="A123" s="373">
        <v>41034500</v>
      </c>
      <c r="B123" s="374" t="s">
        <v>1043</v>
      </c>
      <c r="C123" s="371">
        <f t="shared" si="6"/>
        <v>0</v>
      </c>
      <c r="D123" s="375">
        <v>0</v>
      </c>
      <c r="E123" s="375">
        <v>0</v>
      </c>
      <c r="F123" s="375">
        <v>0</v>
      </c>
      <c r="G123" s="105"/>
    </row>
    <row r="124" spans="1:7" ht="52.5" hidden="1" thickTop="1" thickBot="1" x14ac:dyDescent="0.3">
      <c r="A124" s="373">
        <v>41035500</v>
      </c>
      <c r="B124" s="374" t="s">
        <v>984</v>
      </c>
      <c r="C124" s="371">
        <f t="shared" si="6"/>
        <v>0</v>
      </c>
      <c r="D124" s="375">
        <v>0</v>
      </c>
      <c r="E124" s="375"/>
      <c r="F124" s="375"/>
      <c r="G124" s="105"/>
    </row>
    <row r="125" spans="1:7" ht="65.25" hidden="1" thickTop="1" thickBot="1" x14ac:dyDescent="0.3">
      <c r="A125" s="373">
        <v>41035600</v>
      </c>
      <c r="B125" s="374" t="s">
        <v>1008</v>
      </c>
      <c r="C125" s="371">
        <f t="shared" si="6"/>
        <v>0</v>
      </c>
      <c r="D125" s="375">
        <v>0</v>
      </c>
      <c r="E125" s="375"/>
      <c r="F125" s="375"/>
      <c r="G125" s="105"/>
    </row>
    <row r="126" spans="1:7" ht="39.75" hidden="1" thickTop="1" thickBot="1" x14ac:dyDescent="0.3">
      <c r="A126" s="373">
        <v>41035700</v>
      </c>
      <c r="B126" s="374" t="s">
        <v>974</v>
      </c>
      <c r="C126" s="371">
        <f t="shared" si="6"/>
        <v>0</v>
      </c>
      <c r="D126" s="375">
        <v>0</v>
      </c>
      <c r="E126" s="375"/>
      <c r="F126" s="375"/>
      <c r="G126" s="105"/>
    </row>
    <row r="127" spans="1:7" ht="27" thickTop="1" thickBot="1" x14ac:dyDescent="0.3">
      <c r="A127" s="604">
        <v>41050000</v>
      </c>
      <c r="B127" s="623" t="s">
        <v>473</v>
      </c>
      <c r="C127" s="606">
        <f t="shared" ref="C127:C135" si="9">SUM(D127,E127)</f>
        <v>24112495</v>
      </c>
      <c r="D127" s="606">
        <f>SUM(D128:D141)+D148+D149</f>
        <v>16440384</v>
      </c>
      <c r="E127" s="606">
        <f>SUM(E128:E141)</f>
        <v>7672111</v>
      </c>
      <c r="F127" s="606">
        <f>SUM(F128:F141)</f>
        <v>0</v>
      </c>
      <c r="G127" s="105"/>
    </row>
    <row r="128" spans="1:7" ht="307.5" hidden="1" thickTop="1" thickBot="1" x14ac:dyDescent="0.3">
      <c r="A128" s="373">
        <v>41050400</v>
      </c>
      <c r="B128" s="374" t="s">
        <v>1424</v>
      </c>
      <c r="C128" s="371">
        <f t="shared" si="9"/>
        <v>0</v>
      </c>
      <c r="D128" s="375">
        <v>0</v>
      </c>
      <c r="E128" s="375"/>
      <c r="F128" s="375"/>
      <c r="G128" s="105"/>
    </row>
    <row r="129" spans="1:7" ht="218.25" hidden="1" thickTop="1" thickBot="1" x14ac:dyDescent="0.3">
      <c r="A129" s="373">
        <v>41050500</v>
      </c>
      <c r="B129" s="374" t="s">
        <v>1044</v>
      </c>
      <c r="C129" s="371">
        <f t="shared" si="9"/>
        <v>0</v>
      </c>
      <c r="D129" s="375">
        <v>0</v>
      </c>
      <c r="E129" s="375"/>
      <c r="F129" s="375"/>
      <c r="G129" s="105"/>
    </row>
    <row r="130" spans="1:7" ht="307.5" hidden="1" thickTop="1" thickBot="1" x14ac:dyDescent="0.3">
      <c r="A130" s="373">
        <v>41050600</v>
      </c>
      <c r="B130" s="374" t="s">
        <v>1425</v>
      </c>
      <c r="C130" s="371">
        <f t="shared" si="9"/>
        <v>0</v>
      </c>
      <c r="D130" s="375">
        <v>0</v>
      </c>
      <c r="E130" s="375"/>
      <c r="F130" s="375"/>
      <c r="G130" s="105"/>
    </row>
    <row r="131" spans="1:7" ht="116.25" hidden="1" thickTop="1" thickBot="1" x14ac:dyDescent="0.3">
      <c r="A131" s="379">
        <v>41050900</v>
      </c>
      <c r="B131" s="380" t="s">
        <v>1045</v>
      </c>
      <c r="C131" s="381">
        <f t="shared" si="9"/>
        <v>0</v>
      </c>
      <c r="D131" s="382">
        <v>0</v>
      </c>
      <c r="E131" s="382"/>
      <c r="F131" s="382"/>
      <c r="G131" s="105"/>
    </row>
    <row r="132" spans="1:7" ht="39.75" thickTop="1" thickBot="1" x14ac:dyDescent="0.3">
      <c r="A132" s="610">
        <v>41051000</v>
      </c>
      <c r="B132" s="611" t="s">
        <v>474</v>
      </c>
      <c r="C132" s="606">
        <f t="shared" si="9"/>
        <v>11127203</v>
      </c>
      <c r="D132" s="612">
        <v>11127203</v>
      </c>
      <c r="E132" s="375"/>
      <c r="F132" s="375"/>
      <c r="G132" s="105"/>
    </row>
    <row r="133" spans="1:7" ht="39.75" thickTop="1" thickBot="1" x14ac:dyDescent="0.3">
      <c r="A133" s="610">
        <v>41051100</v>
      </c>
      <c r="B133" s="611" t="s">
        <v>1591</v>
      </c>
      <c r="C133" s="606">
        <f t="shared" si="9"/>
        <v>7672111</v>
      </c>
      <c r="D133" s="612"/>
      <c r="E133" s="612">
        <v>7672111</v>
      </c>
      <c r="F133" s="375"/>
      <c r="G133" s="105"/>
    </row>
    <row r="134" spans="1:7" ht="52.5" thickTop="1" thickBot="1" x14ac:dyDescent="0.3">
      <c r="A134" s="610">
        <v>41051200</v>
      </c>
      <c r="B134" s="611" t="s">
        <v>1291</v>
      </c>
      <c r="C134" s="606">
        <f>SUM(D134,E134)</f>
        <v>3668858</v>
      </c>
      <c r="D134" s="612">
        <v>3668858</v>
      </c>
      <c r="E134" s="375"/>
      <c r="F134" s="375"/>
      <c r="G134" s="105"/>
    </row>
    <row r="135" spans="1:7" ht="65.25" hidden="1" thickTop="1" thickBot="1" x14ac:dyDescent="0.3">
      <c r="A135" s="379">
        <v>41051400</v>
      </c>
      <c r="B135" s="380" t="s">
        <v>987</v>
      </c>
      <c r="C135" s="381">
        <f t="shared" si="9"/>
        <v>0</v>
      </c>
      <c r="D135" s="382">
        <v>0</v>
      </c>
      <c r="E135" s="382"/>
      <c r="F135" s="382"/>
      <c r="G135" s="105"/>
    </row>
    <row r="136" spans="1:7" ht="65.25" thickTop="1" thickBot="1" x14ac:dyDescent="0.3">
      <c r="A136" s="610">
        <v>41051700</v>
      </c>
      <c r="B136" s="611" t="s">
        <v>945</v>
      </c>
      <c r="C136" s="606">
        <f t="shared" si="6"/>
        <v>532739</v>
      </c>
      <c r="D136" s="612">
        <v>532739</v>
      </c>
      <c r="E136" s="375"/>
      <c r="F136" s="375"/>
      <c r="G136" s="105"/>
    </row>
    <row r="137" spans="1:7" ht="90.75" hidden="1" thickTop="1" thickBot="1" x14ac:dyDescent="0.3">
      <c r="A137" s="379">
        <v>41056600</v>
      </c>
      <c r="B137" s="380" t="s">
        <v>1027</v>
      </c>
      <c r="C137" s="381">
        <f t="shared" si="6"/>
        <v>0</v>
      </c>
      <c r="D137" s="382">
        <f>10623233.82-10623233.82</f>
        <v>0</v>
      </c>
      <c r="E137" s="382"/>
      <c r="F137" s="382"/>
      <c r="G137" s="105"/>
    </row>
    <row r="138" spans="1:7" ht="52.5" hidden="1" thickTop="1" thickBot="1" x14ac:dyDescent="0.25">
      <c r="A138" s="379">
        <v>41055000</v>
      </c>
      <c r="B138" s="380" t="s">
        <v>1046</v>
      </c>
      <c r="C138" s="381">
        <f t="shared" si="6"/>
        <v>0</v>
      </c>
      <c r="D138" s="382">
        <v>0</v>
      </c>
      <c r="E138" s="382"/>
      <c r="F138" s="382"/>
      <c r="G138" s="106"/>
    </row>
    <row r="139" spans="1:7" ht="27" hidden="1" thickTop="1" thickBot="1" x14ac:dyDescent="0.25">
      <c r="A139" s="379">
        <v>41053600</v>
      </c>
      <c r="B139" s="380" t="s">
        <v>947</v>
      </c>
      <c r="C139" s="381">
        <f t="shared" si="6"/>
        <v>0</v>
      </c>
      <c r="D139" s="382"/>
      <c r="E139" s="382">
        <v>0</v>
      </c>
      <c r="F139" s="382"/>
      <c r="G139" s="106"/>
    </row>
    <row r="140" spans="1:7" ht="205.5" hidden="1" thickTop="1" thickBot="1" x14ac:dyDescent="0.25">
      <c r="A140" s="379">
        <v>41054200</v>
      </c>
      <c r="B140" s="380" t="s">
        <v>1047</v>
      </c>
      <c r="C140" s="381">
        <f t="shared" si="6"/>
        <v>0</v>
      </c>
      <c r="D140" s="382">
        <v>0</v>
      </c>
      <c r="E140" s="382"/>
      <c r="F140" s="382"/>
      <c r="G140" s="106"/>
    </row>
    <row r="141" spans="1:7" ht="27" thickTop="1" thickBot="1" x14ac:dyDescent="0.25">
      <c r="A141" s="610">
        <v>41053900</v>
      </c>
      <c r="B141" s="611" t="s">
        <v>901</v>
      </c>
      <c r="C141" s="606">
        <f t="shared" si="6"/>
        <v>1018034</v>
      </c>
      <c r="D141" s="606">
        <f>SUM(D142:D147)</f>
        <v>1018034</v>
      </c>
      <c r="E141" s="606">
        <f>SUM(E142:E147)</f>
        <v>0</v>
      </c>
      <c r="F141" s="606">
        <f>SUM(F142:F147)</f>
        <v>0</v>
      </c>
      <c r="G141" s="106"/>
    </row>
    <row r="142" spans="1:7" ht="15.75" hidden="1" thickTop="1" thickBot="1" x14ac:dyDescent="0.25">
      <c r="A142" s="610"/>
      <c r="B142" s="627" t="s">
        <v>948</v>
      </c>
      <c r="C142" s="609">
        <f>SUM(D142,E142)</f>
        <v>0</v>
      </c>
      <c r="D142" s="628"/>
      <c r="E142" s="378">
        <v>0</v>
      </c>
      <c r="F142" s="378">
        <v>0</v>
      </c>
      <c r="G142" s="106"/>
    </row>
    <row r="143" spans="1:7" ht="39.75" thickTop="1" thickBot="1" x14ac:dyDescent="0.25">
      <c r="A143" s="610"/>
      <c r="B143" s="627" t="s">
        <v>902</v>
      </c>
      <c r="C143" s="609">
        <f t="shared" si="6"/>
        <v>362971</v>
      </c>
      <c r="D143" s="628">
        <v>362971</v>
      </c>
      <c r="E143" s="378"/>
      <c r="F143" s="378"/>
      <c r="G143" s="106"/>
    </row>
    <row r="144" spans="1:7" ht="52.5" thickTop="1" thickBot="1" x14ac:dyDescent="0.25">
      <c r="A144" s="610"/>
      <c r="B144" s="627" t="s">
        <v>903</v>
      </c>
      <c r="C144" s="609">
        <f t="shared" si="6"/>
        <v>184607</v>
      </c>
      <c r="D144" s="628">
        <v>184607</v>
      </c>
      <c r="E144" s="378"/>
      <c r="F144" s="378"/>
      <c r="G144" s="106"/>
    </row>
    <row r="145" spans="1:10" ht="27" thickTop="1" thickBot="1" x14ac:dyDescent="0.25">
      <c r="A145" s="610"/>
      <c r="B145" s="627" t="s">
        <v>904</v>
      </c>
      <c r="C145" s="609">
        <f t="shared" si="6"/>
        <v>470456</v>
      </c>
      <c r="D145" s="628">
        <v>470456</v>
      </c>
      <c r="E145" s="378"/>
      <c r="F145" s="378"/>
      <c r="G145" s="106"/>
    </row>
    <row r="146" spans="1:10" ht="39.75" hidden="1" thickTop="1" thickBot="1" x14ac:dyDescent="0.25">
      <c r="A146" s="379"/>
      <c r="B146" s="383" t="s">
        <v>1085</v>
      </c>
      <c r="C146" s="110">
        <f t="shared" si="6"/>
        <v>0</v>
      </c>
      <c r="D146" s="111">
        <v>0</v>
      </c>
      <c r="E146" s="111"/>
      <c r="F146" s="111"/>
      <c r="G146" s="106"/>
    </row>
    <row r="147" spans="1:10" ht="27" hidden="1" thickTop="1" thickBot="1" x14ac:dyDescent="0.25">
      <c r="A147" s="379"/>
      <c r="B147" s="383" t="s">
        <v>1086</v>
      </c>
      <c r="C147" s="110">
        <f t="shared" si="6"/>
        <v>0</v>
      </c>
      <c r="D147" s="111"/>
      <c r="E147" s="111">
        <v>0</v>
      </c>
      <c r="F147" s="111">
        <v>0</v>
      </c>
      <c r="G147" s="106"/>
    </row>
    <row r="148" spans="1:10" ht="65.25" thickTop="1" thickBot="1" x14ac:dyDescent="0.25">
      <c r="A148" s="610">
        <v>41057700</v>
      </c>
      <c r="B148" s="611" t="s">
        <v>1377</v>
      </c>
      <c r="C148" s="606">
        <f>SUM(D148,E148)</f>
        <v>93550</v>
      </c>
      <c r="D148" s="612">
        <v>93550</v>
      </c>
      <c r="E148" s="375"/>
      <c r="F148" s="375"/>
      <c r="G148" s="106"/>
    </row>
    <row r="149" spans="1:10" ht="52.5" hidden="1" thickTop="1" thickBot="1" x14ac:dyDescent="0.25">
      <c r="A149" s="373">
        <v>41059000</v>
      </c>
      <c r="B149" s="374" t="s">
        <v>1402</v>
      </c>
      <c r="C149" s="371">
        <f>SUM(D149,E149)</f>
        <v>0</v>
      </c>
      <c r="D149" s="375">
        <v>0</v>
      </c>
      <c r="E149" s="375"/>
      <c r="F149" s="375"/>
      <c r="G149" s="106"/>
    </row>
    <row r="150" spans="1:10" ht="33.75" customHeight="1" thickTop="1" thickBot="1" x14ac:dyDescent="0.3">
      <c r="A150" s="624"/>
      <c r="B150" s="625" t="s">
        <v>1038</v>
      </c>
      <c r="C150" s="626">
        <f>SUM(D150,E150)</f>
        <v>4358043604.0100002</v>
      </c>
      <c r="D150" s="626">
        <f>SUM(D111,D112)</f>
        <v>4092367538.0100002</v>
      </c>
      <c r="E150" s="626">
        <f>SUM(E111,E112)</f>
        <v>265676066</v>
      </c>
      <c r="F150" s="626">
        <f>SUM(F111,F112)</f>
        <v>22443003</v>
      </c>
      <c r="G150" s="719" t="b">
        <f>C150=C145+C144+C143+C122+C116+C110+C103+C102+C98+C97+C96+C95+C92+C91+C90+C89+C86+C85+C83+C81+C80+C79+C74+C73+C72+C70+C69+C65+C64+C63+C60+C59+C58+C56+C55+C51+C50+C49+C48+C47+C46+C45+C44+C43+C42+C38+C36+C33+C31+C29+C25+C21+C20+C19+C18+C107+C106+C39+C53+C134+C132+C114+C148+C117+C149+C108+C130+C128+C129+C136+C87+C28+C23+C22+C76+C75+C133+C121</f>
        <v>1</v>
      </c>
      <c r="H150" s="719" t="b">
        <f>D150=D145+D144+D143+D122+D116+D110+D103+D102+D98+D97+D96+D95+D92+D91+D90+D89+D86+D85+D83+D81+D80+D79+D74+D73+D72+D70+D69+D65+D64+D63+D60+D59+D58+D56+D55+D51+D50+D49+D48+D47+D46+D45+D44+D43+D42+D38+D36+D33+D31+D29+D25+D21+D20+D19+D18+D107+D106+D39+D53+D134+D132+D114+D148+D117+D149+D108+D130+D128+D129+D136+D87+D28+D23+D22+D76+D75+D133+D121</f>
        <v>1</v>
      </c>
      <c r="I150" s="719" t="b">
        <f>E150=E145+E144+E143+E122+E116+E110+E103+E102+E98+E97+E96+E95+E92+E91+E90+E89+E86+E85+E83+E81+E80+E79+E74+E73+E72+E70+E69+E65+E64+E63+E60+E59+E58+E56+E55+E51+E50+E49+E48+E47+E46+E45+E44+E43+E42+E38+E36+E33+E31+E29+E25+E21+E20+E19+E18+E107+E106+E39+E53+E134+E132+E114+E148+E117+E149+E108+E130+E128+E129+E136+E87+E28+E23+E22+E76+E75+E133+E121</f>
        <v>1</v>
      </c>
      <c r="J150" s="719" t="b">
        <f>F150=F145+F144+F143+F122+F116+F110+F103+F102+F98+F97+F96+F95+F92+F91+F90+F89+F86+F85+F83+F81+F80+F79+F74+F73+F72+F70+F69+F65+F64+F63+F60+F59+F58+F56+F55+F51+F50+F49+F48+F47+F46+F45+F44+F43+F42+F38+F36+F33+F31+F29+F25+F21+F20+F19+F18+F107+F106+F39+F53+F134+F132+F114+F148+F117+F149+F108+F130+F128+F129+F136+F87+F28+F23+F22+F76+F75+F133+F121</f>
        <v>1</v>
      </c>
    </row>
    <row r="151" spans="1:10" ht="16.5" thickTop="1" x14ac:dyDescent="0.25">
      <c r="B151" s="112"/>
      <c r="G151" s="719" t="b">
        <f>(((4196633892-'d2'!C37-'d2'!C22)+129600000)+1158900+4436136.01+7672111)+178202565=C150</f>
        <v>1</v>
      </c>
    </row>
    <row r="152" spans="1:10" ht="15.75" x14ac:dyDescent="0.2">
      <c r="B152" s="365" t="s">
        <v>1480</v>
      </c>
      <c r="C152"/>
      <c r="D152"/>
      <c r="E152" s="366" t="s">
        <v>1481</v>
      </c>
      <c r="F152" s="114"/>
    </row>
    <row r="153" spans="1:10" ht="15.75" hidden="1" x14ac:dyDescent="0.2">
      <c r="B153" s="365" t="s">
        <v>1445</v>
      </c>
      <c r="C153"/>
      <c r="D153"/>
      <c r="E153" s="366" t="s">
        <v>1446</v>
      </c>
      <c r="F153" s="114"/>
    </row>
    <row r="154" spans="1:10" ht="15.75" x14ac:dyDescent="0.25">
      <c r="B154" s="1"/>
      <c r="C154" s="598"/>
      <c r="D154" s="598"/>
      <c r="E154" s="1"/>
    </row>
    <row r="155" spans="1:10" ht="15.75" x14ac:dyDescent="0.25">
      <c r="A155" s="115"/>
      <c r="B155" s="472" t="s">
        <v>523</v>
      </c>
      <c r="C155" s="1"/>
      <c r="D155" s="1"/>
      <c r="E155" s="1" t="s">
        <v>1346</v>
      </c>
      <c r="F155" s="115"/>
    </row>
    <row r="158" spans="1:10" x14ac:dyDescent="0.2">
      <c r="C158" s="113"/>
      <c r="D158" s="113"/>
      <c r="E158" s="113"/>
      <c r="F158" s="113"/>
    </row>
  </sheetData>
  <mergeCells count="13">
    <mergeCell ref="D1:G1"/>
    <mergeCell ref="D2:G2"/>
    <mergeCell ref="D3:G3"/>
    <mergeCell ref="A4:E4"/>
    <mergeCell ref="A5:F5"/>
    <mergeCell ref="A6:F6"/>
    <mergeCell ref="A8:F8"/>
    <mergeCell ref="A9:F9"/>
    <mergeCell ref="A12:A13"/>
    <mergeCell ref="B12:B13"/>
    <mergeCell ref="C12:C13"/>
    <mergeCell ref="D12:D13"/>
    <mergeCell ref="E12:F12"/>
  </mergeCells>
  <hyperlinks>
    <hyperlink ref="B100" location="_ftn1" display="_ftn1"/>
    <hyperlink ref="B99" location="_ftn1" display="_ftn1"/>
    <hyperlink ref="B86" location="_ftn1" display="_ftn1"/>
    <hyperlink ref="B20" location="_ftn1" display="_ftn1"/>
    <hyperlink ref="B19" location="_ftn1" display="_ftn1"/>
    <hyperlink ref="B64" location="_ftn1" display="_ftn1"/>
    <hyperlink ref="B104" location="_ftn1" display="_ftn1"/>
    <hyperlink ref="B105" location="_ftn1" display="_ftn1"/>
    <hyperlink ref="B72" location="_ftn1" display="_ftn1"/>
  </hyperlinks>
  <printOptions horizontalCentered="1"/>
  <pageMargins left="0.35433070866141736" right="0.15748031496062992" top="0.59055118110236227" bottom="0.51181102362204722" header="0.51181102362204722" footer="0.51181102362204722"/>
  <pageSetup paperSize="9" scale="87" fitToHeight="0" orientation="portrait" verticalDpi="4294967295" r:id="rId1"/>
  <headerFooter alignWithMargins="0"/>
  <rowBreaks count="1" manualBreakCount="1">
    <brk id="106"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99"/>
    <pageSetUpPr fitToPage="1"/>
  </sheetPr>
  <dimension ref="A1:J157"/>
  <sheetViews>
    <sheetView view="pageBreakPreview" topLeftCell="A41" zoomScale="70" zoomScaleNormal="100" zoomScaleSheetLayoutView="70" workbookViewId="0">
      <selection activeCell="N28" sqref="N28"/>
    </sheetView>
  </sheetViews>
  <sheetFormatPr defaultColWidth="6.85546875" defaultRowHeight="12.75" x14ac:dyDescent="0.2"/>
  <cols>
    <col min="1" max="1" width="10.140625" style="104" customWidth="1"/>
    <col min="2" max="2" width="40.42578125" style="104" customWidth="1"/>
    <col min="3" max="4" width="17.28515625" style="104" customWidth="1"/>
    <col min="5" max="5" width="15.7109375" style="104" customWidth="1"/>
    <col min="6" max="6" width="14.5703125" style="104" customWidth="1"/>
    <col min="7" max="10" width="10.85546875" style="104" bestFit="1" customWidth="1"/>
    <col min="11" max="252" width="7.85546875" style="104" customWidth="1"/>
    <col min="253" max="16384" width="6.85546875" style="104"/>
  </cols>
  <sheetData>
    <row r="1" spans="1:7" ht="15.75" x14ac:dyDescent="0.2">
      <c r="A1" s="598"/>
      <c r="B1" s="598"/>
      <c r="C1" s="598"/>
      <c r="D1" s="754" t="s">
        <v>56</v>
      </c>
      <c r="E1" s="755"/>
      <c r="F1" s="755"/>
      <c r="G1" s="755"/>
    </row>
    <row r="2" spans="1:7" ht="15.75" x14ac:dyDescent="0.2">
      <c r="A2" s="598"/>
      <c r="B2" s="598"/>
      <c r="C2" s="599"/>
      <c r="D2" s="754" t="s">
        <v>1582</v>
      </c>
      <c r="E2" s="756"/>
      <c r="F2" s="756"/>
      <c r="G2" s="756"/>
    </row>
    <row r="3" spans="1:7" ht="6" hidden="1" customHeight="1" x14ac:dyDescent="0.2">
      <c r="A3" s="598"/>
      <c r="B3" s="598"/>
      <c r="C3" s="599"/>
      <c r="D3" s="754"/>
      <c r="E3" s="756"/>
      <c r="F3" s="756"/>
      <c r="G3" s="756"/>
    </row>
    <row r="4" spans="1:7" ht="12.75" customHeight="1" x14ac:dyDescent="0.2">
      <c r="A4" s="747"/>
      <c r="B4" s="747"/>
      <c r="C4" s="747"/>
      <c r="D4" s="747"/>
      <c r="E4" s="747"/>
      <c r="F4" s="598"/>
      <c r="G4" s="598"/>
    </row>
    <row r="5" spans="1:7" ht="20.25" x14ac:dyDescent="0.2">
      <c r="A5" s="747" t="s">
        <v>1110</v>
      </c>
      <c r="B5" s="748"/>
      <c r="C5" s="748"/>
      <c r="D5" s="748"/>
      <c r="E5" s="748"/>
      <c r="F5" s="748"/>
      <c r="G5" s="598"/>
    </row>
    <row r="6" spans="1:7" ht="20.25" x14ac:dyDescent="0.2">
      <c r="A6" s="747" t="s">
        <v>1532</v>
      </c>
      <c r="B6" s="748"/>
      <c r="C6" s="748"/>
      <c r="D6" s="748"/>
      <c r="E6" s="748"/>
      <c r="F6" s="748"/>
      <c r="G6" s="598"/>
    </row>
    <row r="7" spans="1:7" ht="20.25" x14ac:dyDescent="0.2">
      <c r="A7" s="600"/>
      <c r="B7" s="308"/>
      <c r="C7" s="308"/>
      <c r="D7" s="308"/>
      <c r="E7" s="308"/>
      <c r="F7" s="308"/>
      <c r="G7" s="598"/>
    </row>
    <row r="8" spans="1:7" ht="20.25" x14ac:dyDescent="0.2">
      <c r="A8" s="749">
        <v>2256400000</v>
      </c>
      <c r="B8" s="750"/>
      <c r="C8" s="750"/>
      <c r="D8" s="750"/>
      <c r="E8" s="750"/>
      <c r="F8" s="750"/>
      <c r="G8" s="598"/>
    </row>
    <row r="9" spans="1:7" ht="15.75" x14ac:dyDescent="0.2">
      <c r="A9" s="751" t="s">
        <v>490</v>
      </c>
      <c r="B9" s="752"/>
      <c r="C9" s="752"/>
      <c r="D9" s="752"/>
      <c r="E9" s="752"/>
      <c r="F9" s="752"/>
      <c r="G9" s="598"/>
    </row>
    <row r="10" spans="1:7" ht="20.25" x14ac:dyDescent="0.2">
      <c r="A10" s="600"/>
      <c r="B10" s="476"/>
      <c r="C10" s="476"/>
      <c r="D10" s="476"/>
      <c r="E10" s="476"/>
      <c r="F10" s="476"/>
      <c r="G10" s="598"/>
    </row>
    <row r="11" spans="1:7" ht="13.5" thickBot="1" x14ac:dyDescent="0.25">
      <c r="A11" s="598"/>
      <c r="B11" s="601"/>
      <c r="C11" s="601"/>
      <c r="D11" s="601"/>
      <c r="E11" s="601"/>
      <c r="F11" s="602" t="s">
        <v>404</v>
      </c>
      <c r="G11" s="598"/>
    </row>
    <row r="12" spans="1:7" ht="14.25" thickTop="1" thickBot="1" x14ac:dyDescent="0.25">
      <c r="A12" s="753" t="s">
        <v>57</v>
      </c>
      <c r="B12" s="753" t="s">
        <v>1533</v>
      </c>
      <c r="C12" s="753" t="s">
        <v>383</v>
      </c>
      <c r="D12" s="753" t="s">
        <v>12</v>
      </c>
      <c r="E12" s="753" t="s">
        <v>52</v>
      </c>
      <c r="F12" s="753"/>
      <c r="G12" s="603"/>
    </row>
    <row r="13" spans="1:7" ht="39.75" thickTop="1" thickBot="1" x14ac:dyDescent="0.3">
      <c r="A13" s="753"/>
      <c r="B13" s="753"/>
      <c r="C13" s="753"/>
      <c r="D13" s="753"/>
      <c r="E13" s="604" t="s">
        <v>384</v>
      </c>
      <c r="F13" s="604" t="s">
        <v>426</v>
      </c>
      <c r="G13" s="605"/>
    </row>
    <row r="14" spans="1:7" ht="16.5" thickTop="1" thickBot="1" x14ac:dyDescent="0.3">
      <c r="A14" s="604">
        <v>1</v>
      </c>
      <c r="B14" s="604">
        <v>2</v>
      </c>
      <c r="C14" s="604">
        <v>3</v>
      </c>
      <c r="D14" s="604">
        <v>4</v>
      </c>
      <c r="E14" s="604">
        <v>5</v>
      </c>
      <c r="F14" s="604">
        <v>6</v>
      </c>
      <c r="G14" s="605"/>
    </row>
    <row r="15" spans="1:7" ht="25.5" customHeight="1" thickTop="1" thickBot="1" x14ac:dyDescent="0.25">
      <c r="A15" s="630">
        <v>10000000</v>
      </c>
      <c r="B15" s="630" t="s">
        <v>58</v>
      </c>
      <c r="C15" s="631">
        <f t="shared" ref="C15:C70" si="0">SUM(D15,E15)</f>
        <v>3038730100</v>
      </c>
      <c r="D15" s="631">
        <f>SUM(D16,D32,D40,D61,D26)</f>
        <v>3037530100</v>
      </c>
      <c r="E15" s="631">
        <f>SUM(E16,E32,E40,E61,E26)</f>
        <v>1200000</v>
      </c>
      <c r="F15" s="631">
        <f>SUM(F16,F32,F40,F61,F26)</f>
        <v>0</v>
      </c>
      <c r="G15" s="106"/>
    </row>
    <row r="16" spans="1:7" ht="31.7" customHeight="1" thickTop="1" thickBot="1" x14ac:dyDescent="0.25">
      <c r="A16" s="604">
        <v>11000000</v>
      </c>
      <c r="B16" s="604" t="s">
        <v>59</v>
      </c>
      <c r="C16" s="606">
        <f>SUM(D16,E16)</f>
        <v>1731185000</v>
      </c>
      <c r="D16" s="606">
        <f>SUM(D17,D24)</f>
        <v>1731185000</v>
      </c>
      <c r="E16" s="371"/>
      <c r="F16" s="371"/>
      <c r="G16" s="107"/>
    </row>
    <row r="17" spans="1:7" ht="24.75" customHeight="1" thickTop="1" thickBot="1" x14ac:dyDescent="0.25">
      <c r="A17" s="607">
        <v>11010000</v>
      </c>
      <c r="B17" s="608" t="s">
        <v>60</v>
      </c>
      <c r="C17" s="609">
        <f t="shared" si="0"/>
        <v>1729485000</v>
      </c>
      <c r="D17" s="609">
        <f>SUM(D18:D23)</f>
        <v>1729485000</v>
      </c>
      <c r="E17" s="372"/>
      <c r="F17" s="372"/>
      <c r="G17" s="107"/>
    </row>
    <row r="18" spans="1:7" ht="39.75" thickTop="1" thickBot="1" x14ac:dyDescent="0.25">
      <c r="A18" s="610">
        <v>11010100</v>
      </c>
      <c r="B18" s="611" t="s">
        <v>61</v>
      </c>
      <c r="C18" s="606">
        <f>SUM(D18,E18)</f>
        <v>1611780000</v>
      </c>
      <c r="D18" s="612">
        <v>1611780000</v>
      </c>
      <c r="E18" s="375"/>
      <c r="F18" s="375"/>
      <c r="G18" s="107"/>
    </row>
    <row r="19" spans="1:7" ht="65.25" hidden="1" thickTop="1" thickBot="1" x14ac:dyDescent="0.25">
      <c r="A19" s="373">
        <v>11010200</v>
      </c>
      <c r="B19" s="374" t="s">
        <v>62</v>
      </c>
      <c r="C19" s="371">
        <f t="shared" si="0"/>
        <v>0</v>
      </c>
      <c r="D19" s="375">
        <v>0</v>
      </c>
      <c r="E19" s="375"/>
      <c r="F19" s="375"/>
      <c r="G19" s="107"/>
    </row>
    <row r="20" spans="1:7" ht="39.75" thickTop="1" thickBot="1" x14ac:dyDescent="0.25">
      <c r="A20" s="610">
        <v>11010400</v>
      </c>
      <c r="B20" s="611" t="s">
        <v>63</v>
      </c>
      <c r="C20" s="606">
        <f t="shared" si="0"/>
        <v>60665000</v>
      </c>
      <c r="D20" s="612">
        <v>60665000</v>
      </c>
      <c r="E20" s="375"/>
      <c r="F20" s="375"/>
      <c r="G20" s="107"/>
    </row>
    <row r="21" spans="1:7" ht="39.75" thickTop="1" thickBot="1" x14ac:dyDescent="0.3">
      <c r="A21" s="610">
        <v>11010500</v>
      </c>
      <c r="B21" s="611" t="s">
        <v>64</v>
      </c>
      <c r="C21" s="606">
        <f t="shared" si="0"/>
        <v>56355000</v>
      </c>
      <c r="D21" s="612">
        <v>56355000</v>
      </c>
      <c r="E21" s="375"/>
      <c r="F21" s="375"/>
      <c r="G21" s="105"/>
    </row>
    <row r="22" spans="1:7" ht="27" thickTop="1" thickBot="1" x14ac:dyDescent="0.3">
      <c r="A22" s="610">
        <v>11011200</v>
      </c>
      <c r="B22" s="611" t="s">
        <v>1534</v>
      </c>
      <c r="C22" s="606">
        <f t="shared" si="0"/>
        <v>645000</v>
      </c>
      <c r="D22" s="612">
        <v>645000</v>
      </c>
      <c r="E22" s="375"/>
      <c r="F22" s="375"/>
      <c r="G22" s="105"/>
    </row>
    <row r="23" spans="1:7" ht="39.75" thickTop="1" thickBot="1" x14ac:dyDescent="0.3">
      <c r="A23" s="610">
        <v>11011300</v>
      </c>
      <c r="B23" s="611" t="s">
        <v>1535</v>
      </c>
      <c r="C23" s="606">
        <f t="shared" si="0"/>
        <v>40000</v>
      </c>
      <c r="D23" s="612">
        <v>40000</v>
      </c>
      <c r="E23" s="375"/>
      <c r="F23" s="375"/>
      <c r="G23" s="105"/>
    </row>
    <row r="24" spans="1:7" ht="28.5" customHeight="1" thickTop="1" thickBot="1" x14ac:dyDescent="0.25">
      <c r="A24" s="607">
        <v>11020000</v>
      </c>
      <c r="B24" s="608" t="s">
        <v>65</v>
      </c>
      <c r="C24" s="609">
        <f>SUM(D24,E24)</f>
        <v>1700000</v>
      </c>
      <c r="D24" s="609">
        <f>D25</f>
        <v>1700000</v>
      </c>
      <c r="E24" s="372"/>
      <c r="F24" s="372"/>
      <c r="G24" s="106"/>
    </row>
    <row r="25" spans="1:7" ht="27" thickTop="1" thickBot="1" x14ac:dyDescent="0.3">
      <c r="A25" s="610">
        <v>11020200</v>
      </c>
      <c r="B25" s="613" t="s">
        <v>66</v>
      </c>
      <c r="C25" s="606">
        <f>SUM(D25,E25)</f>
        <v>1700000</v>
      </c>
      <c r="D25" s="612">
        <v>1700000</v>
      </c>
      <c r="E25" s="375"/>
      <c r="F25" s="375"/>
      <c r="G25" s="105"/>
    </row>
    <row r="26" spans="1:7" ht="27" thickTop="1" thickBot="1" x14ac:dyDescent="0.3">
      <c r="A26" s="604">
        <v>13000000</v>
      </c>
      <c r="B26" s="614" t="s">
        <v>526</v>
      </c>
      <c r="C26" s="606">
        <f>D26+E26</f>
        <v>1000000</v>
      </c>
      <c r="D26" s="606">
        <f>SUM(D27,D30)</f>
        <v>1000000</v>
      </c>
      <c r="E26" s="375"/>
      <c r="F26" s="375"/>
      <c r="G26" s="105"/>
    </row>
    <row r="27" spans="1:7" ht="28.5" thickTop="1" thickBot="1" x14ac:dyDescent="0.3">
      <c r="A27" s="607">
        <v>13010000</v>
      </c>
      <c r="B27" s="615" t="s">
        <v>527</v>
      </c>
      <c r="C27" s="609">
        <f>D27+E27</f>
        <v>985000</v>
      </c>
      <c r="D27" s="609">
        <f>SUM(D28:D29)</f>
        <v>985000</v>
      </c>
      <c r="E27" s="372"/>
      <c r="F27" s="372"/>
      <c r="G27" s="105"/>
    </row>
    <row r="28" spans="1:7" ht="52.5" thickTop="1" thickBot="1" x14ac:dyDescent="0.3">
      <c r="A28" s="610">
        <v>13010100</v>
      </c>
      <c r="B28" s="616" t="s">
        <v>1536</v>
      </c>
      <c r="C28" s="606">
        <f t="shared" ref="C28:C32" si="1">D28+E28</f>
        <v>450000</v>
      </c>
      <c r="D28" s="612">
        <v>450000</v>
      </c>
      <c r="E28" s="375"/>
      <c r="F28" s="375"/>
      <c r="G28" s="105"/>
    </row>
    <row r="29" spans="1:7" ht="65.25" thickTop="1" thickBot="1" x14ac:dyDescent="0.3">
      <c r="A29" s="610">
        <v>13010200</v>
      </c>
      <c r="B29" s="616" t="s">
        <v>528</v>
      </c>
      <c r="C29" s="606">
        <f t="shared" si="1"/>
        <v>535000</v>
      </c>
      <c r="D29" s="612">
        <v>535000</v>
      </c>
      <c r="E29" s="375"/>
      <c r="F29" s="375"/>
      <c r="G29" s="105"/>
    </row>
    <row r="30" spans="1:7" ht="16.5" thickTop="1" thickBot="1" x14ac:dyDescent="0.3">
      <c r="A30" s="607">
        <v>13030000</v>
      </c>
      <c r="B30" s="617" t="s">
        <v>529</v>
      </c>
      <c r="C30" s="609">
        <f>D30+E30</f>
        <v>15000</v>
      </c>
      <c r="D30" s="609">
        <f>SUM(D31)</f>
        <v>15000</v>
      </c>
      <c r="E30" s="372"/>
      <c r="F30" s="372"/>
      <c r="G30" s="105"/>
    </row>
    <row r="31" spans="1:7" ht="39.75" thickTop="1" thickBot="1" x14ac:dyDescent="0.3">
      <c r="A31" s="610">
        <v>13030100</v>
      </c>
      <c r="B31" s="616" t="s">
        <v>530</v>
      </c>
      <c r="C31" s="606">
        <f t="shared" si="1"/>
        <v>15000</v>
      </c>
      <c r="D31" s="612">
        <v>15000</v>
      </c>
      <c r="E31" s="375"/>
      <c r="F31" s="375"/>
      <c r="G31" s="105"/>
    </row>
    <row r="32" spans="1:7" ht="26.45" customHeight="1" thickTop="1" thickBot="1" x14ac:dyDescent="0.3">
      <c r="A32" s="604">
        <v>14000000</v>
      </c>
      <c r="B32" s="614" t="s">
        <v>531</v>
      </c>
      <c r="C32" s="606">
        <f t="shared" si="1"/>
        <v>400215000</v>
      </c>
      <c r="D32" s="606">
        <f>SUM(D33,D35,D37)</f>
        <v>400215000</v>
      </c>
      <c r="E32" s="371"/>
      <c r="F32" s="375"/>
      <c r="G32" s="105"/>
    </row>
    <row r="33" spans="1:7" ht="30" customHeight="1" thickTop="1" thickBot="1" x14ac:dyDescent="0.3">
      <c r="A33" s="607">
        <v>14020000</v>
      </c>
      <c r="B33" s="615" t="s">
        <v>622</v>
      </c>
      <c r="C33" s="609">
        <f>SUM(D33,E33)</f>
        <v>21715000</v>
      </c>
      <c r="D33" s="609">
        <f>SUM(D34,E34)</f>
        <v>21715000</v>
      </c>
      <c r="E33" s="372"/>
      <c r="F33" s="378"/>
      <c r="G33" s="105"/>
    </row>
    <row r="34" spans="1:7" ht="16.5" thickTop="1" thickBot="1" x14ac:dyDescent="0.3">
      <c r="A34" s="610">
        <v>14021900</v>
      </c>
      <c r="B34" s="613" t="s">
        <v>621</v>
      </c>
      <c r="C34" s="612">
        <f>SUM(D34,E34)</f>
        <v>21715000</v>
      </c>
      <c r="D34" s="612">
        <v>21715000</v>
      </c>
      <c r="E34" s="371"/>
      <c r="F34" s="375"/>
      <c r="G34" s="105"/>
    </row>
    <row r="35" spans="1:7" ht="42" thickTop="1" thickBot="1" x14ac:dyDescent="0.3">
      <c r="A35" s="607">
        <v>14030000</v>
      </c>
      <c r="B35" s="615" t="s">
        <v>623</v>
      </c>
      <c r="C35" s="609">
        <f>SUM(D35,E35)</f>
        <v>73500000</v>
      </c>
      <c r="D35" s="609">
        <f>SUM(D36,E36)</f>
        <v>73500000</v>
      </c>
      <c r="E35" s="372"/>
      <c r="F35" s="378"/>
      <c r="G35" s="105"/>
    </row>
    <row r="36" spans="1:7" ht="16.5" thickTop="1" thickBot="1" x14ac:dyDescent="0.3">
      <c r="A36" s="610">
        <v>14031900</v>
      </c>
      <c r="B36" s="613" t="s">
        <v>621</v>
      </c>
      <c r="C36" s="612">
        <f>SUM(D36,E36)</f>
        <v>73500000</v>
      </c>
      <c r="D36" s="612">
        <v>73500000</v>
      </c>
      <c r="E36" s="371"/>
      <c r="F36" s="375"/>
      <c r="G36" s="105"/>
    </row>
    <row r="37" spans="1:7" ht="42" thickTop="1" thickBot="1" x14ac:dyDescent="0.3">
      <c r="A37" s="607">
        <v>14040000</v>
      </c>
      <c r="B37" s="615" t="s">
        <v>1209</v>
      </c>
      <c r="C37" s="609">
        <f>SUM(C38:C39)</f>
        <v>305000000</v>
      </c>
      <c r="D37" s="609">
        <f>SUM(D38:D39)</f>
        <v>305000000</v>
      </c>
      <c r="E37" s="372"/>
      <c r="F37" s="378"/>
      <c r="G37" s="105"/>
    </row>
    <row r="38" spans="1:7" ht="103.5" thickTop="1" thickBot="1" x14ac:dyDescent="0.25">
      <c r="A38" s="610">
        <v>14040100</v>
      </c>
      <c r="B38" s="613" t="s">
        <v>1229</v>
      </c>
      <c r="C38" s="612">
        <f>SUM(D38,E38)</f>
        <v>198250115</v>
      </c>
      <c r="D38" s="612">
        <v>198250115</v>
      </c>
      <c r="E38" s="371"/>
      <c r="F38" s="375"/>
      <c r="G38" s="108"/>
    </row>
    <row r="39" spans="1:7" ht="78" thickTop="1" thickBot="1" x14ac:dyDescent="0.25">
      <c r="A39" s="610">
        <v>14040200</v>
      </c>
      <c r="B39" s="613" t="s">
        <v>1208</v>
      </c>
      <c r="C39" s="612">
        <f>SUM(D39,E39)</f>
        <v>106749885</v>
      </c>
      <c r="D39" s="612">
        <v>106749885</v>
      </c>
      <c r="E39" s="371"/>
      <c r="F39" s="375"/>
      <c r="G39" s="108"/>
    </row>
    <row r="40" spans="1:7" ht="29.25" customHeight="1" thickTop="1" thickBot="1" x14ac:dyDescent="0.3">
      <c r="A40" s="604">
        <v>18000000</v>
      </c>
      <c r="B40" s="604" t="s">
        <v>67</v>
      </c>
      <c r="C40" s="606">
        <f t="shared" si="0"/>
        <v>905130100</v>
      </c>
      <c r="D40" s="606">
        <f>SUM(D41,D54,D57,D52)</f>
        <v>905130100</v>
      </c>
      <c r="E40" s="371"/>
      <c r="F40" s="371"/>
      <c r="G40" s="105"/>
    </row>
    <row r="41" spans="1:7" ht="16.5" thickTop="1" thickBot="1" x14ac:dyDescent="0.3">
      <c r="A41" s="607">
        <v>18010000</v>
      </c>
      <c r="B41" s="615" t="s">
        <v>68</v>
      </c>
      <c r="C41" s="609">
        <f>SUM(D41,E41)</f>
        <v>302215000</v>
      </c>
      <c r="D41" s="609">
        <f>SUM(D42:D51)</f>
        <v>302215000</v>
      </c>
      <c r="E41" s="372"/>
      <c r="F41" s="372"/>
      <c r="G41" s="105"/>
    </row>
    <row r="42" spans="1:7" ht="52.5" thickTop="1" thickBot="1" x14ac:dyDescent="0.3">
      <c r="A42" s="610">
        <v>18010100</v>
      </c>
      <c r="B42" s="613" t="s">
        <v>69</v>
      </c>
      <c r="C42" s="606">
        <f t="shared" si="0"/>
        <v>310500</v>
      </c>
      <c r="D42" s="612">
        <v>310500</v>
      </c>
      <c r="E42" s="375"/>
      <c r="F42" s="375"/>
      <c r="G42" s="105"/>
    </row>
    <row r="43" spans="1:7" ht="52.5" thickTop="1" thickBot="1" x14ac:dyDescent="0.3">
      <c r="A43" s="610">
        <v>18010200</v>
      </c>
      <c r="B43" s="613" t="s">
        <v>70</v>
      </c>
      <c r="C43" s="606">
        <f t="shared" si="0"/>
        <v>20055000</v>
      </c>
      <c r="D43" s="612">
        <v>20055000</v>
      </c>
      <c r="E43" s="375"/>
      <c r="F43" s="375"/>
      <c r="G43" s="105"/>
    </row>
    <row r="44" spans="1:7" ht="52.5" thickTop="1" thickBot="1" x14ac:dyDescent="0.3">
      <c r="A44" s="610">
        <v>18010300</v>
      </c>
      <c r="B44" s="613" t="s">
        <v>71</v>
      </c>
      <c r="C44" s="606">
        <f t="shared" si="0"/>
        <v>10050600</v>
      </c>
      <c r="D44" s="612">
        <v>10050600</v>
      </c>
      <c r="E44" s="375"/>
      <c r="F44" s="375"/>
      <c r="G44" s="105"/>
    </row>
    <row r="45" spans="1:7" ht="52.5" thickTop="1" thickBot="1" x14ac:dyDescent="0.3">
      <c r="A45" s="610">
        <v>18010400</v>
      </c>
      <c r="B45" s="613" t="s">
        <v>72</v>
      </c>
      <c r="C45" s="606">
        <f t="shared" si="0"/>
        <v>38083900</v>
      </c>
      <c r="D45" s="612">
        <v>38083900</v>
      </c>
      <c r="E45" s="375"/>
      <c r="F45" s="375"/>
      <c r="G45" s="105"/>
    </row>
    <row r="46" spans="1:7" ht="16.5" thickTop="1" thickBot="1" x14ac:dyDescent="0.3">
      <c r="A46" s="610">
        <v>18010500</v>
      </c>
      <c r="B46" s="613" t="s">
        <v>73</v>
      </c>
      <c r="C46" s="606">
        <f t="shared" si="0"/>
        <v>40250000</v>
      </c>
      <c r="D46" s="612">
        <v>40250000</v>
      </c>
      <c r="E46" s="375"/>
      <c r="F46" s="375"/>
      <c r="G46" s="105"/>
    </row>
    <row r="47" spans="1:7" ht="16.5" thickTop="1" thickBot="1" x14ac:dyDescent="0.3">
      <c r="A47" s="610">
        <v>18010600</v>
      </c>
      <c r="B47" s="613" t="s">
        <v>74</v>
      </c>
      <c r="C47" s="606">
        <f t="shared" si="0"/>
        <v>145650800</v>
      </c>
      <c r="D47" s="612">
        <v>145650800</v>
      </c>
      <c r="E47" s="375"/>
      <c r="F47" s="375"/>
      <c r="G47" s="105"/>
    </row>
    <row r="48" spans="1:7" ht="16.5" thickTop="1" thickBot="1" x14ac:dyDescent="0.3">
      <c r="A48" s="610">
        <v>18010700</v>
      </c>
      <c r="B48" s="613" t="s">
        <v>75</v>
      </c>
      <c r="C48" s="606">
        <f t="shared" si="0"/>
        <v>3500000</v>
      </c>
      <c r="D48" s="612">
        <v>3500000</v>
      </c>
      <c r="E48" s="375"/>
      <c r="F48" s="375"/>
      <c r="G48" s="105"/>
    </row>
    <row r="49" spans="1:7" ht="16.5" thickTop="1" thickBot="1" x14ac:dyDescent="0.3">
      <c r="A49" s="610">
        <v>18010900</v>
      </c>
      <c r="B49" s="613" t="s">
        <v>76</v>
      </c>
      <c r="C49" s="606">
        <f t="shared" si="0"/>
        <v>42814200</v>
      </c>
      <c r="D49" s="612">
        <v>42814200</v>
      </c>
      <c r="E49" s="375"/>
      <c r="F49" s="375"/>
      <c r="G49" s="105"/>
    </row>
    <row r="50" spans="1:7" ht="15.75" thickTop="1" thickBot="1" x14ac:dyDescent="0.25">
      <c r="A50" s="610">
        <v>18011000</v>
      </c>
      <c r="B50" s="613" t="s">
        <v>77</v>
      </c>
      <c r="C50" s="606">
        <f t="shared" si="0"/>
        <v>950000</v>
      </c>
      <c r="D50" s="612">
        <v>950000</v>
      </c>
      <c r="E50" s="375"/>
      <c r="F50" s="375"/>
      <c r="G50" s="106"/>
    </row>
    <row r="51" spans="1:7" ht="16.5" thickTop="1" thickBot="1" x14ac:dyDescent="0.3">
      <c r="A51" s="610">
        <v>18011100</v>
      </c>
      <c r="B51" s="613" t="s">
        <v>78</v>
      </c>
      <c r="C51" s="606">
        <f t="shared" si="0"/>
        <v>550000</v>
      </c>
      <c r="D51" s="612">
        <v>550000</v>
      </c>
      <c r="E51" s="375"/>
      <c r="F51" s="375"/>
      <c r="G51" s="105"/>
    </row>
    <row r="52" spans="1:7" ht="28.5" thickTop="1" thickBot="1" x14ac:dyDescent="0.3">
      <c r="A52" s="607">
        <v>18020000</v>
      </c>
      <c r="B52" s="615" t="s">
        <v>1157</v>
      </c>
      <c r="C52" s="609">
        <f t="shared" si="0"/>
        <v>500000</v>
      </c>
      <c r="D52" s="609">
        <f>SUM(D53,E53)</f>
        <v>500000</v>
      </c>
      <c r="E52" s="372"/>
      <c r="F52" s="372"/>
      <c r="G52" s="105"/>
    </row>
    <row r="53" spans="1:7" ht="27" thickTop="1" thickBot="1" x14ac:dyDescent="0.3">
      <c r="A53" s="610">
        <v>180201000</v>
      </c>
      <c r="B53" s="613" t="s">
        <v>1158</v>
      </c>
      <c r="C53" s="606">
        <f t="shared" si="0"/>
        <v>500000</v>
      </c>
      <c r="D53" s="612">
        <v>500000</v>
      </c>
      <c r="E53" s="375"/>
      <c r="F53" s="375"/>
      <c r="G53" s="105"/>
    </row>
    <row r="54" spans="1:7" ht="16.5" thickTop="1" thickBot="1" x14ac:dyDescent="0.3">
      <c r="A54" s="607">
        <v>18030000</v>
      </c>
      <c r="B54" s="615" t="s">
        <v>79</v>
      </c>
      <c r="C54" s="609">
        <f>SUM(D54,E54)</f>
        <v>2215000</v>
      </c>
      <c r="D54" s="609">
        <f>SUM(D55:D56)</f>
        <v>2215000</v>
      </c>
      <c r="E54" s="372"/>
      <c r="F54" s="372"/>
      <c r="G54" s="105"/>
    </row>
    <row r="55" spans="1:7" ht="27" thickTop="1" thickBot="1" x14ac:dyDescent="0.3">
      <c r="A55" s="610">
        <v>18030100</v>
      </c>
      <c r="B55" s="613" t="s">
        <v>80</v>
      </c>
      <c r="C55" s="606">
        <f>SUM(D55,E55)</f>
        <v>1050000</v>
      </c>
      <c r="D55" s="612">
        <v>1050000</v>
      </c>
      <c r="E55" s="375"/>
      <c r="F55" s="375"/>
      <c r="G55" s="105"/>
    </row>
    <row r="56" spans="1:7" ht="27" thickTop="1" thickBot="1" x14ac:dyDescent="0.3">
      <c r="A56" s="610">
        <v>18030200</v>
      </c>
      <c r="B56" s="613" t="s">
        <v>81</v>
      </c>
      <c r="C56" s="606">
        <f>SUM(D56,E56)</f>
        <v>1165000</v>
      </c>
      <c r="D56" s="612">
        <v>1165000</v>
      </c>
      <c r="E56" s="375"/>
      <c r="F56" s="375"/>
      <c r="G56" s="105"/>
    </row>
    <row r="57" spans="1:7" ht="16.5" thickTop="1" thickBot="1" x14ac:dyDescent="0.3">
      <c r="A57" s="607">
        <v>18050000</v>
      </c>
      <c r="B57" s="615" t="s">
        <v>82</v>
      </c>
      <c r="C57" s="609">
        <f>SUM(D57,E57)</f>
        <v>600200100</v>
      </c>
      <c r="D57" s="609">
        <f>SUM(D58:D60)</f>
        <v>600200100</v>
      </c>
      <c r="E57" s="378"/>
      <c r="F57" s="378"/>
      <c r="G57" s="105"/>
    </row>
    <row r="58" spans="1:7" ht="16.5" thickTop="1" thickBot="1" x14ac:dyDescent="0.3">
      <c r="A58" s="610">
        <v>18050300</v>
      </c>
      <c r="B58" s="611" t="s">
        <v>1039</v>
      </c>
      <c r="C58" s="606">
        <f t="shared" si="0"/>
        <v>121450000</v>
      </c>
      <c r="D58" s="612">
        <v>121450000</v>
      </c>
      <c r="E58" s="375"/>
      <c r="F58" s="375"/>
      <c r="G58" s="105"/>
    </row>
    <row r="59" spans="1:7" ht="15.75" thickTop="1" thickBot="1" x14ac:dyDescent="0.25">
      <c r="A59" s="610">
        <v>18050400</v>
      </c>
      <c r="B59" s="613" t="s">
        <v>83</v>
      </c>
      <c r="C59" s="606">
        <f t="shared" si="0"/>
        <v>473750000</v>
      </c>
      <c r="D59" s="612">
        <v>473750000</v>
      </c>
      <c r="E59" s="375"/>
      <c r="F59" s="375"/>
      <c r="G59" s="106"/>
    </row>
    <row r="60" spans="1:7" ht="65.25" thickTop="1" thickBot="1" x14ac:dyDescent="0.25">
      <c r="A60" s="610">
        <v>18050500</v>
      </c>
      <c r="B60" s="613" t="s">
        <v>539</v>
      </c>
      <c r="C60" s="606">
        <f t="shared" si="0"/>
        <v>5000100</v>
      </c>
      <c r="D60" s="612">
        <v>5000100</v>
      </c>
      <c r="E60" s="375"/>
      <c r="F60" s="375"/>
      <c r="G60" s="106"/>
    </row>
    <row r="61" spans="1:7" ht="31.7" customHeight="1" thickTop="1" thickBot="1" x14ac:dyDescent="0.25">
      <c r="A61" s="604">
        <v>19000000</v>
      </c>
      <c r="B61" s="618" t="s">
        <v>532</v>
      </c>
      <c r="C61" s="606">
        <f t="shared" si="0"/>
        <v>1200000</v>
      </c>
      <c r="D61" s="606"/>
      <c r="E61" s="606">
        <f>SUM(E63:E65)</f>
        <v>1200000</v>
      </c>
      <c r="F61" s="375"/>
      <c r="G61" s="106"/>
    </row>
    <row r="62" spans="1:7" ht="16.5" thickTop="1" thickBot="1" x14ac:dyDescent="0.3">
      <c r="A62" s="607">
        <v>1901000</v>
      </c>
      <c r="B62" s="608" t="s">
        <v>84</v>
      </c>
      <c r="C62" s="609">
        <f t="shared" si="0"/>
        <v>1200000</v>
      </c>
      <c r="D62" s="609">
        <f>SUM(D63:D65)</f>
        <v>0</v>
      </c>
      <c r="E62" s="609">
        <f>SUM(E63:E65)</f>
        <v>1200000</v>
      </c>
      <c r="F62" s="372"/>
      <c r="G62" s="105"/>
    </row>
    <row r="63" spans="1:7" ht="52.5" thickTop="1" thickBot="1" x14ac:dyDescent="0.3">
      <c r="A63" s="610">
        <v>19010100</v>
      </c>
      <c r="B63" s="611" t="s">
        <v>533</v>
      </c>
      <c r="C63" s="606">
        <f t="shared" si="0"/>
        <v>165850</v>
      </c>
      <c r="D63" s="612"/>
      <c r="E63" s="612">
        <v>165850</v>
      </c>
      <c r="F63" s="375"/>
      <c r="G63" s="105"/>
    </row>
    <row r="64" spans="1:7" ht="27" thickTop="1" thickBot="1" x14ac:dyDescent="0.25">
      <c r="A64" s="610">
        <v>19010200</v>
      </c>
      <c r="B64" s="611" t="s">
        <v>1273</v>
      </c>
      <c r="C64" s="606">
        <f t="shared" si="0"/>
        <v>318550</v>
      </c>
      <c r="D64" s="612"/>
      <c r="E64" s="612">
        <v>318550</v>
      </c>
      <c r="F64" s="375"/>
      <c r="G64" s="108"/>
    </row>
    <row r="65" spans="1:7" ht="52.5" thickTop="1" thickBot="1" x14ac:dyDescent="0.3">
      <c r="A65" s="610">
        <v>19010300</v>
      </c>
      <c r="B65" s="611" t="s">
        <v>1274</v>
      </c>
      <c r="C65" s="606">
        <f t="shared" si="0"/>
        <v>715600</v>
      </c>
      <c r="D65" s="612"/>
      <c r="E65" s="612">
        <v>715600</v>
      </c>
      <c r="F65" s="375"/>
      <c r="G65" s="105"/>
    </row>
    <row r="66" spans="1:7" ht="30" customHeight="1" thickTop="1" thickBot="1" x14ac:dyDescent="0.3">
      <c r="A66" s="630">
        <v>20000000</v>
      </c>
      <c r="B66" s="630" t="s">
        <v>85</v>
      </c>
      <c r="C66" s="631">
        <f t="shared" si="0"/>
        <v>340587776</v>
      </c>
      <c r="D66" s="631">
        <f>SUM(D67,D77,D88,D93)+D87</f>
        <v>109442600</v>
      </c>
      <c r="E66" s="631">
        <f>SUM(E67,E77,E88,E93)+E87</f>
        <v>231145176</v>
      </c>
      <c r="F66" s="631">
        <f>SUM(F67,F77,F88,F93)+F87</f>
        <v>2000024</v>
      </c>
      <c r="G66" s="105"/>
    </row>
    <row r="67" spans="1:7" ht="27" thickTop="1" thickBot="1" x14ac:dyDescent="0.3">
      <c r="A67" s="604">
        <v>21000000</v>
      </c>
      <c r="B67" s="604" t="s">
        <v>534</v>
      </c>
      <c r="C67" s="606">
        <f>SUM(D67,E67)</f>
        <v>41635000</v>
      </c>
      <c r="D67" s="606">
        <f>SUM(D68,D71,D70)</f>
        <v>41635000</v>
      </c>
      <c r="E67" s="371"/>
      <c r="F67" s="371"/>
      <c r="G67" s="105"/>
    </row>
    <row r="68" spans="1:7" ht="55.5" thickTop="1" thickBot="1" x14ac:dyDescent="0.3">
      <c r="A68" s="607">
        <v>21010000</v>
      </c>
      <c r="B68" s="615" t="s">
        <v>535</v>
      </c>
      <c r="C68" s="609">
        <f t="shared" si="0"/>
        <v>2500000</v>
      </c>
      <c r="D68" s="609">
        <f>D69</f>
        <v>2500000</v>
      </c>
      <c r="E68" s="372"/>
      <c r="F68" s="372"/>
      <c r="G68" s="105"/>
    </row>
    <row r="69" spans="1:7" ht="52.5" thickTop="1" thickBot="1" x14ac:dyDescent="0.3">
      <c r="A69" s="610">
        <v>21010300</v>
      </c>
      <c r="B69" s="613" t="s">
        <v>1400</v>
      </c>
      <c r="C69" s="606">
        <f t="shared" si="0"/>
        <v>2500000</v>
      </c>
      <c r="D69" s="612">
        <v>2500000</v>
      </c>
      <c r="E69" s="375"/>
      <c r="F69" s="375"/>
      <c r="G69" s="105"/>
    </row>
    <row r="70" spans="1:7" ht="28.5" thickTop="1" thickBot="1" x14ac:dyDescent="0.3">
      <c r="A70" s="607">
        <v>21050000</v>
      </c>
      <c r="B70" s="615" t="s">
        <v>86</v>
      </c>
      <c r="C70" s="609">
        <f t="shared" si="0"/>
        <v>13900000</v>
      </c>
      <c r="D70" s="609">
        <v>13900000</v>
      </c>
      <c r="E70" s="372"/>
      <c r="F70" s="372"/>
      <c r="G70" s="105"/>
    </row>
    <row r="71" spans="1:7" ht="15" thickTop="1" thickBot="1" x14ac:dyDescent="0.25">
      <c r="A71" s="607">
        <v>21080000</v>
      </c>
      <c r="B71" s="615" t="s">
        <v>1040</v>
      </c>
      <c r="C71" s="609">
        <f>SUM(D71,E71)</f>
        <v>25235000</v>
      </c>
      <c r="D71" s="609">
        <f>SUM(D72:D76)</f>
        <v>25235000</v>
      </c>
      <c r="E71" s="372"/>
      <c r="F71" s="372"/>
      <c r="G71" s="108"/>
    </row>
    <row r="72" spans="1:7" ht="16.5" thickTop="1" thickBot="1" x14ac:dyDescent="0.3">
      <c r="A72" s="610">
        <v>21081100</v>
      </c>
      <c r="B72" s="619" t="s">
        <v>87</v>
      </c>
      <c r="C72" s="606">
        <f t="shared" ref="C72:C106" si="2">SUM(D72,E72)</f>
        <v>5500000</v>
      </c>
      <c r="D72" s="612">
        <v>5500000</v>
      </c>
      <c r="E72" s="375"/>
      <c r="F72" s="375"/>
      <c r="G72" s="105"/>
    </row>
    <row r="73" spans="1:7" ht="90.75" thickTop="1" thickBot="1" x14ac:dyDescent="0.3">
      <c r="A73" s="610">
        <v>21081500</v>
      </c>
      <c r="B73" s="611" t="s">
        <v>1289</v>
      </c>
      <c r="C73" s="606">
        <f t="shared" si="2"/>
        <v>1055000</v>
      </c>
      <c r="D73" s="612">
        <v>1055000</v>
      </c>
      <c r="E73" s="375"/>
      <c r="F73" s="375"/>
      <c r="G73" s="105"/>
    </row>
    <row r="74" spans="1:7" ht="16.5" thickTop="1" thickBot="1" x14ac:dyDescent="0.3">
      <c r="A74" s="610">
        <v>21081700</v>
      </c>
      <c r="B74" s="611" t="s">
        <v>374</v>
      </c>
      <c r="C74" s="606">
        <f t="shared" si="2"/>
        <v>18000000</v>
      </c>
      <c r="D74" s="612">
        <v>18000000</v>
      </c>
      <c r="E74" s="375"/>
      <c r="F74" s="375"/>
      <c r="G74" s="109"/>
    </row>
    <row r="75" spans="1:7" ht="52.5" thickTop="1" thickBot="1" x14ac:dyDescent="0.3">
      <c r="A75" s="610">
        <v>21081800</v>
      </c>
      <c r="B75" s="611" t="s">
        <v>1537</v>
      </c>
      <c r="C75" s="606">
        <f t="shared" si="2"/>
        <v>650000</v>
      </c>
      <c r="D75" s="612">
        <v>650000</v>
      </c>
      <c r="E75" s="375"/>
      <c r="F75" s="375"/>
      <c r="G75" s="109"/>
    </row>
    <row r="76" spans="1:7" ht="78" thickTop="1" thickBot="1" x14ac:dyDescent="0.3">
      <c r="A76" s="610">
        <v>21082400</v>
      </c>
      <c r="B76" s="611" t="s">
        <v>1538</v>
      </c>
      <c r="C76" s="606">
        <f t="shared" si="2"/>
        <v>30000</v>
      </c>
      <c r="D76" s="612">
        <v>30000</v>
      </c>
      <c r="E76" s="375"/>
      <c r="F76" s="375"/>
      <c r="G76" s="109"/>
    </row>
    <row r="77" spans="1:7" ht="27" thickTop="1" thickBot="1" x14ac:dyDescent="0.3">
      <c r="A77" s="604">
        <v>22000000</v>
      </c>
      <c r="B77" s="604" t="s">
        <v>88</v>
      </c>
      <c r="C77" s="606">
        <f t="shared" si="2"/>
        <v>56746600</v>
      </c>
      <c r="D77" s="606">
        <f>SUM(D78,D82,D84)</f>
        <v>56746600</v>
      </c>
      <c r="E77" s="375"/>
      <c r="F77" s="375"/>
      <c r="G77" s="105"/>
    </row>
    <row r="78" spans="1:7" ht="24.75" customHeight="1" thickTop="1" thickBot="1" x14ac:dyDescent="0.3">
      <c r="A78" s="607">
        <v>22010000</v>
      </c>
      <c r="B78" s="608" t="s">
        <v>536</v>
      </c>
      <c r="C78" s="609">
        <f t="shared" si="2"/>
        <v>30750000</v>
      </c>
      <c r="D78" s="609">
        <f>SUM(D79:D81)</f>
        <v>30750000</v>
      </c>
      <c r="E78" s="372"/>
      <c r="F78" s="372"/>
      <c r="G78" s="105"/>
    </row>
    <row r="79" spans="1:7" ht="39.75" thickTop="1" thickBot="1" x14ac:dyDescent="0.3">
      <c r="A79" s="610">
        <v>22010300</v>
      </c>
      <c r="B79" s="611" t="s">
        <v>147</v>
      </c>
      <c r="C79" s="606">
        <f t="shared" si="2"/>
        <v>1350300</v>
      </c>
      <c r="D79" s="612">
        <v>1350300</v>
      </c>
      <c r="E79" s="375"/>
      <c r="F79" s="375"/>
      <c r="G79" s="105"/>
    </row>
    <row r="80" spans="1:7" ht="27" thickTop="1" thickBot="1" x14ac:dyDescent="0.3">
      <c r="A80" s="610">
        <v>22012500</v>
      </c>
      <c r="B80" s="611" t="s">
        <v>90</v>
      </c>
      <c r="C80" s="606">
        <f t="shared" si="2"/>
        <v>26299700</v>
      </c>
      <c r="D80" s="612">
        <v>26299700</v>
      </c>
      <c r="E80" s="375"/>
      <c r="F80" s="375"/>
      <c r="G80" s="105"/>
    </row>
    <row r="81" spans="1:7" ht="39.75" thickTop="1" thickBot="1" x14ac:dyDescent="0.3">
      <c r="A81" s="610">
        <v>22012600</v>
      </c>
      <c r="B81" s="611" t="s">
        <v>89</v>
      </c>
      <c r="C81" s="606">
        <f>SUM(D81,E81)</f>
        <v>3100000</v>
      </c>
      <c r="D81" s="612">
        <v>3100000</v>
      </c>
      <c r="E81" s="375"/>
      <c r="F81" s="375"/>
      <c r="G81" s="105"/>
    </row>
    <row r="82" spans="1:7" ht="42" thickTop="1" thickBot="1" x14ac:dyDescent="0.3">
      <c r="A82" s="607">
        <v>2208000</v>
      </c>
      <c r="B82" s="608" t="s">
        <v>537</v>
      </c>
      <c r="C82" s="609">
        <f t="shared" si="2"/>
        <v>25486600</v>
      </c>
      <c r="D82" s="609">
        <f>D83</f>
        <v>25486600</v>
      </c>
      <c r="E82" s="372"/>
      <c r="F82" s="372"/>
      <c r="G82" s="105"/>
    </row>
    <row r="83" spans="1:7" ht="52.5" thickTop="1" thickBot="1" x14ac:dyDescent="0.3">
      <c r="A83" s="610">
        <v>22080400</v>
      </c>
      <c r="B83" s="619" t="s">
        <v>91</v>
      </c>
      <c r="C83" s="606">
        <f t="shared" si="2"/>
        <v>25486600</v>
      </c>
      <c r="D83" s="612">
        <v>25486600</v>
      </c>
      <c r="E83" s="375"/>
      <c r="F83" s="375"/>
      <c r="G83" s="105"/>
    </row>
    <row r="84" spans="1:7" ht="16.5" thickTop="1" thickBot="1" x14ac:dyDescent="0.3">
      <c r="A84" s="607">
        <v>22090000</v>
      </c>
      <c r="B84" s="620" t="s">
        <v>92</v>
      </c>
      <c r="C84" s="609">
        <f t="shared" si="2"/>
        <v>510000</v>
      </c>
      <c r="D84" s="609">
        <f>SUM(D85:D86)</f>
        <v>510000</v>
      </c>
      <c r="E84" s="372"/>
      <c r="F84" s="372"/>
      <c r="G84" s="105"/>
    </row>
    <row r="85" spans="1:7" ht="52.5" thickTop="1" thickBot="1" x14ac:dyDescent="0.3">
      <c r="A85" s="610">
        <v>22090100</v>
      </c>
      <c r="B85" s="613" t="s">
        <v>93</v>
      </c>
      <c r="C85" s="606">
        <f t="shared" si="2"/>
        <v>405000</v>
      </c>
      <c r="D85" s="612">
        <v>405000</v>
      </c>
      <c r="E85" s="375"/>
      <c r="F85" s="375"/>
      <c r="G85" s="105"/>
    </row>
    <row r="86" spans="1:7" ht="39.75" thickTop="1" thickBot="1" x14ac:dyDescent="0.25">
      <c r="A86" s="610">
        <v>22090400</v>
      </c>
      <c r="B86" s="613" t="s">
        <v>94</v>
      </c>
      <c r="C86" s="606">
        <f t="shared" si="2"/>
        <v>105000</v>
      </c>
      <c r="D86" s="612">
        <v>105000</v>
      </c>
      <c r="E86" s="375"/>
      <c r="F86" s="375"/>
      <c r="G86" s="107"/>
    </row>
    <row r="87" spans="1:7" ht="90.75" thickTop="1" thickBot="1" x14ac:dyDescent="0.25">
      <c r="A87" s="604">
        <v>22130000</v>
      </c>
      <c r="B87" s="621" t="s">
        <v>1539</v>
      </c>
      <c r="C87" s="606">
        <f t="shared" si="2"/>
        <v>61000</v>
      </c>
      <c r="D87" s="606">
        <v>61000</v>
      </c>
      <c r="E87" s="606"/>
      <c r="F87" s="606"/>
      <c r="G87" s="107"/>
    </row>
    <row r="88" spans="1:7" ht="20.25" customHeight="1" thickTop="1" thickBot="1" x14ac:dyDescent="0.3">
      <c r="A88" s="604">
        <v>24000000</v>
      </c>
      <c r="B88" s="621" t="s">
        <v>95</v>
      </c>
      <c r="C88" s="606">
        <f t="shared" si="2"/>
        <v>13000024</v>
      </c>
      <c r="D88" s="606">
        <f>D89+D90+D92+D91</f>
        <v>11000000</v>
      </c>
      <c r="E88" s="606">
        <f>E89+E90+E92+E91</f>
        <v>2000024</v>
      </c>
      <c r="F88" s="606">
        <f>F89+F90+F92+F91</f>
        <v>2000024</v>
      </c>
      <c r="G88" s="105"/>
    </row>
    <row r="89" spans="1:7" ht="16.5" thickTop="1" thickBot="1" x14ac:dyDescent="0.3">
      <c r="A89" s="610">
        <v>24060300</v>
      </c>
      <c r="B89" s="611" t="s">
        <v>96</v>
      </c>
      <c r="C89" s="606">
        <f t="shared" si="2"/>
        <v>10000000</v>
      </c>
      <c r="D89" s="612">
        <v>10000000</v>
      </c>
      <c r="E89" s="612"/>
      <c r="F89" s="612"/>
      <c r="G89" s="105"/>
    </row>
    <row r="90" spans="1:7" ht="65.25" thickTop="1" thickBot="1" x14ac:dyDescent="0.3">
      <c r="A90" s="610">
        <v>24062200</v>
      </c>
      <c r="B90" s="611" t="s">
        <v>375</v>
      </c>
      <c r="C90" s="606">
        <f t="shared" si="2"/>
        <v>1000000</v>
      </c>
      <c r="D90" s="612">
        <v>1000000</v>
      </c>
      <c r="E90" s="375"/>
      <c r="F90" s="375"/>
      <c r="G90" s="105"/>
    </row>
    <row r="91" spans="1:7" ht="39.75" thickTop="1" thickBot="1" x14ac:dyDescent="0.3">
      <c r="A91" s="610">
        <v>24110700</v>
      </c>
      <c r="B91" s="622" t="s">
        <v>589</v>
      </c>
      <c r="C91" s="606">
        <f t="shared" si="2"/>
        <v>24</v>
      </c>
      <c r="D91" s="612"/>
      <c r="E91" s="612">
        <v>24</v>
      </c>
      <c r="F91" s="612">
        <v>24</v>
      </c>
      <c r="G91" s="105"/>
    </row>
    <row r="92" spans="1:7" ht="27" thickTop="1" thickBot="1" x14ac:dyDescent="0.25">
      <c r="A92" s="610">
        <v>24170000</v>
      </c>
      <c r="B92" s="613" t="s">
        <v>97</v>
      </c>
      <c r="C92" s="606">
        <f t="shared" si="2"/>
        <v>2000000</v>
      </c>
      <c r="D92" s="612"/>
      <c r="E92" s="612">
        <v>2000000</v>
      </c>
      <c r="F92" s="612">
        <v>2000000</v>
      </c>
      <c r="G92" s="106"/>
    </row>
    <row r="93" spans="1:7" ht="16.5" thickTop="1" thickBot="1" x14ac:dyDescent="0.3">
      <c r="A93" s="604">
        <v>25000000</v>
      </c>
      <c r="B93" s="623" t="s">
        <v>98</v>
      </c>
      <c r="C93" s="606">
        <f t="shared" si="2"/>
        <v>229145152</v>
      </c>
      <c r="D93" s="606">
        <f>SUM(D94:D98,)</f>
        <v>0</v>
      </c>
      <c r="E93" s="606">
        <f>SUM(E94)</f>
        <v>229145152</v>
      </c>
      <c r="F93" s="371"/>
      <c r="G93" s="105"/>
    </row>
    <row r="94" spans="1:7" ht="42" thickTop="1" thickBot="1" x14ac:dyDescent="0.3">
      <c r="A94" s="607">
        <v>25010000</v>
      </c>
      <c r="B94" s="615" t="s">
        <v>99</v>
      </c>
      <c r="C94" s="609">
        <f t="shared" si="2"/>
        <v>229145152</v>
      </c>
      <c r="D94" s="609">
        <v>0</v>
      </c>
      <c r="E94" s="609">
        <f>SUM(E95:E98)</f>
        <v>229145152</v>
      </c>
      <c r="F94" s="372"/>
      <c r="G94" s="105"/>
    </row>
    <row r="95" spans="1:7" ht="27" thickTop="1" thickBot="1" x14ac:dyDescent="0.3">
      <c r="A95" s="610">
        <v>25010100</v>
      </c>
      <c r="B95" s="613" t="s">
        <v>100</v>
      </c>
      <c r="C95" s="606">
        <f t="shared" si="2"/>
        <v>212809795</v>
      </c>
      <c r="D95" s="612"/>
      <c r="E95" s="612">
        <v>212809795</v>
      </c>
      <c r="F95" s="375"/>
      <c r="G95" s="105"/>
    </row>
    <row r="96" spans="1:7" ht="27" thickTop="1" thickBot="1" x14ac:dyDescent="0.3">
      <c r="A96" s="610">
        <v>25010200</v>
      </c>
      <c r="B96" s="613" t="s">
        <v>101</v>
      </c>
      <c r="C96" s="606">
        <f t="shared" si="2"/>
        <v>12810270</v>
      </c>
      <c r="D96" s="612"/>
      <c r="E96" s="612">
        <v>12810270</v>
      </c>
      <c r="F96" s="375"/>
      <c r="G96" s="105"/>
    </row>
    <row r="97" spans="1:7" ht="16.5" thickTop="1" thickBot="1" x14ac:dyDescent="0.3">
      <c r="A97" s="610">
        <v>25010300</v>
      </c>
      <c r="B97" s="613" t="s">
        <v>102</v>
      </c>
      <c r="C97" s="606">
        <f t="shared" si="2"/>
        <v>3462787</v>
      </c>
      <c r="D97" s="612"/>
      <c r="E97" s="612">
        <v>3462787</v>
      </c>
      <c r="F97" s="375"/>
      <c r="G97" s="105"/>
    </row>
    <row r="98" spans="1:7" ht="39.75" thickTop="1" thickBot="1" x14ac:dyDescent="0.3">
      <c r="A98" s="610">
        <v>25010400</v>
      </c>
      <c r="B98" s="613" t="s">
        <v>103</v>
      </c>
      <c r="C98" s="606">
        <f t="shared" si="2"/>
        <v>62300</v>
      </c>
      <c r="D98" s="612"/>
      <c r="E98" s="612">
        <v>62300</v>
      </c>
      <c r="F98" s="375"/>
      <c r="G98" s="105"/>
    </row>
    <row r="99" spans="1:7" ht="24.75" customHeight="1" thickTop="1" thickBot="1" x14ac:dyDescent="0.25">
      <c r="A99" s="630">
        <v>30000000</v>
      </c>
      <c r="B99" s="630" t="s">
        <v>104</v>
      </c>
      <c r="C99" s="631">
        <f>SUM(D99,E99)</f>
        <v>9787979</v>
      </c>
      <c r="D99" s="631">
        <f>SUM(D100)+D104</f>
        <v>45000</v>
      </c>
      <c r="E99" s="631">
        <f>SUM(E100)+E104</f>
        <v>9742979</v>
      </c>
      <c r="F99" s="631">
        <f>SUM(F100)+F104</f>
        <v>9742979</v>
      </c>
      <c r="G99" s="107"/>
    </row>
    <row r="100" spans="1:7" ht="27" customHeight="1" thickTop="1" thickBot="1" x14ac:dyDescent="0.3">
      <c r="A100" s="604">
        <v>31000000</v>
      </c>
      <c r="B100" s="604" t="s">
        <v>105</v>
      </c>
      <c r="C100" s="606">
        <f>SUM(D100,E100)</f>
        <v>845000</v>
      </c>
      <c r="D100" s="606">
        <f>D101+D103</f>
        <v>45000</v>
      </c>
      <c r="E100" s="606">
        <f>E101+E103</f>
        <v>800000</v>
      </c>
      <c r="F100" s="606">
        <f>F101+F103</f>
        <v>800000</v>
      </c>
      <c r="G100" s="105"/>
    </row>
    <row r="101" spans="1:7" ht="82.5" thickTop="1" thickBot="1" x14ac:dyDescent="0.3">
      <c r="A101" s="607">
        <v>3101000</v>
      </c>
      <c r="B101" s="608" t="s">
        <v>538</v>
      </c>
      <c r="C101" s="609">
        <f>SUM(D101,E101)</f>
        <v>45000</v>
      </c>
      <c r="D101" s="609">
        <f>D102</f>
        <v>45000</v>
      </c>
      <c r="E101" s="609"/>
      <c r="F101" s="609"/>
      <c r="G101" s="105"/>
    </row>
    <row r="102" spans="1:7" ht="78" thickTop="1" thickBot="1" x14ac:dyDescent="0.3">
      <c r="A102" s="610">
        <v>31010200</v>
      </c>
      <c r="B102" s="613" t="s">
        <v>106</v>
      </c>
      <c r="C102" s="606">
        <f>SUM(D102,E102)</f>
        <v>45000</v>
      </c>
      <c r="D102" s="612">
        <v>45000</v>
      </c>
      <c r="E102" s="612"/>
      <c r="F102" s="612"/>
      <c r="G102" s="105"/>
    </row>
    <row r="103" spans="1:7" ht="55.5" thickTop="1" thickBot="1" x14ac:dyDescent="0.3">
      <c r="A103" s="607">
        <v>31030000</v>
      </c>
      <c r="B103" s="615" t="s">
        <v>107</v>
      </c>
      <c r="C103" s="609">
        <f t="shared" si="2"/>
        <v>800000</v>
      </c>
      <c r="D103" s="609"/>
      <c r="E103" s="609">
        <v>800000</v>
      </c>
      <c r="F103" s="609">
        <v>800000</v>
      </c>
      <c r="G103" s="105"/>
    </row>
    <row r="104" spans="1:7" ht="27" thickTop="1" thickBot="1" x14ac:dyDescent="0.3">
      <c r="A104" s="604">
        <v>33000000</v>
      </c>
      <c r="B104" s="604" t="s">
        <v>108</v>
      </c>
      <c r="C104" s="606">
        <f t="shared" si="2"/>
        <v>8942979</v>
      </c>
      <c r="D104" s="606">
        <f>SUM(D105)</f>
        <v>0</v>
      </c>
      <c r="E104" s="606">
        <f>SUM(E105)</f>
        <v>8942979</v>
      </c>
      <c r="F104" s="606">
        <f>SUM(F105)</f>
        <v>8942979</v>
      </c>
      <c r="G104" s="105"/>
    </row>
    <row r="105" spans="1:7" ht="16.5" thickTop="1" thickBot="1" x14ac:dyDescent="0.3">
      <c r="A105" s="607">
        <v>33010000</v>
      </c>
      <c r="B105" s="608" t="s">
        <v>109</v>
      </c>
      <c r="C105" s="609">
        <f>SUM(D105,E105)</f>
        <v>8942979</v>
      </c>
      <c r="D105" s="609">
        <f>SUM(D106:D108)</f>
        <v>0</v>
      </c>
      <c r="E105" s="609">
        <f>SUM(E106:E108)</f>
        <v>8942979</v>
      </c>
      <c r="F105" s="609">
        <f>SUM(F106:F108)</f>
        <v>8942979</v>
      </c>
      <c r="G105" s="105"/>
    </row>
    <row r="106" spans="1:7" ht="52.5" thickTop="1" thickBot="1" x14ac:dyDescent="0.3">
      <c r="A106" s="610">
        <v>33010100</v>
      </c>
      <c r="B106" s="613" t="s">
        <v>343</v>
      </c>
      <c r="C106" s="606">
        <f t="shared" si="2"/>
        <v>7517840</v>
      </c>
      <c r="D106" s="612"/>
      <c r="E106" s="612">
        <v>7517840</v>
      </c>
      <c r="F106" s="612">
        <v>7517840</v>
      </c>
      <c r="G106" s="105"/>
    </row>
    <row r="107" spans="1:7" ht="52.5" thickTop="1" thickBot="1" x14ac:dyDescent="0.3">
      <c r="A107" s="610">
        <v>33010200</v>
      </c>
      <c r="B107" s="613" t="s">
        <v>110</v>
      </c>
      <c r="C107" s="606">
        <f>SUM(D107,E107)</f>
        <v>1425139</v>
      </c>
      <c r="D107" s="612"/>
      <c r="E107" s="612">
        <v>1425139</v>
      </c>
      <c r="F107" s="612">
        <v>1425139</v>
      </c>
      <c r="G107" s="105"/>
    </row>
    <row r="108" spans="1:7" ht="65.25" hidden="1" thickTop="1" thickBot="1" x14ac:dyDescent="0.3">
      <c r="A108" s="373">
        <v>33010500</v>
      </c>
      <c r="B108" s="376" t="s">
        <v>1401</v>
      </c>
      <c r="C108" s="371">
        <f>SUM(D108,E108)</f>
        <v>0</v>
      </c>
      <c r="D108" s="375"/>
      <c r="E108" s="375">
        <v>0</v>
      </c>
      <c r="F108" s="375">
        <v>0</v>
      </c>
      <c r="G108" s="105"/>
    </row>
    <row r="109" spans="1:7" ht="27" customHeight="1" thickTop="1" thickBot="1" x14ac:dyDescent="0.3">
      <c r="A109" s="630">
        <v>50000000</v>
      </c>
      <c r="B109" s="630" t="s">
        <v>487</v>
      </c>
      <c r="C109" s="631">
        <f>SUM(D109,E109)</f>
        <v>5215800</v>
      </c>
      <c r="D109" s="631">
        <f>SUM(D110)</f>
        <v>0</v>
      </c>
      <c r="E109" s="631">
        <f>SUM(E110)</f>
        <v>5215800</v>
      </c>
      <c r="F109" s="631">
        <f>SUM(F110)</f>
        <v>0</v>
      </c>
      <c r="G109" s="105"/>
    </row>
    <row r="110" spans="1:7" ht="52.5" thickTop="1" thickBot="1" x14ac:dyDescent="0.3">
      <c r="A110" s="604">
        <v>50110000</v>
      </c>
      <c r="B110" s="618" t="s">
        <v>111</v>
      </c>
      <c r="C110" s="606">
        <f t="shared" ref="C110:C146" si="3">SUM(D110,E110)</f>
        <v>5215800</v>
      </c>
      <c r="D110" s="612"/>
      <c r="E110" s="606">
        <v>5215800</v>
      </c>
      <c r="F110" s="612"/>
      <c r="G110" s="105"/>
    </row>
    <row r="111" spans="1:7" ht="45.75" customHeight="1" thickTop="1" thickBot="1" x14ac:dyDescent="0.25">
      <c r="A111" s="624"/>
      <c r="B111" s="625" t="s">
        <v>488</v>
      </c>
      <c r="C111" s="626">
        <f t="shared" si="3"/>
        <v>3394321655</v>
      </c>
      <c r="D111" s="626">
        <f>D109+D99+D66+D15</f>
        <v>3147017700</v>
      </c>
      <c r="E111" s="626">
        <f>E109+E99+E66+E15</f>
        <v>247303955</v>
      </c>
      <c r="F111" s="626">
        <f>F109+F99+F66+F15</f>
        <v>11743003</v>
      </c>
      <c r="G111" s="106"/>
    </row>
    <row r="112" spans="1:7" ht="34.5" customHeight="1" thickTop="1" thickBot="1" x14ac:dyDescent="0.25">
      <c r="A112" s="630">
        <v>40000000</v>
      </c>
      <c r="B112" s="630" t="s">
        <v>427</v>
      </c>
      <c r="C112" s="631">
        <f>SUM(D112,E112)</f>
        <v>772252237</v>
      </c>
      <c r="D112" s="631">
        <f>SUM(D118,D115,D113)</f>
        <v>772252237</v>
      </c>
      <c r="E112" s="631">
        <f>SUM(E118,E115,E113)</f>
        <v>0</v>
      </c>
      <c r="F112" s="631">
        <f>SUM(F118,F115,F113)</f>
        <v>0</v>
      </c>
      <c r="G112" s="106"/>
    </row>
    <row r="113" spans="1:7" ht="34.5" hidden="1" customHeight="1" thickTop="1" thickBot="1" x14ac:dyDescent="0.25">
      <c r="A113" s="370">
        <v>41020000</v>
      </c>
      <c r="B113" s="377" t="s">
        <v>1338</v>
      </c>
      <c r="C113" s="371">
        <f t="shared" ref="C113:C114" si="4">SUM(D113,E113)</f>
        <v>0</v>
      </c>
      <c r="D113" s="371">
        <f>SUM(D114)</f>
        <v>0</v>
      </c>
      <c r="E113" s="371"/>
      <c r="F113" s="371"/>
      <c r="G113" s="106"/>
    </row>
    <row r="114" spans="1:7" ht="103.5" hidden="1" thickTop="1" thickBot="1" x14ac:dyDescent="0.25">
      <c r="A114" s="373">
        <v>41021400</v>
      </c>
      <c r="B114" s="376" t="s">
        <v>1345</v>
      </c>
      <c r="C114" s="371">
        <f t="shared" si="4"/>
        <v>0</v>
      </c>
      <c r="D114" s="375">
        <v>0</v>
      </c>
      <c r="E114" s="371"/>
      <c r="F114" s="371"/>
      <c r="G114" s="106"/>
    </row>
    <row r="115" spans="1:7" ht="27" thickTop="1" thickBot="1" x14ac:dyDescent="0.25">
      <c r="A115" s="604">
        <v>41040000</v>
      </c>
      <c r="B115" s="614" t="s">
        <v>344</v>
      </c>
      <c r="C115" s="606">
        <f>SUM(D115,E115)</f>
        <v>7509500</v>
      </c>
      <c r="D115" s="606">
        <f>SUM(D116:D117)</f>
        <v>7509500</v>
      </c>
      <c r="E115" s="371"/>
      <c r="F115" s="371"/>
      <c r="G115" s="106"/>
    </row>
    <row r="116" spans="1:7" ht="65.25" thickTop="1" thickBot="1" x14ac:dyDescent="0.25">
      <c r="A116" s="610">
        <v>41040200</v>
      </c>
      <c r="B116" s="613" t="s">
        <v>1159</v>
      </c>
      <c r="C116" s="606">
        <f t="shared" si="3"/>
        <v>7509500</v>
      </c>
      <c r="D116" s="612">
        <v>7509500</v>
      </c>
      <c r="E116" s="371"/>
      <c r="F116" s="371"/>
      <c r="G116" s="106"/>
    </row>
    <row r="117" spans="1:7" ht="15.75" hidden="1" thickTop="1" thickBot="1" x14ac:dyDescent="0.25">
      <c r="A117" s="373">
        <v>41040400</v>
      </c>
      <c r="B117" s="376" t="s">
        <v>1217</v>
      </c>
      <c r="C117" s="371">
        <f t="shared" si="3"/>
        <v>0</v>
      </c>
      <c r="D117" s="375">
        <v>0</v>
      </c>
      <c r="E117" s="371"/>
      <c r="F117" s="371"/>
      <c r="G117" s="106"/>
    </row>
    <row r="118" spans="1:7" s="598" customFormat="1" ht="15.75" thickTop="1" thickBot="1" x14ac:dyDescent="0.25">
      <c r="A118" s="604">
        <v>41000000</v>
      </c>
      <c r="B118" s="604" t="s">
        <v>112</v>
      </c>
      <c r="C118" s="606">
        <f t="shared" si="3"/>
        <v>764742737</v>
      </c>
      <c r="D118" s="606">
        <f>SUM(D119,D127)</f>
        <v>764742737</v>
      </c>
      <c r="E118" s="606">
        <f>SUM(E119,E127)</f>
        <v>0</v>
      </c>
      <c r="F118" s="606">
        <f>SUM(F119,F127)</f>
        <v>0</v>
      </c>
      <c r="G118" s="629"/>
    </row>
    <row r="119" spans="1:7" s="598" customFormat="1" ht="27" thickTop="1" thickBot="1" x14ac:dyDescent="0.3">
      <c r="A119" s="604">
        <v>41030000</v>
      </c>
      <c r="B119" s="623" t="s">
        <v>438</v>
      </c>
      <c r="C119" s="606">
        <f t="shared" si="3"/>
        <v>752597500</v>
      </c>
      <c r="D119" s="606">
        <f>SUM(D120:D126)</f>
        <v>752597500</v>
      </c>
      <c r="E119" s="606">
        <f>SUM(E120:E126)</f>
        <v>0</v>
      </c>
      <c r="F119" s="606">
        <f>SUM(F120:F126)</f>
        <v>0</v>
      </c>
      <c r="G119" s="605"/>
    </row>
    <row r="120" spans="1:7" ht="52.5" hidden="1" thickTop="1" thickBot="1" x14ac:dyDescent="0.3">
      <c r="A120" s="373">
        <v>41032300</v>
      </c>
      <c r="B120" s="374" t="s">
        <v>982</v>
      </c>
      <c r="C120" s="371">
        <f t="shared" si="3"/>
        <v>0</v>
      </c>
      <c r="D120" s="375">
        <v>0</v>
      </c>
      <c r="E120" s="371"/>
      <c r="F120" s="375"/>
      <c r="G120" s="105"/>
    </row>
    <row r="121" spans="1:7" ht="52.5" hidden="1" thickTop="1" thickBot="1" x14ac:dyDescent="0.3">
      <c r="A121" s="373">
        <v>41033800</v>
      </c>
      <c r="B121" s="374" t="s">
        <v>1042</v>
      </c>
      <c r="C121" s="371">
        <f t="shared" si="3"/>
        <v>0</v>
      </c>
      <c r="D121" s="375">
        <v>0</v>
      </c>
      <c r="E121" s="371"/>
      <c r="F121" s="375"/>
      <c r="G121" s="105"/>
    </row>
    <row r="122" spans="1:7" ht="27" thickTop="1" thickBot="1" x14ac:dyDescent="0.3">
      <c r="A122" s="610">
        <v>41033900</v>
      </c>
      <c r="B122" s="611" t="s">
        <v>113</v>
      </c>
      <c r="C122" s="606">
        <f t="shared" si="3"/>
        <v>752597500</v>
      </c>
      <c r="D122" s="612">
        <v>752597500</v>
      </c>
      <c r="E122" s="612"/>
      <c r="F122" s="612"/>
      <c r="G122" s="105"/>
    </row>
    <row r="123" spans="1:7" ht="52.5" hidden="1" thickTop="1" thickBot="1" x14ac:dyDescent="0.3">
      <c r="A123" s="373">
        <v>41034500</v>
      </c>
      <c r="B123" s="374" t="s">
        <v>1043</v>
      </c>
      <c r="C123" s="371">
        <f t="shared" si="3"/>
        <v>0</v>
      </c>
      <c r="D123" s="375">
        <v>0</v>
      </c>
      <c r="E123" s="375">
        <v>0</v>
      </c>
      <c r="F123" s="375">
        <v>0</v>
      </c>
      <c r="G123" s="105"/>
    </row>
    <row r="124" spans="1:7" ht="52.5" hidden="1" thickTop="1" thickBot="1" x14ac:dyDescent="0.3">
      <c r="A124" s="373">
        <v>41035500</v>
      </c>
      <c r="B124" s="374" t="s">
        <v>984</v>
      </c>
      <c r="C124" s="371">
        <f t="shared" si="3"/>
        <v>0</v>
      </c>
      <c r="D124" s="375">
        <v>0</v>
      </c>
      <c r="E124" s="375"/>
      <c r="F124" s="375"/>
      <c r="G124" s="105"/>
    </row>
    <row r="125" spans="1:7" ht="65.25" hidden="1" thickTop="1" thickBot="1" x14ac:dyDescent="0.3">
      <c r="A125" s="373">
        <v>41035600</v>
      </c>
      <c r="B125" s="374" t="s">
        <v>1008</v>
      </c>
      <c r="C125" s="371">
        <f t="shared" si="3"/>
        <v>0</v>
      </c>
      <c r="D125" s="375">
        <v>0</v>
      </c>
      <c r="E125" s="375"/>
      <c r="F125" s="375"/>
      <c r="G125" s="105"/>
    </row>
    <row r="126" spans="1:7" ht="39.75" hidden="1" thickTop="1" thickBot="1" x14ac:dyDescent="0.3">
      <c r="A126" s="373">
        <v>41035700</v>
      </c>
      <c r="B126" s="374" t="s">
        <v>974</v>
      </c>
      <c r="C126" s="371">
        <f t="shared" si="3"/>
        <v>0</v>
      </c>
      <c r="D126" s="375">
        <v>0</v>
      </c>
      <c r="E126" s="375"/>
      <c r="F126" s="375"/>
      <c r="G126" s="105"/>
    </row>
    <row r="127" spans="1:7" ht="27" thickTop="1" thickBot="1" x14ac:dyDescent="0.3">
      <c r="A127" s="604">
        <v>41050000</v>
      </c>
      <c r="B127" s="623" t="s">
        <v>473</v>
      </c>
      <c r="C127" s="606">
        <f t="shared" si="3"/>
        <v>12145237</v>
      </c>
      <c r="D127" s="606">
        <f>SUM(D128:D140)+D147+D148</f>
        <v>12145237</v>
      </c>
      <c r="E127" s="606">
        <f>SUM(E128:E140)</f>
        <v>0</v>
      </c>
      <c r="F127" s="606">
        <f>SUM(F128:F140)</f>
        <v>0</v>
      </c>
      <c r="G127" s="105"/>
    </row>
    <row r="128" spans="1:7" ht="313.5" hidden="1" customHeight="1" thickTop="1" thickBot="1" x14ac:dyDescent="0.3">
      <c r="A128" s="373">
        <v>41050400</v>
      </c>
      <c r="B128" s="374" t="s">
        <v>1424</v>
      </c>
      <c r="C128" s="371">
        <f t="shared" si="3"/>
        <v>0</v>
      </c>
      <c r="D128" s="375">
        <v>0</v>
      </c>
      <c r="E128" s="375"/>
      <c r="F128" s="375"/>
      <c r="G128" s="105"/>
    </row>
    <row r="129" spans="1:7" ht="228" hidden="1" customHeight="1" thickTop="1" thickBot="1" x14ac:dyDescent="0.3">
      <c r="A129" s="373">
        <v>41050500</v>
      </c>
      <c r="B129" s="374" t="s">
        <v>1044</v>
      </c>
      <c r="C129" s="371">
        <f t="shared" si="3"/>
        <v>0</v>
      </c>
      <c r="D129" s="375">
        <v>0</v>
      </c>
      <c r="E129" s="375"/>
      <c r="F129" s="375"/>
      <c r="G129" s="105"/>
    </row>
    <row r="130" spans="1:7" ht="326.25" hidden="1" customHeight="1" thickTop="1" thickBot="1" x14ac:dyDescent="0.3">
      <c r="A130" s="373">
        <v>41050600</v>
      </c>
      <c r="B130" s="374" t="s">
        <v>1425</v>
      </c>
      <c r="C130" s="371">
        <f t="shared" si="3"/>
        <v>0</v>
      </c>
      <c r="D130" s="375">
        <v>0</v>
      </c>
      <c r="E130" s="375"/>
      <c r="F130" s="375"/>
      <c r="G130" s="105"/>
    </row>
    <row r="131" spans="1:7" ht="116.25" hidden="1" thickTop="1" thickBot="1" x14ac:dyDescent="0.3">
      <c r="A131" s="379">
        <v>41050900</v>
      </c>
      <c r="B131" s="380" t="s">
        <v>1045</v>
      </c>
      <c r="C131" s="381">
        <f t="shared" si="3"/>
        <v>0</v>
      </c>
      <c r="D131" s="382">
        <v>0</v>
      </c>
      <c r="E131" s="382"/>
      <c r="F131" s="382"/>
      <c r="G131" s="105"/>
    </row>
    <row r="132" spans="1:7" ht="39.75" thickTop="1" thickBot="1" x14ac:dyDescent="0.3">
      <c r="A132" s="610">
        <v>41051000</v>
      </c>
      <c r="B132" s="611" t="s">
        <v>474</v>
      </c>
      <c r="C132" s="606">
        <f t="shared" si="3"/>
        <v>11127203</v>
      </c>
      <c r="D132" s="612">
        <v>11127203</v>
      </c>
      <c r="E132" s="375"/>
      <c r="F132" s="375"/>
      <c r="G132" s="105"/>
    </row>
    <row r="133" spans="1:7" ht="52.5" hidden="1" thickTop="1" thickBot="1" x14ac:dyDescent="0.3">
      <c r="A133" s="373">
        <v>41051200</v>
      </c>
      <c r="B133" s="374" t="s">
        <v>1291</v>
      </c>
      <c r="C133" s="371">
        <f>SUM(D133,E133)</f>
        <v>0</v>
      </c>
      <c r="D133" s="375">
        <v>0</v>
      </c>
      <c r="E133" s="375"/>
      <c r="F133" s="375"/>
      <c r="G133" s="105"/>
    </row>
    <row r="134" spans="1:7" ht="65.25" hidden="1" thickTop="1" thickBot="1" x14ac:dyDescent="0.3">
      <c r="A134" s="379">
        <v>41051400</v>
      </c>
      <c r="B134" s="380" t="s">
        <v>987</v>
      </c>
      <c r="C134" s="381">
        <f t="shared" si="3"/>
        <v>0</v>
      </c>
      <c r="D134" s="382">
        <v>0</v>
      </c>
      <c r="E134" s="382"/>
      <c r="F134" s="382"/>
      <c r="G134" s="105"/>
    </row>
    <row r="135" spans="1:7" ht="65.25" hidden="1" thickTop="1" thickBot="1" x14ac:dyDescent="0.3">
      <c r="A135" s="373">
        <v>41051700</v>
      </c>
      <c r="B135" s="374" t="s">
        <v>945</v>
      </c>
      <c r="C135" s="371">
        <f t="shared" si="3"/>
        <v>0</v>
      </c>
      <c r="D135" s="375">
        <v>0</v>
      </c>
      <c r="E135" s="375"/>
      <c r="F135" s="375"/>
      <c r="G135" s="105"/>
    </row>
    <row r="136" spans="1:7" ht="90.75" hidden="1" thickTop="1" thickBot="1" x14ac:dyDescent="0.3">
      <c r="A136" s="379">
        <v>41056600</v>
      </c>
      <c r="B136" s="380" t="s">
        <v>1027</v>
      </c>
      <c r="C136" s="381">
        <f t="shared" si="3"/>
        <v>0</v>
      </c>
      <c r="D136" s="382">
        <f>10623233.82-10623233.82</f>
        <v>0</v>
      </c>
      <c r="E136" s="382"/>
      <c r="F136" s="382"/>
      <c r="G136" s="105"/>
    </row>
    <row r="137" spans="1:7" ht="52.5" hidden="1" thickTop="1" thickBot="1" x14ac:dyDescent="0.25">
      <c r="A137" s="379">
        <v>41055000</v>
      </c>
      <c r="B137" s="380" t="s">
        <v>1046</v>
      </c>
      <c r="C137" s="381">
        <f t="shared" si="3"/>
        <v>0</v>
      </c>
      <c r="D137" s="382">
        <v>0</v>
      </c>
      <c r="E137" s="382"/>
      <c r="F137" s="382"/>
      <c r="G137" s="106"/>
    </row>
    <row r="138" spans="1:7" ht="27" hidden="1" thickTop="1" thickBot="1" x14ac:dyDescent="0.25">
      <c r="A138" s="379">
        <v>41053600</v>
      </c>
      <c r="B138" s="380" t="s">
        <v>947</v>
      </c>
      <c r="C138" s="381">
        <f t="shared" si="3"/>
        <v>0</v>
      </c>
      <c r="D138" s="382"/>
      <c r="E138" s="382">
        <v>0</v>
      </c>
      <c r="F138" s="382"/>
      <c r="G138" s="106"/>
    </row>
    <row r="139" spans="1:7" ht="205.5" hidden="1" thickTop="1" thickBot="1" x14ac:dyDescent="0.25">
      <c r="A139" s="379">
        <v>41054200</v>
      </c>
      <c r="B139" s="380" t="s">
        <v>1047</v>
      </c>
      <c r="C139" s="381">
        <f t="shared" si="3"/>
        <v>0</v>
      </c>
      <c r="D139" s="382">
        <v>0</v>
      </c>
      <c r="E139" s="382"/>
      <c r="F139" s="382"/>
      <c r="G139" s="106"/>
    </row>
    <row r="140" spans="1:7" ht="27" thickTop="1" thickBot="1" x14ac:dyDescent="0.25">
      <c r="A140" s="610">
        <v>41053900</v>
      </c>
      <c r="B140" s="611" t="s">
        <v>901</v>
      </c>
      <c r="C140" s="606">
        <f t="shared" si="3"/>
        <v>1018034</v>
      </c>
      <c r="D140" s="612">
        <f>SUM(D141:D146)</f>
        <v>1018034</v>
      </c>
      <c r="E140" s="612">
        <f>SUM(E141:E146)</f>
        <v>0</v>
      </c>
      <c r="F140" s="612">
        <f>SUM(F141:F146)</f>
        <v>0</v>
      </c>
      <c r="G140" s="106"/>
    </row>
    <row r="141" spans="1:7" ht="15.75" hidden="1" thickTop="1" thickBot="1" x14ac:dyDescent="0.25">
      <c r="A141" s="610"/>
      <c r="B141" s="627" t="s">
        <v>948</v>
      </c>
      <c r="C141" s="609">
        <f>SUM(D141,E141)</f>
        <v>0</v>
      </c>
      <c r="D141" s="628"/>
      <c r="E141" s="378">
        <v>0</v>
      </c>
      <c r="F141" s="378">
        <v>0</v>
      </c>
      <c r="G141" s="106"/>
    </row>
    <row r="142" spans="1:7" ht="39.75" thickTop="1" thickBot="1" x14ac:dyDescent="0.25">
      <c r="A142" s="610"/>
      <c r="B142" s="627" t="s">
        <v>902</v>
      </c>
      <c r="C142" s="609">
        <f t="shared" si="3"/>
        <v>362971</v>
      </c>
      <c r="D142" s="628">
        <v>362971</v>
      </c>
      <c r="E142" s="378"/>
      <c r="F142" s="378"/>
      <c r="G142" s="106"/>
    </row>
    <row r="143" spans="1:7" ht="52.5" thickTop="1" thickBot="1" x14ac:dyDescent="0.25">
      <c r="A143" s="610"/>
      <c r="B143" s="627" t="s">
        <v>903</v>
      </c>
      <c r="C143" s="609">
        <f t="shared" si="3"/>
        <v>184607</v>
      </c>
      <c r="D143" s="628">
        <v>184607</v>
      </c>
      <c r="E143" s="378"/>
      <c r="F143" s="378"/>
      <c r="G143" s="106"/>
    </row>
    <row r="144" spans="1:7" ht="27" thickTop="1" thickBot="1" x14ac:dyDescent="0.25">
      <c r="A144" s="610"/>
      <c r="B144" s="627" t="s">
        <v>904</v>
      </c>
      <c r="C144" s="609">
        <f t="shared" si="3"/>
        <v>470456</v>
      </c>
      <c r="D144" s="628">
        <v>470456</v>
      </c>
      <c r="E144" s="378"/>
      <c r="F144" s="378"/>
      <c r="G144" s="106"/>
    </row>
    <row r="145" spans="1:10" ht="39.75" hidden="1" thickTop="1" thickBot="1" x14ac:dyDescent="0.25">
      <c r="A145" s="379"/>
      <c r="B145" s="383" t="s">
        <v>1085</v>
      </c>
      <c r="C145" s="110">
        <f t="shared" si="3"/>
        <v>0</v>
      </c>
      <c r="D145" s="111">
        <v>0</v>
      </c>
      <c r="E145" s="111"/>
      <c r="F145" s="111"/>
      <c r="G145" s="106"/>
    </row>
    <row r="146" spans="1:10" ht="27" hidden="1" thickTop="1" thickBot="1" x14ac:dyDescent="0.25">
      <c r="A146" s="379"/>
      <c r="B146" s="383" t="s">
        <v>1086</v>
      </c>
      <c r="C146" s="110">
        <f t="shared" si="3"/>
        <v>0</v>
      </c>
      <c r="D146" s="111"/>
      <c r="E146" s="111">
        <v>0</v>
      </c>
      <c r="F146" s="111">
        <v>0</v>
      </c>
      <c r="G146" s="106"/>
    </row>
    <row r="147" spans="1:10" ht="65.25" hidden="1" thickTop="1" thickBot="1" x14ac:dyDescent="0.25">
      <c r="A147" s="373">
        <v>41057700</v>
      </c>
      <c r="B147" s="374" t="s">
        <v>1377</v>
      </c>
      <c r="C147" s="371">
        <f>SUM(D147,E147)</f>
        <v>0</v>
      </c>
      <c r="D147" s="375">
        <v>0</v>
      </c>
      <c r="E147" s="375"/>
      <c r="F147" s="375"/>
      <c r="G147" s="106"/>
    </row>
    <row r="148" spans="1:10" ht="52.5" hidden="1" thickTop="1" thickBot="1" x14ac:dyDescent="0.25">
      <c r="A148" s="373">
        <v>41059000</v>
      </c>
      <c r="B148" s="374" t="s">
        <v>1402</v>
      </c>
      <c r="C148" s="371">
        <f>SUM(D148,E148)</f>
        <v>0</v>
      </c>
      <c r="D148" s="375">
        <v>0</v>
      </c>
      <c r="E148" s="375"/>
      <c r="F148" s="375"/>
      <c r="G148" s="106"/>
    </row>
    <row r="149" spans="1:10" ht="33.75" customHeight="1" thickTop="1" thickBot="1" x14ac:dyDescent="0.3">
      <c r="A149" s="624"/>
      <c r="B149" s="625" t="s">
        <v>1038</v>
      </c>
      <c r="C149" s="626">
        <f>SUM(D149,E149)</f>
        <v>4166573892</v>
      </c>
      <c r="D149" s="626">
        <f>SUM(D111,D112)</f>
        <v>3919269937</v>
      </c>
      <c r="E149" s="626">
        <f>SUM(E111,E112)</f>
        <v>247303955</v>
      </c>
      <c r="F149" s="626">
        <f>SUM(F111,F112)</f>
        <v>11743003</v>
      </c>
      <c r="G149" s="632" t="b">
        <f>C149=C144+C143+C142+C122+C116+C110+C103+C102+C98+C97+C96+C95+C92+C91+C90+C89+C86+C85+C83+C81+C80+C79+C74+C73+C72+C70+C69+C65+C64+C63+C60+C59+C58+C56+C55+C51+C50+C49+C48+C47+C46+C45+C44+C43+C42+C38+C36+C33+C31+C29+C25+C21+C20+C19+C18+C107+C106+C39+C53+C133+C132+C114+C147+C117+C148+C108+C130+C128+C129+C135+C87+C28+C23+C22+C76+C75</f>
        <v>1</v>
      </c>
      <c r="H149" s="632" t="b">
        <f>D149=D144+D143+D142+D122+D116+D110+D103+D102+D98+D97+D96+D95+D92+D91+D90+D89+D86+D85+D83+D81+D80+D79+D74+D73+D72+D70+D69+D65+D64+D63+D60+D59+D58+D56+D55+D51+D50+D49+D48+D47+D46+D45+D44+D43+D42+D38+D36+D33+D31+D29+D25+D21+D20+D19+D18+D107+D106+D39+D53+D133+D132+D114+D147+D117+D148+D108+D130+D128+D129+D135+D87+D28+D23+D22+D76+D75</f>
        <v>1</v>
      </c>
      <c r="I149" s="632" t="b">
        <f>E149=E144+E143+E142+E122+E116+E110+E103+E102+E98+E97+E96+E95+E92+E91+E90+E89+E86+E85+E83+E81+E80+E79+E74+E73+E72+E70+E69+E65+E64+E63+E60+E59+E58+E56+E55+E51+E50+E49+E48+E47+E46+E45+E44+E43+E42+E38+E36+E33+E31+E29+E25+E21+E20+E19+E18+E107+E106+E39+E53+E133+E132+E114+E147+E117+E148+E108+E130+E128+E129+E135+E87+E28+E23+E22+E76+E75</f>
        <v>1</v>
      </c>
      <c r="J149" s="632" t="b">
        <f>F149=F144+F143+F142+F122+F116+F110+F103+F102+F98+F97+F96+F95+F92+F91+F90+F89+F86+F85+F83+F81+F80+F79+F74+F73+F72+F70+F69+F65+F64+F63+F60+F59+F58+F56+F55+F51+F50+F49+F48+F47+F46+F45+F44+F43+F42+F38+F36+F33+F31+F29+F25+F21+F20+F19+F18+F107+F106+F39+F53+F133+F132+F114+F147+F117+F148+F108+F130+F128+F129+F135+F87+F28+F23+F22+F76+F75</f>
        <v>1</v>
      </c>
    </row>
    <row r="150" spans="1:10" ht="16.5" thickTop="1" x14ac:dyDescent="0.25">
      <c r="B150" s="112"/>
      <c r="G150" s="632" t="b">
        <f>(4196633892-'d2'!C37-'d2'!C22)+129600000=C149</f>
        <v>1</v>
      </c>
    </row>
    <row r="151" spans="1:10" ht="15.75" hidden="1" x14ac:dyDescent="0.2">
      <c r="B151" s="365" t="s">
        <v>1480</v>
      </c>
      <c r="C151"/>
      <c r="D151"/>
      <c r="E151" s="366" t="s">
        <v>1481</v>
      </c>
      <c r="F151" s="114"/>
    </row>
    <row r="152" spans="1:10" ht="15.75" x14ac:dyDescent="0.2">
      <c r="B152" s="365" t="s">
        <v>1445</v>
      </c>
      <c r="C152"/>
      <c r="D152"/>
      <c r="E152" s="366" t="s">
        <v>1446</v>
      </c>
      <c r="F152" s="114"/>
    </row>
    <row r="153" spans="1:10" ht="15.75" x14ac:dyDescent="0.25">
      <c r="B153" s="1"/>
      <c r="C153" s="598"/>
      <c r="D153" s="598"/>
      <c r="E153" s="1"/>
    </row>
    <row r="154" spans="1:10" ht="15.75" x14ac:dyDescent="0.25">
      <c r="A154" s="115"/>
      <c r="B154" s="472" t="s">
        <v>523</v>
      </c>
      <c r="C154" s="1"/>
      <c r="D154" s="1"/>
      <c r="E154" s="1" t="s">
        <v>1346</v>
      </c>
      <c r="F154" s="115"/>
    </row>
    <row r="157" spans="1:10" x14ac:dyDescent="0.2">
      <c r="C157" s="113"/>
      <c r="D157" s="113"/>
      <c r="E157" s="113"/>
      <c r="F157" s="113"/>
    </row>
  </sheetData>
  <mergeCells count="13">
    <mergeCell ref="A8:F8"/>
    <mergeCell ref="A9:F9"/>
    <mergeCell ref="A12:A13"/>
    <mergeCell ref="B12:B13"/>
    <mergeCell ref="C12:C13"/>
    <mergeCell ref="D12:D13"/>
    <mergeCell ref="E12:F12"/>
    <mergeCell ref="A6:F6"/>
    <mergeCell ref="D1:G1"/>
    <mergeCell ref="D2:G2"/>
    <mergeCell ref="D3:G3"/>
    <mergeCell ref="A4:E4"/>
    <mergeCell ref="A5:F5"/>
  </mergeCells>
  <hyperlinks>
    <hyperlink ref="B100" location="_ftn1" display="_ftn1"/>
    <hyperlink ref="B99" location="_ftn1" display="_ftn1"/>
    <hyperlink ref="B86" location="_ftn1" display="_ftn1"/>
    <hyperlink ref="B20" location="_ftn1" display="_ftn1"/>
    <hyperlink ref="B19" location="_ftn1" display="_ftn1"/>
    <hyperlink ref="B64" location="_ftn1" display="_ftn1"/>
    <hyperlink ref="B104" location="_ftn1" display="_ftn1"/>
    <hyperlink ref="B105" location="_ftn1" display="_ftn1"/>
    <hyperlink ref="B72" location="_ftn1" display="_ftn1"/>
  </hyperlinks>
  <printOptions horizontalCentered="1"/>
  <pageMargins left="0.35433070866141736" right="0.15748031496062992" top="0.59055118110236227" bottom="0.51181102362204722" header="0.51181102362204722" footer="0.51181102362204722"/>
  <pageSetup paperSize="9" scale="87" fitToHeight="0" orientation="portrait" verticalDpi="4294967295" r:id="rId1"/>
  <headerFooter alignWithMargins="0"/>
  <rowBreaks count="1" manualBreakCount="1">
    <brk id="106" max="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99"/>
    <pageSetUpPr fitToPage="1"/>
  </sheetPr>
  <dimension ref="A1:J158"/>
  <sheetViews>
    <sheetView view="pageBreakPreview" topLeftCell="A141" zoomScaleNormal="100" zoomScaleSheetLayoutView="100" workbookViewId="0">
      <selection activeCell="C143" sqref="C143:F148"/>
    </sheetView>
  </sheetViews>
  <sheetFormatPr defaultColWidth="6.85546875" defaultRowHeight="12.75" x14ac:dyDescent="0.2"/>
  <cols>
    <col min="1" max="1" width="10.140625" style="104" customWidth="1"/>
    <col min="2" max="2" width="40.42578125" style="104" customWidth="1"/>
    <col min="3" max="4" width="17.28515625" style="104" customWidth="1"/>
    <col min="5" max="5" width="15.7109375" style="104" customWidth="1"/>
    <col min="6" max="6" width="14.5703125" style="104" customWidth="1"/>
    <col min="7" max="10" width="10.85546875" style="104" bestFit="1" customWidth="1"/>
    <col min="11" max="252" width="7.85546875" style="104" customWidth="1"/>
    <col min="253" max="16384" width="6.85546875" style="104"/>
  </cols>
  <sheetData>
    <row r="1" spans="1:7" ht="15.75" x14ac:dyDescent="0.2">
      <c r="A1" s="598"/>
      <c r="B1" s="598"/>
      <c r="C1" s="598"/>
      <c r="D1" s="754" t="s">
        <v>56</v>
      </c>
      <c r="E1" s="755"/>
      <c r="F1" s="755"/>
      <c r="G1" s="755"/>
    </row>
    <row r="2" spans="1:7" ht="15.75" x14ac:dyDescent="0.2">
      <c r="A2" s="598"/>
      <c r="B2" s="598"/>
      <c r="C2" s="599"/>
      <c r="D2" s="754" t="s">
        <v>1582</v>
      </c>
      <c r="E2" s="756"/>
      <c r="F2" s="756"/>
      <c r="G2" s="756"/>
    </row>
    <row r="3" spans="1:7" ht="6" hidden="1" customHeight="1" x14ac:dyDescent="0.2">
      <c r="A3" s="598"/>
      <c r="B3" s="598"/>
      <c r="C3" s="599"/>
      <c r="D3" s="754"/>
      <c r="E3" s="756"/>
      <c r="F3" s="756"/>
      <c r="G3" s="756"/>
    </row>
    <row r="4" spans="1:7" ht="12.75" customHeight="1" x14ac:dyDescent="0.2">
      <c r="A4" s="747"/>
      <c r="B4" s="747"/>
      <c r="C4" s="747"/>
      <c r="D4" s="747"/>
      <c r="E4" s="747"/>
      <c r="F4" s="598"/>
      <c r="G4" s="598"/>
    </row>
    <row r="5" spans="1:7" ht="20.25" x14ac:dyDescent="0.2">
      <c r="A5" s="747" t="s">
        <v>1625</v>
      </c>
      <c r="B5" s="748"/>
      <c r="C5" s="748"/>
      <c r="D5" s="748"/>
      <c r="E5" s="748"/>
      <c r="F5" s="748"/>
      <c r="G5" s="598"/>
    </row>
    <row r="6" spans="1:7" ht="20.25" x14ac:dyDescent="0.2">
      <c r="A6" s="747" t="s">
        <v>1532</v>
      </c>
      <c r="B6" s="748"/>
      <c r="C6" s="748"/>
      <c r="D6" s="748"/>
      <c r="E6" s="748"/>
      <c r="F6" s="748"/>
      <c r="G6" s="598"/>
    </row>
    <row r="7" spans="1:7" ht="20.25" x14ac:dyDescent="0.2">
      <c r="A7" s="600"/>
      <c r="B7" s="308"/>
      <c r="C7" s="308"/>
      <c r="D7" s="308"/>
      <c r="E7" s="308"/>
      <c r="F7" s="308"/>
      <c r="G7" s="598"/>
    </row>
    <row r="8" spans="1:7" ht="20.25" x14ac:dyDescent="0.2">
      <c r="A8" s="749">
        <v>2256400000</v>
      </c>
      <c r="B8" s="750"/>
      <c r="C8" s="750"/>
      <c r="D8" s="750"/>
      <c r="E8" s="750"/>
      <c r="F8" s="750"/>
      <c r="G8" s="598"/>
    </row>
    <row r="9" spans="1:7" ht="15.75" x14ac:dyDescent="0.2">
      <c r="A9" s="751" t="s">
        <v>490</v>
      </c>
      <c r="B9" s="752"/>
      <c r="C9" s="752"/>
      <c r="D9" s="752"/>
      <c r="E9" s="752"/>
      <c r="F9" s="752"/>
      <c r="G9" s="598"/>
    </row>
    <row r="10" spans="1:7" ht="20.25" x14ac:dyDescent="0.2">
      <c r="A10" s="600"/>
      <c r="B10" s="476"/>
      <c r="C10" s="476"/>
      <c r="D10" s="476"/>
      <c r="E10" s="476"/>
      <c r="F10" s="476"/>
      <c r="G10" s="598"/>
    </row>
    <row r="11" spans="1:7" ht="13.5" thickBot="1" x14ac:dyDescent="0.25">
      <c r="A11" s="598"/>
      <c r="B11" s="601"/>
      <c r="C11" s="601"/>
      <c r="D11" s="601"/>
      <c r="E11" s="601"/>
      <c r="F11" s="602" t="s">
        <v>404</v>
      </c>
      <c r="G11" s="598"/>
    </row>
    <row r="12" spans="1:7" ht="14.25" thickTop="1" thickBot="1" x14ac:dyDescent="0.25">
      <c r="A12" s="753" t="s">
        <v>57</v>
      </c>
      <c r="B12" s="753" t="s">
        <v>1533</v>
      </c>
      <c r="C12" s="753" t="s">
        <v>383</v>
      </c>
      <c r="D12" s="753" t="s">
        <v>12</v>
      </c>
      <c r="E12" s="753" t="s">
        <v>52</v>
      </c>
      <c r="F12" s="753"/>
      <c r="G12" s="603"/>
    </row>
    <row r="13" spans="1:7" ht="39.75" thickTop="1" thickBot="1" x14ac:dyDescent="0.3">
      <c r="A13" s="753"/>
      <c r="B13" s="753"/>
      <c r="C13" s="753"/>
      <c r="D13" s="753"/>
      <c r="E13" s="604" t="s">
        <v>384</v>
      </c>
      <c r="F13" s="604" t="s">
        <v>426</v>
      </c>
      <c r="G13" s="605"/>
    </row>
    <row r="14" spans="1:7" ht="16.5" thickTop="1" thickBot="1" x14ac:dyDescent="0.3">
      <c r="A14" s="604">
        <v>1</v>
      </c>
      <c r="B14" s="604">
        <v>2</v>
      </c>
      <c r="C14" s="604">
        <v>3</v>
      </c>
      <c r="D14" s="604">
        <v>4</v>
      </c>
      <c r="E14" s="604">
        <v>5</v>
      </c>
      <c r="F14" s="604">
        <v>6</v>
      </c>
      <c r="G14" s="605"/>
    </row>
    <row r="15" spans="1:7" ht="25.5" customHeight="1" thickTop="1" thickBot="1" x14ac:dyDescent="0.25">
      <c r="A15" s="712">
        <v>10000000</v>
      </c>
      <c r="B15" s="712" t="s">
        <v>58</v>
      </c>
      <c r="C15" s="713">
        <f t="shared" ref="C15:C66" si="0">SUM(D15,E15)</f>
        <v>144452665</v>
      </c>
      <c r="D15" s="713">
        <f>SUM(D16,D32,D40,D61,D26)</f>
        <v>144452665</v>
      </c>
      <c r="E15" s="713">
        <f>SUM(E16,E32,E40,E61,E26)</f>
        <v>0</v>
      </c>
      <c r="F15" s="713">
        <f>SUM(F16,F32,F40,F61,F26)</f>
        <v>0</v>
      </c>
      <c r="G15" s="106"/>
    </row>
    <row r="16" spans="1:7" ht="31.7" customHeight="1" thickTop="1" thickBot="1" x14ac:dyDescent="0.25">
      <c r="A16" s="604">
        <v>11000000</v>
      </c>
      <c r="B16" s="604" t="s">
        <v>59</v>
      </c>
      <c r="C16" s="606">
        <f>'d1'!C16-d1П!C16</f>
        <v>92552665</v>
      </c>
      <c r="D16" s="606">
        <f>'d1'!D16-d1П!D16</f>
        <v>92552665</v>
      </c>
      <c r="E16" s="606">
        <f>'d1'!E16-d1П!E16</f>
        <v>0</v>
      </c>
      <c r="F16" s="606">
        <f>'d1'!F16-d1П!F16</f>
        <v>0</v>
      </c>
      <c r="G16" s="107"/>
    </row>
    <row r="17" spans="1:7" ht="24.75" customHeight="1" thickTop="1" thickBot="1" x14ac:dyDescent="0.25">
      <c r="A17" s="607">
        <v>11010000</v>
      </c>
      <c r="B17" s="608" t="s">
        <v>60</v>
      </c>
      <c r="C17" s="606">
        <f>'d1'!C17-d1П!C17</f>
        <v>92552665</v>
      </c>
      <c r="D17" s="606">
        <f>'d1'!D17-d1П!D17</f>
        <v>92552665</v>
      </c>
      <c r="E17" s="606">
        <f>'d1'!E17-d1П!E17</f>
        <v>0</v>
      </c>
      <c r="F17" s="606">
        <f>'d1'!F17-d1П!F17</f>
        <v>0</v>
      </c>
      <c r="G17" s="107"/>
    </row>
    <row r="18" spans="1:7" ht="39.75" thickTop="1" thickBot="1" x14ac:dyDescent="0.25">
      <c r="A18" s="610">
        <v>11010100</v>
      </c>
      <c r="B18" s="611" t="s">
        <v>61</v>
      </c>
      <c r="C18" s="606">
        <f>'d1'!C18-d1П!C18</f>
        <v>87552665</v>
      </c>
      <c r="D18" s="606">
        <f>'d1'!D18-d1П!D18</f>
        <v>87552665</v>
      </c>
      <c r="E18" s="606">
        <f>'d1'!E18-d1П!E18</f>
        <v>0</v>
      </c>
      <c r="F18" s="606">
        <f>'d1'!F18-d1П!F18</f>
        <v>0</v>
      </c>
      <c r="G18" s="107"/>
    </row>
    <row r="19" spans="1:7" ht="65.25" hidden="1" thickTop="1" thickBot="1" x14ac:dyDescent="0.25">
      <c r="A19" s="373">
        <v>11010200</v>
      </c>
      <c r="B19" s="374" t="s">
        <v>62</v>
      </c>
      <c r="C19" s="606">
        <f>'d1'!C19-d1П!C19</f>
        <v>0</v>
      </c>
      <c r="D19" s="606">
        <f>'d1'!D19-d1П!D19</f>
        <v>0</v>
      </c>
      <c r="E19" s="606">
        <f>'d1'!E19-d1П!E19</f>
        <v>0</v>
      </c>
      <c r="F19" s="606">
        <f>'d1'!F19-d1П!F19</f>
        <v>0</v>
      </c>
      <c r="G19" s="107"/>
    </row>
    <row r="20" spans="1:7" ht="39.75" thickTop="1" thickBot="1" x14ac:dyDescent="0.25">
      <c r="A20" s="610">
        <v>11010400</v>
      </c>
      <c r="B20" s="611" t="s">
        <v>63</v>
      </c>
      <c r="C20" s="606">
        <f>'d1'!C20-d1П!C20</f>
        <v>0</v>
      </c>
      <c r="D20" s="606">
        <f>'d1'!D20-d1П!D20</f>
        <v>0</v>
      </c>
      <c r="E20" s="606">
        <f>'d1'!E20-d1П!E20</f>
        <v>0</v>
      </c>
      <c r="F20" s="606">
        <f>'d1'!F20-d1П!F20</f>
        <v>0</v>
      </c>
      <c r="G20" s="107"/>
    </row>
    <row r="21" spans="1:7" ht="39.75" thickTop="1" thickBot="1" x14ac:dyDescent="0.3">
      <c r="A21" s="610">
        <v>11010500</v>
      </c>
      <c r="B21" s="611" t="s">
        <v>64</v>
      </c>
      <c r="C21" s="606">
        <f>'d1'!C21-d1П!C21</f>
        <v>5000000</v>
      </c>
      <c r="D21" s="606">
        <f>'d1'!D21-d1П!D21</f>
        <v>5000000</v>
      </c>
      <c r="E21" s="606">
        <f>'d1'!E21-d1П!E21</f>
        <v>0</v>
      </c>
      <c r="F21" s="606">
        <f>'d1'!F21-d1П!F21</f>
        <v>0</v>
      </c>
      <c r="G21" s="105"/>
    </row>
    <row r="22" spans="1:7" ht="27" thickTop="1" thickBot="1" x14ac:dyDescent="0.3">
      <c r="A22" s="610">
        <v>11011200</v>
      </c>
      <c r="B22" s="611" t="s">
        <v>1534</v>
      </c>
      <c r="C22" s="606">
        <f>'d1'!C22-d1П!C22</f>
        <v>0</v>
      </c>
      <c r="D22" s="606">
        <f>'d1'!D22-d1П!D22</f>
        <v>0</v>
      </c>
      <c r="E22" s="606">
        <f>'d1'!E22-d1П!E22</f>
        <v>0</v>
      </c>
      <c r="F22" s="606">
        <f>'d1'!F22-d1П!F22</f>
        <v>0</v>
      </c>
      <c r="G22" s="105"/>
    </row>
    <row r="23" spans="1:7" ht="39.75" thickTop="1" thickBot="1" x14ac:dyDescent="0.3">
      <c r="A23" s="610">
        <v>11011300</v>
      </c>
      <c r="B23" s="611" t="s">
        <v>1535</v>
      </c>
      <c r="C23" s="606">
        <f>'d1'!C23-d1П!C23</f>
        <v>0</v>
      </c>
      <c r="D23" s="606">
        <f>'d1'!D23-d1П!D23</f>
        <v>0</v>
      </c>
      <c r="E23" s="606">
        <f>'d1'!E23-d1П!E23</f>
        <v>0</v>
      </c>
      <c r="F23" s="606">
        <f>'d1'!F23-d1П!F23</f>
        <v>0</v>
      </c>
      <c r="G23" s="105"/>
    </row>
    <row r="24" spans="1:7" ht="28.5" customHeight="1" thickTop="1" thickBot="1" x14ac:dyDescent="0.25">
      <c r="A24" s="607">
        <v>11020000</v>
      </c>
      <c r="B24" s="608" t="s">
        <v>65</v>
      </c>
      <c r="C24" s="606">
        <f>'d1'!C24-d1П!C24</f>
        <v>0</v>
      </c>
      <c r="D24" s="606">
        <f>'d1'!D24-d1П!D24</f>
        <v>0</v>
      </c>
      <c r="E24" s="606">
        <f>'d1'!E24-d1П!E24</f>
        <v>0</v>
      </c>
      <c r="F24" s="606">
        <f>'d1'!F24-d1П!F24</f>
        <v>0</v>
      </c>
      <c r="G24" s="106"/>
    </row>
    <row r="25" spans="1:7" ht="27" thickTop="1" thickBot="1" x14ac:dyDescent="0.3">
      <c r="A25" s="610">
        <v>11020200</v>
      </c>
      <c r="B25" s="613" t="s">
        <v>66</v>
      </c>
      <c r="C25" s="606">
        <f>'d1'!C25-d1П!C25</f>
        <v>0</v>
      </c>
      <c r="D25" s="606">
        <f>'d1'!D25-d1П!D25</f>
        <v>0</v>
      </c>
      <c r="E25" s="606">
        <f>'d1'!E25-d1П!E25</f>
        <v>0</v>
      </c>
      <c r="F25" s="606">
        <f>'d1'!F25-d1П!F25</f>
        <v>0</v>
      </c>
      <c r="G25" s="105"/>
    </row>
    <row r="26" spans="1:7" ht="27" thickTop="1" thickBot="1" x14ac:dyDescent="0.3">
      <c r="A26" s="604">
        <v>13000000</v>
      </c>
      <c r="B26" s="614" t="s">
        <v>526</v>
      </c>
      <c r="C26" s="606">
        <f>'d1'!C26-d1П!C26</f>
        <v>0</v>
      </c>
      <c r="D26" s="606">
        <f>'d1'!D26-d1П!D26</f>
        <v>0</v>
      </c>
      <c r="E26" s="606">
        <f>'d1'!E26-d1П!E26</f>
        <v>0</v>
      </c>
      <c r="F26" s="606">
        <f>'d1'!F26-d1П!F26</f>
        <v>0</v>
      </c>
      <c r="G26" s="105"/>
    </row>
    <row r="27" spans="1:7" ht="28.5" thickTop="1" thickBot="1" x14ac:dyDescent="0.3">
      <c r="A27" s="607">
        <v>13010000</v>
      </c>
      <c r="B27" s="615" t="s">
        <v>527</v>
      </c>
      <c r="C27" s="606">
        <f>'d1'!C27-d1П!C27</f>
        <v>0</v>
      </c>
      <c r="D27" s="606">
        <f>'d1'!D27-d1П!D27</f>
        <v>0</v>
      </c>
      <c r="E27" s="606">
        <f>'d1'!E27-d1П!E27</f>
        <v>0</v>
      </c>
      <c r="F27" s="606">
        <f>'d1'!F27-d1П!F27</f>
        <v>0</v>
      </c>
      <c r="G27" s="105"/>
    </row>
    <row r="28" spans="1:7" ht="52.5" thickTop="1" thickBot="1" x14ac:dyDescent="0.3">
      <c r="A28" s="610">
        <v>13010100</v>
      </c>
      <c r="B28" s="616" t="s">
        <v>1536</v>
      </c>
      <c r="C28" s="606">
        <f>'d1'!C28-d1П!C28</f>
        <v>0</v>
      </c>
      <c r="D28" s="606">
        <f>'d1'!D28-d1П!D28</f>
        <v>0</v>
      </c>
      <c r="E28" s="606">
        <f>'d1'!E28-d1П!E28</f>
        <v>0</v>
      </c>
      <c r="F28" s="606">
        <f>'d1'!F28-d1П!F28</f>
        <v>0</v>
      </c>
      <c r="G28" s="105"/>
    </row>
    <row r="29" spans="1:7" ht="65.25" thickTop="1" thickBot="1" x14ac:dyDescent="0.3">
      <c r="A29" s="610">
        <v>13010200</v>
      </c>
      <c r="B29" s="616" t="s">
        <v>528</v>
      </c>
      <c r="C29" s="606">
        <f>'d1'!C29-d1П!C29</f>
        <v>0</v>
      </c>
      <c r="D29" s="606">
        <f>'d1'!D29-d1П!D29</f>
        <v>0</v>
      </c>
      <c r="E29" s="606">
        <f>'d1'!E29-d1П!E29</f>
        <v>0</v>
      </c>
      <c r="F29" s="606">
        <f>'d1'!F29-d1П!F29</f>
        <v>0</v>
      </c>
      <c r="G29" s="105"/>
    </row>
    <row r="30" spans="1:7" ht="16.5" thickTop="1" thickBot="1" x14ac:dyDescent="0.3">
      <c r="A30" s="607">
        <v>13030000</v>
      </c>
      <c r="B30" s="617" t="s">
        <v>529</v>
      </c>
      <c r="C30" s="606">
        <f>'d1'!C30-d1П!C30</f>
        <v>0</v>
      </c>
      <c r="D30" s="606">
        <f>'d1'!D30-d1П!D30</f>
        <v>0</v>
      </c>
      <c r="E30" s="606">
        <f>'d1'!E30-d1П!E30</f>
        <v>0</v>
      </c>
      <c r="F30" s="606">
        <f>'d1'!F30-d1П!F30</f>
        <v>0</v>
      </c>
      <c r="G30" s="105"/>
    </row>
    <row r="31" spans="1:7" ht="39.75" thickTop="1" thickBot="1" x14ac:dyDescent="0.3">
      <c r="A31" s="610">
        <v>13030100</v>
      </c>
      <c r="B31" s="616" t="s">
        <v>530</v>
      </c>
      <c r="C31" s="606">
        <f>'d1'!C31-d1П!C31</f>
        <v>0</v>
      </c>
      <c r="D31" s="606">
        <f>'d1'!D31-d1П!D31</f>
        <v>0</v>
      </c>
      <c r="E31" s="606">
        <f>'d1'!E31-d1П!E31</f>
        <v>0</v>
      </c>
      <c r="F31" s="606">
        <f>'d1'!F31-d1П!F31</f>
        <v>0</v>
      </c>
      <c r="G31" s="105"/>
    </row>
    <row r="32" spans="1:7" ht="26.45" customHeight="1" thickTop="1" thickBot="1" x14ac:dyDescent="0.3">
      <c r="A32" s="604">
        <v>14000000</v>
      </c>
      <c r="B32" s="614" t="s">
        <v>531</v>
      </c>
      <c r="C32" s="606">
        <f>'d1'!C32-d1П!C32</f>
        <v>0</v>
      </c>
      <c r="D32" s="606">
        <f>'d1'!D32-d1П!D32</f>
        <v>0</v>
      </c>
      <c r="E32" s="606">
        <f>'d1'!E32-d1П!E32</f>
        <v>0</v>
      </c>
      <c r="F32" s="606">
        <f>'d1'!F32-d1П!F32</f>
        <v>0</v>
      </c>
      <c r="G32" s="105"/>
    </row>
    <row r="33" spans="1:7" ht="30" customHeight="1" thickTop="1" thickBot="1" x14ac:dyDescent="0.3">
      <c r="A33" s="607">
        <v>14020000</v>
      </c>
      <c r="B33" s="615" t="s">
        <v>622</v>
      </c>
      <c r="C33" s="606">
        <f>'d1'!C33-d1П!C33</f>
        <v>0</v>
      </c>
      <c r="D33" s="606">
        <f>'d1'!D33-d1П!D33</f>
        <v>0</v>
      </c>
      <c r="E33" s="606">
        <f>'d1'!E33-d1П!E33</f>
        <v>0</v>
      </c>
      <c r="F33" s="606">
        <f>'d1'!F33-d1П!F33</f>
        <v>0</v>
      </c>
      <c r="G33" s="105"/>
    </row>
    <row r="34" spans="1:7" ht="16.5" thickTop="1" thickBot="1" x14ac:dyDescent="0.3">
      <c r="A34" s="610">
        <v>14021900</v>
      </c>
      <c r="B34" s="613" t="s">
        <v>621</v>
      </c>
      <c r="C34" s="606">
        <f>'d1'!C34-d1П!C34</f>
        <v>0</v>
      </c>
      <c r="D34" s="606">
        <f>'d1'!D34-d1П!D34</f>
        <v>0</v>
      </c>
      <c r="E34" s="606">
        <f>'d1'!E34-d1П!E34</f>
        <v>0</v>
      </c>
      <c r="F34" s="606">
        <f>'d1'!F34-d1П!F34</f>
        <v>0</v>
      </c>
      <c r="G34" s="105"/>
    </row>
    <row r="35" spans="1:7" ht="42" thickTop="1" thickBot="1" x14ac:dyDescent="0.3">
      <c r="A35" s="607">
        <v>14030000</v>
      </c>
      <c r="B35" s="615" t="s">
        <v>623</v>
      </c>
      <c r="C35" s="606">
        <f>'d1'!C35-d1П!C35</f>
        <v>0</v>
      </c>
      <c r="D35" s="606">
        <f>'d1'!D35-d1П!D35</f>
        <v>0</v>
      </c>
      <c r="E35" s="606">
        <f>'d1'!E35-d1П!E35</f>
        <v>0</v>
      </c>
      <c r="F35" s="606">
        <f>'d1'!F35-d1П!F35</f>
        <v>0</v>
      </c>
      <c r="G35" s="105"/>
    </row>
    <row r="36" spans="1:7" ht="16.5" thickTop="1" thickBot="1" x14ac:dyDescent="0.3">
      <c r="A36" s="610">
        <v>14031900</v>
      </c>
      <c r="B36" s="613" t="s">
        <v>621</v>
      </c>
      <c r="C36" s="606">
        <f>'d1'!C36-d1П!C36</f>
        <v>0</v>
      </c>
      <c r="D36" s="606">
        <f>'d1'!D36-d1П!D36</f>
        <v>0</v>
      </c>
      <c r="E36" s="606">
        <f>'d1'!E36-d1П!E36</f>
        <v>0</v>
      </c>
      <c r="F36" s="606">
        <f>'d1'!F36-d1П!F36</f>
        <v>0</v>
      </c>
      <c r="G36" s="105"/>
    </row>
    <row r="37" spans="1:7" ht="42" thickTop="1" thickBot="1" x14ac:dyDescent="0.3">
      <c r="A37" s="607">
        <v>14040000</v>
      </c>
      <c r="B37" s="615" t="s">
        <v>1209</v>
      </c>
      <c r="C37" s="606">
        <f>'d1'!C37-d1П!C37</f>
        <v>0</v>
      </c>
      <c r="D37" s="606">
        <f>'d1'!D37-d1П!D37</f>
        <v>0</v>
      </c>
      <c r="E37" s="606">
        <f>'d1'!E37-d1П!E37</f>
        <v>0</v>
      </c>
      <c r="F37" s="606">
        <f>'d1'!F37-d1П!F37</f>
        <v>0</v>
      </c>
      <c r="G37" s="105"/>
    </row>
    <row r="38" spans="1:7" ht="103.5" thickTop="1" thickBot="1" x14ac:dyDescent="0.25">
      <c r="A38" s="610">
        <v>14040100</v>
      </c>
      <c r="B38" s="613" t="s">
        <v>1229</v>
      </c>
      <c r="C38" s="606">
        <f>'d1'!C38-d1П!C38</f>
        <v>0</v>
      </c>
      <c r="D38" s="606">
        <f>'d1'!D38-d1П!D38</f>
        <v>0</v>
      </c>
      <c r="E38" s="606">
        <f>'d1'!E38-d1П!E38</f>
        <v>0</v>
      </c>
      <c r="F38" s="606">
        <f>'d1'!F38-d1П!F38</f>
        <v>0</v>
      </c>
      <c r="G38" s="108"/>
    </row>
    <row r="39" spans="1:7" ht="65.25" thickTop="1" thickBot="1" x14ac:dyDescent="0.25">
      <c r="A39" s="610">
        <v>14040200</v>
      </c>
      <c r="B39" s="613" t="s">
        <v>1208</v>
      </c>
      <c r="C39" s="606">
        <f>'d1'!C39-d1П!C39</f>
        <v>0</v>
      </c>
      <c r="D39" s="606">
        <f>'d1'!D39-d1П!D39</f>
        <v>0</v>
      </c>
      <c r="E39" s="606">
        <f>'d1'!E39-d1П!E39</f>
        <v>0</v>
      </c>
      <c r="F39" s="606">
        <f>'d1'!F39-d1П!F39</f>
        <v>0</v>
      </c>
      <c r="G39" s="108"/>
    </row>
    <row r="40" spans="1:7" ht="29.25" customHeight="1" thickTop="1" thickBot="1" x14ac:dyDescent="0.3">
      <c r="A40" s="604">
        <v>18000000</v>
      </c>
      <c r="B40" s="604" t="s">
        <v>67</v>
      </c>
      <c r="C40" s="606">
        <f>'d1'!C40-d1П!C40</f>
        <v>51900000</v>
      </c>
      <c r="D40" s="606">
        <f>'d1'!D40-d1П!D40</f>
        <v>51900000</v>
      </c>
      <c r="E40" s="606">
        <f>'d1'!E40-d1П!E40</f>
        <v>0</v>
      </c>
      <c r="F40" s="606">
        <f>'d1'!F40-d1П!F40</f>
        <v>0</v>
      </c>
      <c r="G40" s="105"/>
    </row>
    <row r="41" spans="1:7" ht="16.5" thickTop="1" thickBot="1" x14ac:dyDescent="0.3">
      <c r="A41" s="607">
        <v>18010000</v>
      </c>
      <c r="B41" s="615" t="s">
        <v>68</v>
      </c>
      <c r="C41" s="606">
        <f>'d1'!C41-d1П!C41</f>
        <v>16900000</v>
      </c>
      <c r="D41" s="606">
        <f>'d1'!D41-d1П!D41</f>
        <v>16900000</v>
      </c>
      <c r="E41" s="606">
        <f>'d1'!E41-d1П!E41</f>
        <v>0</v>
      </c>
      <c r="F41" s="606">
        <f>'d1'!F41-d1П!F41</f>
        <v>0</v>
      </c>
      <c r="G41" s="105"/>
    </row>
    <row r="42" spans="1:7" ht="52.5" thickTop="1" thickBot="1" x14ac:dyDescent="0.3">
      <c r="A42" s="610">
        <v>18010100</v>
      </c>
      <c r="B42" s="613" t="s">
        <v>69</v>
      </c>
      <c r="C42" s="606">
        <f>'d1'!C42-d1П!C42</f>
        <v>0</v>
      </c>
      <c r="D42" s="606">
        <f>'d1'!D42-d1П!D42</f>
        <v>0</v>
      </c>
      <c r="E42" s="606">
        <f>'d1'!E42-d1П!E42</f>
        <v>0</v>
      </c>
      <c r="F42" s="606">
        <f>'d1'!F42-d1П!F42</f>
        <v>0</v>
      </c>
      <c r="G42" s="105"/>
    </row>
    <row r="43" spans="1:7" ht="52.5" thickTop="1" thickBot="1" x14ac:dyDescent="0.3">
      <c r="A43" s="610">
        <v>18010200</v>
      </c>
      <c r="B43" s="613" t="s">
        <v>70</v>
      </c>
      <c r="C43" s="606">
        <f>'d1'!C43-d1П!C43</f>
        <v>3900000</v>
      </c>
      <c r="D43" s="606">
        <f>'d1'!D43-d1П!D43</f>
        <v>3900000</v>
      </c>
      <c r="E43" s="606">
        <f>'d1'!E43-d1П!E43</f>
        <v>0</v>
      </c>
      <c r="F43" s="606">
        <f>'d1'!F43-d1П!F43</f>
        <v>0</v>
      </c>
      <c r="G43" s="105"/>
    </row>
    <row r="44" spans="1:7" ht="52.5" thickTop="1" thickBot="1" x14ac:dyDescent="0.3">
      <c r="A44" s="610">
        <v>18010300</v>
      </c>
      <c r="B44" s="613" t="s">
        <v>71</v>
      </c>
      <c r="C44" s="606">
        <f>'d1'!C44-d1П!C44</f>
        <v>7500000</v>
      </c>
      <c r="D44" s="606">
        <f>'d1'!D44-d1П!D44</f>
        <v>7500000</v>
      </c>
      <c r="E44" s="606">
        <f>'d1'!E44-d1П!E44</f>
        <v>0</v>
      </c>
      <c r="F44" s="606">
        <f>'d1'!F44-d1П!F44</f>
        <v>0</v>
      </c>
      <c r="G44" s="105"/>
    </row>
    <row r="45" spans="1:7" ht="52.5" thickTop="1" thickBot="1" x14ac:dyDescent="0.3">
      <c r="A45" s="610">
        <v>18010400</v>
      </c>
      <c r="B45" s="613" t="s">
        <v>72</v>
      </c>
      <c r="C45" s="606">
        <f>'d1'!C45-d1П!C45</f>
        <v>5500000</v>
      </c>
      <c r="D45" s="606">
        <f>'d1'!D45-d1П!D45</f>
        <v>5500000</v>
      </c>
      <c r="E45" s="606">
        <f>'d1'!E45-d1П!E45</f>
        <v>0</v>
      </c>
      <c r="F45" s="606">
        <f>'d1'!F45-d1П!F45</f>
        <v>0</v>
      </c>
      <c r="G45" s="105"/>
    </row>
    <row r="46" spans="1:7" ht="16.5" thickTop="1" thickBot="1" x14ac:dyDescent="0.3">
      <c r="A46" s="610">
        <v>18010500</v>
      </c>
      <c r="B46" s="613" t="s">
        <v>73</v>
      </c>
      <c r="C46" s="606">
        <f>'d1'!C46-d1П!C46</f>
        <v>0</v>
      </c>
      <c r="D46" s="606">
        <f>'d1'!D46-d1П!D46</f>
        <v>0</v>
      </c>
      <c r="E46" s="606">
        <f>'d1'!E46-d1П!E46</f>
        <v>0</v>
      </c>
      <c r="F46" s="606">
        <f>'d1'!F46-d1П!F46</f>
        <v>0</v>
      </c>
      <c r="G46" s="105"/>
    </row>
    <row r="47" spans="1:7" ht="16.5" thickTop="1" thickBot="1" x14ac:dyDescent="0.3">
      <c r="A47" s="610">
        <v>18010600</v>
      </c>
      <c r="B47" s="613" t="s">
        <v>74</v>
      </c>
      <c r="C47" s="606">
        <f>'d1'!C47-d1П!C47</f>
        <v>0</v>
      </c>
      <c r="D47" s="606">
        <f>'d1'!D47-d1П!D47</f>
        <v>0</v>
      </c>
      <c r="E47" s="606">
        <f>'d1'!E47-d1П!E47</f>
        <v>0</v>
      </c>
      <c r="F47" s="606">
        <f>'d1'!F47-d1П!F47</f>
        <v>0</v>
      </c>
      <c r="G47" s="105"/>
    </row>
    <row r="48" spans="1:7" ht="16.5" thickTop="1" thickBot="1" x14ac:dyDescent="0.3">
      <c r="A48" s="610">
        <v>18010700</v>
      </c>
      <c r="B48" s="613" t="s">
        <v>75</v>
      </c>
      <c r="C48" s="606">
        <f>'d1'!C48-d1П!C48</f>
        <v>0</v>
      </c>
      <c r="D48" s="606">
        <f>'d1'!D48-d1П!D48</f>
        <v>0</v>
      </c>
      <c r="E48" s="606">
        <f>'d1'!E48-d1П!E48</f>
        <v>0</v>
      </c>
      <c r="F48" s="606">
        <f>'d1'!F48-d1П!F48</f>
        <v>0</v>
      </c>
      <c r="G48" s="105"/>
    </row>
    <row r="49" spans="1:7" ht="16.5" thickTop="1" thickBot="1" x14ac:dyDescent="0.3">
      <c r="A49" s="610">
        <v>18010900</v>
      </c>
      <c r="B49" s="613" t="s">
        <v>76</v>
      </c>
      <c r="C49" s="606">
        <f>'d1'!C49-d1П!C49</f>
        <v>0</v>
      </c>
      <c r="D49" s="606">
        <f>'d1'!D49-d1П!D49</f>
        <v>0</v>
      </c>
      <c r="E49" s="606">
        <f>'d1'!E49-d1П!E49</f>
        <v>0</v>
      </c>
      <c r="F49" s="606">
        <f>'d1'!F49-d1П!F49</f>
        <v>0</v>
      </c>
      <c r="G49" s="105"/>
    </row>
    <row r="50" spans="1:7" ht="15.75" thickTop="1" thickBot="1" x14ac:dyDescent="0.25">
      <c r="A50" s="610">
        <v>18011000</v>
      </c>
      <c r="B50" s="613" t="s">
        <v>77</v>
      </c>
      <c r="C50" s="606">
        <f>'d1'!C50-d1П!C50</f>
        <v>0</v>
      </c>
      <c r="D50" s="606">
        <f>'d1'!D50-d1П!D50</f>
        <v>0</v>
      </c>
      <c r="E50" s="606">
        <f>'d1'!E50-d1П!E50</f>
        <v>0</v>
      </c>
      <c r="F50" s="606">
        <f>'d1'!F50-d1П!F50</f>
        <v>0</v>
      </c>
      <c r="G50" s="106"/>
    </row>
    <row r="51" spans="1:7" ht="16.5" thickTop="1" thickBot="1" x14ac:dyDescent="0.3">
      <c r="A51" s="610">
        <v>18011100</v>
      </c>
      <c r="B51" s="613" t="s">
        <v>78</v>
      </c>
      <c r="C51" s="606">
        <f>'d1'!C51-d1П!C51</f>
        <v>0</v>
      </c>
      <c r="D51" s="606">
        <f>'d1'!D51-d1П!D51</f>
        <v>0</v>
      </c>
      <c r="E51" s="606">
        <f>'d1'!E51-d1П!E51</f>
        <v>0</v>
      </c>
      <c r="F51" s="606">
        <f>'d1'!F51-d1П!F51</f>
        <v>0</v>
      </c>
      <c r="G51" s="105"/>
    </row>
    <row r="52" spans="1:7" ht="28.5" thickTop="1" thickBot="1" x14ac:dyDescent="0.3">
      <c r="A52" s="607">
        <v>18020000</v>
      </c>
      <c r="B52" s="615" t="s">
        <v>1157</v>
      </c>
      <c r="C52" s="606">
        <f>'d1'!C52-d1П!C52</f>
        <v>0</v>
      </c>
      <c r="D52" s="606">
        <f>'d1'!D52-d1П!D52</f>
        <v>0</v>
      </c>
      <c r="E52" s="606">
        <f>'d1'!E52-d1П!E52</f>
        <v>0</v>
      </c>
      <c r="F52" s="606">
        <f>'d1'!F52-d1П!F52</f>
        <v>0</v>
      </c>
      <c r="G52" s="105"/>
    </row>
    <row r="53" spans="1:7" ht="27" thickTop="1" thickBot="1" x14ac:dyDescent="0.3">
      <c r="A53" s="610">
        <v>180201000</v>
      </c>
      <c r="B53" s="613" t="s">
        <v>1158</v>
      </c>
      <c r="C53" s="606">
        <f>'d1'!C53-d1П!C53</f>
        <v>0</v>
      </c>
      <c r="D53" s="606">
        <f>'d1'!D53-d1П!D53</f>
        <v>0</v>
      </c>
      <c r="E53" s="606">
        <f>'d1'!E53-d1П!E53</f>
        <v>0</v>
      </c>
      <c r="F53" s="606">
        <f>'d1'!F53-d1П!F53</f>
        <v>0</v>
      </c>
      <c r="G53" s="105"/>
    </row>
    <row r="54" spans="1:7" ht="16.5" thickTop="1" thickBot="1" x14ac:dyDescent="0.3">
      <c r="A54" s="607">
        <v>18030000</v>
      </c>
      <c r="B54" s="615" t="s">
        <v>79</v>
      </c>
      <c r="C54" s="606">
        <f>'d1'!C54-d1П!C54</f>
        <v>0</v>
      </c>
      <c r="D54" s="606">
        <f>'d1'!D54-d1П!D54</f>
        <v>0</v>
      </c>
      <c r="E54" s="606">
        <f>'d1'!E54-d1П!E54</f>
        <v>0</v>
      </c>
      <c r="F54" s="606">
        <f>'d1'!F54-d1П!F54</f>
        <v>0</v>
      </c>
      <c r="G54" s="105"/>
    </row>
    <row r="55" spans="1:7" ht="27" thickTop="1" thickBot="1" x14ac:dyDescent="0.3">
      <c r="A55" s="610">
        <v>18030100</v>
      </c>
      <c r="B55" s="613" t="s">
        <v>80</v>
      </c>
      <c r="C55" s="606">
        <f>'d1'!C55-d1П!C55</f>
        <v>0</v>
      </c>
      <c r="D55" s="606">
        <f>'d1'!D55-d1П!D55</f>
        <v>0</v>
      </c>
      <c r="E55" s="606">
        <f>'d1'!E55-d1П!E55</f>
        <v>0</v>
      </c>
      <c r="F55" s="606">
        <f>'d1'!F55-d1П!F55</f>
        <v>0</v>
      </c>
      <c r="G55" s="105"/>
    </row>
    <row r="56" spans="1:7" ht="27" thickTop="1" thickBot="1" x14ac:dyDescent="0.3">
      <c r="A56" s="610">
        <v>18030200</v>
      </c>
      <c r="B56" s="613" t="s">
        <v>81</v>
      </c>
      <c r="C56" s="606">
        <f>'d1'!C56-d1П!C56</f>
        <v>0</v>
      </c>
      <c r="D56" s="606">
        <f>'d1'!D56-d1П!D56</f>
        <v>0</v>
      </c>
      <c r="E56" s="606">
        <f>'d1'!E56-d1П!E56</f>
        <v>0</v>
      </c>
      <c r="F56" s="606">
        <f>'d1'!F56-d1П!F56</f>
        <v>0</v>
      </c>
      <c r="G56" s="105"/>
    </row>
    <row r="57" spans="1:7" ht="16.5" thickTop="1" thickBot="1" x14ac:dyDescent="0.3">
      <c r="A57" s="607">
        <v>18050000</v>
      </c>
      <c r="B57" s="615" t="s">
        <v>82</v>
      </c>
      <c r="C57" s="606">
        <f>'d1'!C57-d1П!C57</f>
        <v>35000000</v>
      </c>
      <c r="D57" s="606">
        <f>'d1'!D57-d1П!D57</f>
        <v>35000000</v>
      </c>
      <c r="E57" s="606">
        <f>'d1'!E57-d1П!E57</f>
        <v>0</v>
      </c>
      <c r="F57" s="606">
        <f>'d1'!F57-d1П!F57</f>
        <v>0</v>
      </c>
      <c r="G57" s="105"/>
    </row>
    <row r="58" spans="1:7" ht="16.5" thickTop="1" thickBot="1" x14ac:dyDescent="0.3">
      <c r="A58" s="610">
        <v>18050300</v>
      </c>
      <c r="B58" s="611" t="s">
        <v>1039</v>
      </c>
      <c r="C58" s="606">
        <f>'d1'!C58-d1П!C58</f>
        <v>0</v>
      </c>
      <c r="D58" s="606">
        <f>'d1'!D58-d1П!D58</f>
        <v>0</v>
      </c>
      <c r="E58" s="606">
        <f>'d1'!E58-d1П!E58</f>
        <v>0</v>
      </c>
      <c r="F58" s="606">
        <f>'d1'!F58-d1П!F58</f>
        <v>0</v>
      </c>
      <c r="G58" s="105"/>
    </row>
    <row r="59" spans="1:7" ht="15.75" thickTop="1" thickBot="1" x14ac:dyDescent="0.25">
      <c r="A59" s="610">
        <v>18050400</v>
      </c>
      <c r="B59" s="613" t="s">
        <v>83</v>
      </c>
      <c r="C59" s="606">
        <f>'d1'!C59-d1П!C59</f>
        <v>35000000</v>
      </c>
      <c r="D59" s="606">
        <f>'d1'!D59-d1П!D59</f>
        <v>35000000</v>
      </c>
      <c r="E59" s="606">
        <f>'d1'!E59-d1П!E59</f>
        <v>0</v>
      </c>
      <c r="F59" s="606">
        <f>'d1'!F59-d1П!F59</f>
        <v>0</v>
      </c>
      <c r="G59" s="106"/>
    </row>
    <row r="60" spans="1:7" ht="65.25" thickTop="1" thickBot="1" x14ac:dyDescent="0.25">
      <c r="A60" s="610">
        <v>18050500</v>
      </c>
      <c r="B60" s="613" t="s">
        <v>539</v>
      </c>
      <c r="C60" s="606">
        <f>'d1'!C60-d1П!C60</f>
        <v>0</v>
      </c>
      <c r="D60" s="606">
        <f>'d1'!D60-d1П!D60</f>
        <v>0</v>
      </c>
      <c r="E60" s="606">
        <f>'d1'!E60-d1П!E60</f>
        <v>0</v>
      </c>
      <c r="F60" s="606">
        <f>'d1'!F60-d1П!F60</f>
        <v>0</v>
      </c>
      <c r="G60" s="106"/>
    </row>
    <row r="61" spans="1:7" ht="31.7" customHeight="1" thickTop="1" thickBot="1" x14ac:dyDescent="0.25">
      <c r="A61" s="604">
        <v>19000000</v>
      </c>
      <c r="B61" s="618" t="s">
        <v>532</v>
      </c>
      <c r="C61" s="606">
        <f>'d1'!C61-d1П!C61</f>
        <v>0</v>
      </c>
      <c r="D61" s="606">
        <f>'d1'!D61-d1П!D61</f>
        <v>0</v>
      </c>
      <c r="E61" s="606">
        <f>'d1'!E61-d1П!E61</f>
        <v>0</v>
      </c>
      <c r="F61" s="606">
        <f>'d1'!F61-d1П!F61</f>
        <v>0</v>
      </c>
      <c r="G61" s="106"/>
    </row>
    <row r="62" spans="1:7" ht="16.5" thickTop="1" thickBot="1" x14ac:dyDescent="0.3">
      <c r="A62" s="607">
        <v>1901000</v>
      </c>
      <c r="B62" s="608" t="s">
        <v>84</v>
      </c>
      <c r="C62" s="606">
        <f>'d1'!C62-d1П!C62</f>
        <v>0</v>
      </c>
      <c r="D62" s="606">
        <f>'d1'!D62-d1П!D62</f>
        <v>0</v>
      </c>
      <c r="E62" s="606">
        <f>'d1'!E62-d1П!E62</f>
        <v>0</v>
      </c>
      <c r="F62" s="606">
        <f>'d1'!F62-d1П!F62</f>
        <v>0</v>
      </c>
      <c r="G62" s="105"/>
    </row>
    <row r="63" spans="1:7" ht="52.5" thickTop="1" thickBot="1" x14ac:dyDescent="0.3">
      <c r="A63" s="610">
        <v>19010100</v>
      </c>
      <c r="B63" s="611" t="s">
        <v>533</v>
      </c>
      <c r="C63" s="606">
        <f>'d1'!C63-d1П!C63</f>
        <v>0</v>
      </c>
      <c r="D63" s="606">
        <f>'d1'!D63-d1П!D63</f>
        <v>0</v>
      </c>
      <c r="E63" s="606">
        <f>'d1'!E63-d1П!E63</f>
        <v>0</v>
      </c>
      <c r="F63" s="606">
        <f>'d1'!F63-d1П!F63</f>
        <v>0</v>
      </c>
      <c r="G63" s="105"/>
    </row>
    <row r="64" spans="1:7" ht="27" thickTop="1" thickBot="1" x14ac:dyDescent="0.25">
      <c r="A64" s="610">
        <v>19010200</v>
      </c>
      <c r="B64" s="611" t="s">
        <v>1273</v>
      </c>
      <c r="C64" s="606">
        <f>'d1'!C64-d1П!C64</f>
        <v>0</v>
      </c>
      <c r="D64" s="606">
        <f>'d1'!D64-d1П!D64</f>
        <v>0</v>
      </c>
      <c r="E64" s="606">
        <f>'d1'!E64-d1П!E64</f>
        <v>0</v>
      </c>
      <c r="F64" s="606">
        <f>'d1'!F64-d1П!F64</f>
        <v>0</v>
      </c>
      <c r="G64" s="108"/>
    </row>
    <row r="65" spans="1:7" ht="52.5" thickTop="1" thickBot="1" x14ac:dyDescent="0.3">
      <c r="A65" s="610">
        <v>19010300</v>
      </c>
      <c r="B65" s="611" t="s">
        <v>1274</v>
      </c>
      <c r="C65" s="606">
        <f>'d1'!C65-d1П!C65</f>
        <v>0</v>
      </c>
      <c r="D65" s="606">
        <f>'d1'!D65-d1П!D65</f>
        <v>0</v>
      </c>
      <c r="E65" s="606">
        <f>'d1'!E65-d1П!E65</f>
        <v>0</v>
      </c>
      <c r="F65" s="606">
        <f>'d1'!F65-d1П!F65</f>
        <v>0</v>
      </c>
      <c r="G65" s="105"/>
    </row>
    <row r="66" spans="1:7" ht="30" customHeight="1" thickTop="1" thickBot="1" x14ac:dyDescent="0.3">
      <c r="A66" s="712">
        <v>20000000</v>
      </c>
      <c r="B66" s="712" t="s">
        <v>85</v>
      </c>
      <c r="C66" s="713">
        <f t="shared" si="0"/>
        <v>15600000</v>
      </c>
      <c r="D66" s="713">
        <f>SUM(D67,D77,D88,D93)+D87</f>
        <v>14400000</v>
      </c>
      <c r="E66" s="713">
        <f>SUM(E67,E77,E88,E93)+E87</f>
        <v>1200000</v>
      </c>
      <c r="F66" s="713">
        <f>SUM(F67,F77,F88,F93)+F87</f>
        <v>1200000</v>
      </c>
      <c r="G66" s="105"/>
    </row>
    <row r="67" spans="1:7" ht="27" thickTop="1" thickBot="1" x14ac:dyDescent="0.3">
      <c r="A67" s="604">
        <v>21000000</v>
      </c>
      <c r="B67" s="604" t="s">
        <v>534</v>
      </c>
      <c r="C67" s="606">
        <f>'d1'!C67-d1П!C67</f>
        <v>0</v>
      </c>
      <c r="D67" s="606">
        <f>'d1'!D67-d1П!D67</f>
        <v>0</v>
      </c>
      <c r="E67" s="606">
        <f>'d1'!E67-d1П!E67</f>
        <v>0</v>
      </c>
      <c r="F67" s="606">
        <f>'d1'!F67-d1П!F67</f>
        <v>0</v>
      </c>
      <c r="G67" s="105"/>
    </row>
    <row r="68" spans="1:7" ht="55.5" thickTop="1" thickBot="1" x14ac:dyDescent="0.3">
      <c r="A68" s="607">
        <v>21010000</v>
      </c>
      <c r="B68" s="615" t="s">
        <v>535</v>
      </c>
      <c r="C68" s="606">
        <f>'d1'!C68-d1П!C68</f>
        <v>0</v>
      </c>
      <c r="D68" s="606">
        <f>'d1'!D68-d1П!D68</f>
        <v>0</v>
      </c>
      <c r="E68" s="606">
        <f>'d1'!E68-d1П!E68</f>
        <v>0</v>
      </c>
      <c r="F68" s="606">
        <f>'d1'!F68-d1П!F68</f>
        <v>0</v>
      </c>
      <c r="G68" s="105"/>
    </row>
    <row r="69" spans="1:7" ht="52.5" thickTop="1" thickBot="1" x14ac:dyDescent="0.3">
      <c r="A69" s="610">
        <v>21010300</v>
      </c>
      <c r="B69" s="613" t="s">
        <v>1400</v>
      </c>
      <c r="C69" s="606">
        <f>'d1'!C69-d1П!C69</f>
        <v>0</v>
      </c>
      <c r="D69" s="606">
        <f>'d1'!D69-d1П!D69</f>
        <v>0</v>
      </c>
      <c r="E69" s="606">
        <f>'d1'!E69-d1П!E69</f>
        <v>0</v>
      </c>
      <c r="F69" s="606">
        <f>'d1'!F69-d1П!F69</f>
        <v>0</v>
      </c>
      <c r="G69" s="105"/>
    </row>
    <row r="70" spans="1:7" ht="28.5" thickTop="1" thickBot="1" x14ac:dyDescent="0.3">
      <c r="A70" s="607">
        <v>21050000</v>
      </c>
      <c r="B70" s="615" t="s">
        <v>86</v>
      </c>
      <c r="C70" s="606">
        <f>'d1'!C70-d1П!C70</f>
        <v>0</v>
      </c>
      <c r="D70" s="606">
        <f>'d1'!D70-d1П!D70</f>
        <v>0</v>
      </c>
      <c r="E70" s="606">
        <f>'d1'!E70-d1П!E70</f>
        <v>0</v>
      </c>
      <c r="F70" s="606">
        <f>'d1'!F70-d1П!F70</f>
        <v>0</v>
      </c>
      <c r="G70" s="105"/>
    </row>
    <row r="71" spans="1:7" ht="15" thickTop="1" thickBot="1" x14ac:dyDescent="0.25">
      <c r="A71" s="607">
        <v>21080000</v>
      </c>
      <c r="B71" s="615" t="s">
        <v>1040</v>
      </c>
      <c r="C71" s="606">
        <f>'d1'!C71-d1П!C71</f>
        <v>0</v>
      </c>
      <c r="D71" s="606">
        <f>'d1'!D71-d1П!D71</f>
        <v>0</v>
      </c>
      <c r="E71" s="606">
        <f>'d1'!E71-d1П!E71</f>
        <v>0</v>
      </c>
      <c r="F71" s="606">
        <f>'d1'!F71-d1П!F71</f>
        <v>0</v>
      </c>
      <c r="G71" s="108"/>
    </row>
    <row r="72" spans="1:7" ht="16.5" thickTop="1" thickBot="1" x14ac:dyDescent="0.3">
      <c r="A72" s="610">
        <v>21081100</v>
      </c>
      <c r="B72" s="619" t="s">
        <v>87</v>
      </c>
      <c r="C72" s="606">
        <f>'d1'!C72-d1П!C72</f>
        <v>0</v>
      </c>
      <c r="D72" s="606">
        <f>'d1'!D72-d1П!D72</f>
        <v>0</v>
      </c>
      <c r="E72" s="606">
        <f>'d1'!E72-d1П!E72</f>
        <v>0</v>
      </c>
      <c r="F72" s="606">
        <f>'d1'!F72-d1П!F72</f>
        <v>0</v>
      </c>
      <c r="G72" s="105"/>
    </row>
    <row r="73" spans="1:7" ht="90.75" thickTop="1" thickBot="1" x14ac:dyDescent="0.3">
      <c r="A73" s="610">
        <v>21081500</v>
      </c>
      <c r="B73" s="611" t="s">
        <v>1289</v>
      </c>
      <c r="C73" s="606">
        <f>'d1'!C73-d1П!C73</f>
        <v>0</v>
      </c>
      <c r="D73" s="606">
        <f>'d1'!D73-d1П!D73</f>
        <v>0</v>
      </c>
      <c r="E73" s="606">
        <f>'d1'!E73-d1П!E73</f>
        <v>0</v>
      </c>
      <c r="F73" s="606">
        <f>'d1'!F73-d1П!F73</f>
        <v>0</v>
      </c>
      <c r="G73" s="105"/>
    </row>
    <row r="74" spans="1:7" ht="16.5" thickTop="1" thickBot="1" x14ac:dyDescent="0.3">
      <c r="A74" s="610">
        <v>21081700</v>
      </c>
      <c r="B74" s="611" t="s">
        <v>374</v>
      </c>
      <c r="C74" s="606">
        <f>'d1'!C74-d1П!C74</f>
        <v>0</v>
      </c>
      <c r="D74" s="606">
        <f>'d1'!D74-d1П!D74</f>
        <v>0</v>
      </c>
      <c r="E74" s="606">
        <f>'d1'!E74-d1П!E74</f>
        <v>0</v>
      </c>
      <c r="F74" s="606">
        <f>'d1'!F74-d1П!F74</f>
        <v>0</v>
      </c>
      <c r="G74" s="109"/>
    </row>
    <row r="75" spans="1:7" ht="52.5" thickTop="1" thickBot="1" x14ac:dyDescent="0.3">
      <c r="A75" s="610">
        <v>21081800</v>
      </c>
      <c r="B75" s="611" t="s">
        <v>1537</v>
      </c>
      <c r="C75" s="606">
        <f>'d1'!C75-d1П!C75</f>
        <v>0</v>
      </c>
      <c r="D75" s="606">
        <f>'d1'!D75-d1П!D75</f>
        <v>0</v>
      </c>
      <c r="E75" s="606">
        <f>'d1'!E75-d1П!E75</f>
        <v>0</v>
      </c>
      <c r="F75" s="606">
        <f>'d1'!F75-d1П!F75</f>
        <v>0</v>
      </c>
      <c r="G75" s="109"/>
    </row>
    <row r="76" spans="1:7" ht="78" thickTop="1" thickBot="1" x14ac:dyDescent="0.3">
      <c r="A76" s="610">
        <v>21082400</v>
      </c>
      <c r="B76" s="611" t="s">
        <v>1538</v>
      </c>
      <c r="C76" s="606">
        <f>'d1'!C76-d1П!C76</f>
        <v>0</v>
      </c>
      <c r="D76" s="606">
        <f>'d1'!D76-d1П!D76</f>
        <v>0</v>
      </c>
      <c r="E76" s="606">
        <f>'d1'!E76-d1П!E76</f>
        <v>0</v>
      </c>
      <c r="F76" s="606">
        <f>'d1'!F76-d1П!F76</f>
        <v>0</v>
      </c>
      <c r="G76" s="109"/>
    </row>
    <row r="77" spans="1:7" ht="27" thickTop="1" thickBot="1" x14ac:dyDescent="0.3">
      <c r="A77" s="604">
        <v>22000000</v>
      </c>
      <c r="B77" s="604" t="s">
        <v>88</v>
      </c>
      <c r="C77" s="606">
        <f>'d1'!C77-d1П!C77</f>
        <v>14400000</v>
      </c>
      <c r="D77" s="606">
        <f>'d1'!D77-d1П!D77</f>
        <v>14400000</v>
      </c>
      <c r="E77" s="606">
        <f>'d1'!E77-d1П!E77</f>
        <v>0</v>
      </c>
      <c r="F77" s="606">
        <f>'d1'!F77-d1П!F77</f>
        <v>0</v>
      </c>
      <c r="G77" s="105"/>
    </row>
    <row r="78" spans="1:7" ht="24.75" customHeight="1" thickTop="1" thickBot="1" x14ac:dyDescent="0.3">
      <c r="A78" s="607">
        <v>22010000</v>
      </c>
      <c r="B78" s="608" t="s">
        <v>536</v>
      </c>
      <c r="C78" s="606">
        <f>'d1'!C78-d1П!C78</f>
        <v>14400000</v>
      </c>
      <c r="D78" s="606">
        <f>'d1'!D78-d1П!D78</f>
        <v>14400000</v>
      </c>
      <c r="E78" s="606">
        <f>'d1'!E78-d1П!E78</f>
        <v>0</v>
      </c>
      <c r="F78" s="606">
        <f>'d1'!F78-d1П!F78</f>
        <v>0</v>
      </c>
      <c r="G78" s="105"/>
    </row>
    <row r="79" spans="1:7" ht="39.75" thickTop="1" thickBot="1" x14ac:dyDescent="0.3">
      <c r="A79" s="610">
        <v>22010300</v>
      </c>
      <c r="B79" s="611" t="s">
        <v>147</v>
      </c>
      <c r="C79" s="606">
        <f>'d1'!C79-d1П!C79</f>
        <v>0</v>
      </c>
      <c r="D79" s="606">
        <f>'d1'!D79-d1П!D79</f>
        <v>0</v>
      </c>
      <c r="E79" s="606">
        <f>'d1'!E79-d1П!E79</f>
        <v>0</v>
      </c>
      <c r="F79" s="606">
        <f>'d1'!F79-d1П!F79</f>
        <v>0</v>
      </c>
      <c r="G79" s="105"/>
    </row>
    <row r="80" spans="1:7" ht="16.5" thickTop="1" thickBot="1" x14ac:dyDescent="0.3">
      <c r="A80" s="610">
        <v>22012500</v>
      </c>
      <c r="B80" s="611" t="s">
        <v>90</v>
      </c>
      <c r="C80" s="606">
        <f>'d1'!C80-d1П!C80</f>
        <v>14400000</v>
      </c>
      <c r="D80" s="606">
        <f>'d1'!D80-d1П!D80</f>
        <v>14400000</v>
      </c>
      <c r="E80" s="606">
        <f>'d1'!E80-d1П!E80</f>
        <v>0</v>
      </c>
      <c r="F80" s="606">
        <f>'d1'!F80-d1П!F80</f>
        <v>0</v>
      </c>
      <c r="G80" s="105"/>
    </row>
    <row r="81" spans="1:7" ht="27" thickTop="1" thickBot="1" x14ac:dyDescent="0.3">
      <c r="A81" s="610">
        <v>22012600</v>
      </c>
      <c r="B81" s="611" t="s">
        <v>89</v>
      </c>
      <c r="C81" s="606">
        <f>'d1'!C81-d1П!C81</f>
        <v>0</v>
      </c>
      <c r="D81" s="606">
        <f>'d1'!D81-d1П!D81</f>
        <v>0</v>
      </c>
      <c r="E81" s="606">
        <f>'d1'!E81-d1П!E81</f>
        <v>0</v>
      </c>
      <c r="F81" s="606">
        <f>'d1'!F81-d1П!F81</f>
        <v>0</v>
      </c>
      <c r="G81" s="105"/>
    </row>
    <row r="82" spans="1:7" ht="42" thickTop="1" thickBot="1" x14ac:dyDescent="0.3">
      <c r="A82" s="607">
        <v>2208000</v>
      </c>
      <c r="B82" s="608" t="s">
        <v>537</v>
      </c>
      <c r="C82" s="606">
        <f>'d1'!C82-d1П!C82</f>
        <v>0</v>
      </c>
      <c r="D82" s="606">
        <f>'d1'!D82-d1П!D82</f>
        <v>0</v>
      </c>
      <c r="E82" s="606">
        <f>'d1'!E82-d1П!E82</f>
        <v>0</v>
      </c>
      <c r="F82" s="606">
        <f>'d1'!F82-d1П!F82</f>
        <v>0</v>
      </c>
      <c r="G82" s="105"/>
    </row>
    <row r="83" spans="1:7" ht="52.5" thickTop="1" thickBot="1" x14ac:dyDescent="0.3">
      <c r="A83" s="610">
        <v>22080400</v>
      </c>
      <c r="B83" s="619" t="s">
        <v>91</v>
      </c>
      <c r="C83" s="606">
        <f>'d1'!C83-d1П!C83</f>
        <v>0</v>
      </c>
      <c r="D83" s="606">
        <f>'d1'!D83-d1П!D83</f>
        <v>0</v>
      </c>
      <c r="E83" s="606">
        <f>'d1'!E83-d1П!E83</f>
        <v>0</v>
      </c>
      <c r="F83" s="606">
        <f>'d1'!F83-d1П!F83</f>
        <v>0</v>
      </c>
      <c r="G83" s="105"/>
    </row>
    <row r="84" spans="1:7" ht="16.5" thickTop="1" thickBot="1" x14ac:dyDescent="0.3">
      <c r="A84" s="607">
        <v>22090000</v>
      </c>
      <c r="B84" s="620" t="s">
        <v>92</v>
      </c>
      <c r="C84" s="606">
        <f>'d1'!C84-d1П!C84</f>
        <v>0</v>
      </c>
      <c r="D84" s="606">
        <f>'d1'!D84-d1П!D84</f>
        <v>0</v>
      </c>
      <c r="E84" s="606">
        <f>'d1'!E84-d1П!E84</f>
        <v>0</v>
      </c>
      <c r="F84" s="606">
        <f>'d1'!F84-d1П!F84</f>
        <v>0</v>
      </c>
      <c r="G84" s="105"/>
    </row>
    <row r="85" spans="1:7" ht="52.5" thickTop="1" thickBot="1" x14ac:dyDescent="0.3">
      <c r="A85" s="610">
        <v>22090100</v>
      </c>
      <c r="B85" s="613" t="s">
        <v>93</v>
      </c>
      <c r="C85" s="606">
        <f>'d1'!C85-d1П!C85</f>
        <v>0</v>
      </c>
      <c r="D85" s="606">
        <f>'d1'!D85-d1П!D85</f>
        <v>0</v>
      </c>
      <c r="E85" s="606">
        <f>'d1'!E85-d1П!E85</f>
        <v>0</v>
      </c>
      <c r="F85" s="606">
        <f>'d1'!F85-d1П!F85</f>
        <v>0</v>
      </c>
      <c r="G85" s="105"/>
    </row>
    <row r="86" spans="1:7" ht="39.75" thickTop="1" thickBot="1" x14ac:dyDescent="0.25">
      <c r="A86" s="610">
        <v>22090400</v>
      </c>
      <c r="B86" s="613" t="s">
        <v>94</v>
      </c>
      <c r="C86" s="606">
        <f>'d1'!C86-d1П!C86</f>
        <v>0</v>
      </c>
      <c r="D86" s="606">
        <f>'d1'!D86-d1П!D86</f>
        <v>0</v>
      </c>
      <c r="E86" s="606">
        <f>'d1'!E86-d1П!E86</f>
        <v>0</v>
      </c>
      <c r="F86" s="606">
        <f>'d1'!F86-d1П!F86</f>
        <v>0</v>
      </c>
      <c r="G86" s="107"/>
    </row>
    <row r="87" spans="1:7" ht="78" thickTop="1" thickBot="1" x14ac:dyDescent="0.25">
      <c r="A87" s="604">
        <v>22130000</v>
      </c>
      <c r="B87" s="621" t="s">
        <v>1539</v>
      </c>
      <c r="C87" s="606">
        <f>'d1'!C87-d1П!C87</f>
        <v>0</v>
      </c>
      <c r="D87" s="606">
        <f>'d1'!D87-d1П!D87</f>
        <v>0</v>
      </c>
      <c r="E87" s="606">
        <f>'d1'!E87-d1П!E87</f>
        <v>0</v>
      </c>
      <c r="F87" s="606">
        <f>'d1'!F87-d1П!F87</f>
        <v>0</v>
      </c>
      <c r="G87" s="107"/>
    </row>
    <row r="88" spans="1:7" ht="20.25" customHeight="1" thickTop="1" thickBot="1" x14ac:dyDescent="0.3">
      <c r="A88" s="604">
        <v>24000000</v>
      </c>
      <c r="B88" s="621" t="s">
        <v>95</v>
      </c>
      <c r="C88" s="606">
        <f>'d1'!C88-d1П!C88</f>
        <v>1200000</v>
      </c>
      <c r="D88" s="606">
        <f>'d1'!D88-d1П!D88</f>
        <v>0</v>
      </c>
      <c r="E88" s="606">
        <f>'d1'!E88-d1П!E88</f>
        <v>1200000</v>
      </c>
      <c r="F88" s="606">
        <f>'d1'!F88-d1П!F88</f>
        <v>1200000</v>
      </c>
      <c r="G88" s="105"/>
    </row>
    <row r="89" spans="1:7" ht="16.5" thickTop="1" thickBot="1" x14ac:dyDescent="0.3">
      <c r="A89" s="610">
        <v>24060300</v>
      </c>
      <c r="B89" s="611" t="s">
        <v>96</v>
      </c>
      <c r="C89" s="606">
        <f>'d1'!C89-d1П!C89</f>
        <v>0</v>
      </c>
      <c r="D89" s="606">
        <f>'d1'!D89-d1П!D89</f>
        <v>0</v>
      </c>
      <c r="E89" s="606">
        <f>'d1'!E89-d1П!E89</f>
        <v>0</v>
      </c>
      <c r="F89" s="606">
        <f>'d1'!F89-d1П!F89</f>
        <v>0</v>
      </c>
      <c r="G89" s="105"/>
    </row>
    <row r="90" spans="1:7" ht="65.25" thickTop="1" thickBot="1" x14ac:dyDescent="0.3">
      <c r="A90" s="610">
        <v>24062200</v>
      </c>
      <c r="B90" s="611" t="s">
        <v>375</v>
      </c>
      <c r="C90" s="606">
        <f>'d1'!C90-d1П!C90</f>
        <v>0</v>
      </c>
      <c r="D90" s="606">
        <f>'d1'!D90-d1П!D90</f>
        <v>0</v>
      </c>
      <c r="E90" s="606">
        <f>'d1'!E90-d1П!E90</f>
        <v>0</v>
      </c>
      <c r="F90" s="606">
        <f>'d1'!F90-d1П!F90</f>
        <v>0</v>
      </c>
      <c r="G90" s="105"/>
    </row>
    <row r="91" spans="1:7" ht="39.75" thickTop="1" thickBot="1" x14ac:dyDescent="0.3">
      <c r="A91" s="610">
        <v>24110700</v>
      </c>
      <c r="B91" s="622" t="s">
        <v>589</v>
      </c>
      <c r="C91" s="606">
        <f>'d1'!C91-d1П!C91</f>
        <v>0</v>
      </c>
      <c r="D91" s="606">
        <f>'d1'!D91-d1П!D91</f>
        <v>0</v>
      </c>
      <c r="E91" s="606">
        <f>'d1'!E91-d1П!E91</f>
        <v>0</v>
      </c>
      <c r="F91" s="606">
        <f>'d1'!F91-d1П!F91</f>
        <v>0</v>
      </c>
      <c r="G91" s="105"/>
    </row>
    <row r="92" spans="1:7" ht="27" thickTop="1" thickBot="1" x14ac:dyDescent="0.25">
      <c r="A92" s="610">
        <v>24170000</v>
      </c>
      <c r="B92" s="613" t="s">
        <v>97</v>
      </c>
      <c r="C92" s="606">
        <f>'d1'!C92-d1П!C92</f>
        <v>1200000</v>
      </c>
      <c r="D92" s="606">
        <f>'d1'!D92-d1П!D92</f>
        <v>0</v>
      </c>
      <c r="E92" s="606">
        <f>'d1'!E92-d1П!E92</f>
        <v>1200000</v>
      </c>
      <c r="F92" s="606">
        <f>'d1'!F92-d1П!F92</f>
        <v>1200000</v>
      </c>
      <c r="G92" s="106"/>
    </row>
    <row r="93" spans="1:7" ht="16.5" thickTop="1" thickBot="1" x14ac:dyDescent="0.3">
      <c r="A93" s="604">
        <v>25000000</v>
      </c>
      <c r="B93" s="623" t="s">
        <v>98</v>
      </c>
      <c r="C93" s="606">
        <f>'d1'!C93-d1П!C93</f>
        <v>0</v>
      </c>
      <c r="D93" s="606">
        <f>'d1'!D93-d1П!D93</f>
        <v>0</v>
      </c>
      <c r="E93" s="606">
        <f>'d1'!E93-d1П!E93</f>
        <v>0</v>
      </c>
      <c r="F93" s="606">
        <f>'d1'!F93-d1П!F93</f>
        <v>0</v>
      </c>
      <c r="G93" s="105"/>
    </row>
    <row r="94" spans="1:7" ht="42" thickTop="1" thickBot="1" x14ac:dyDescent="0.3">
      <c r="A94" s="607">
        <v>25010000</v>
      </c>
      <c r="B94" s="615" t="s">
        <v>99</v>
      </c>
      <c r="C94" s="606">
        <f>'d1'!C94-d1П!C94</f>
        <v>0</v>
      </c>
      <c r="D94" s="606">
        <f>'d1'!D94-d1П!D94</f>
        <v>0</v>
      </c>
      <c r="E94" s="606">
        <f>'d1'!E94-d1П!E94</f>
        <v>0</v>
      </c>
      <c r="F94" s="606">
        <f>'d1'!F94-d1П!F94</f>
        <v>0</v>
      </c>
      <c r="G94" s="105"/>
    </row>
    <row r="95" spans="1:7" ht="27" thickTop="1" thickBot="1" x14ac:dyDescent="0.3">
      <c r="A95" s="610">
        <v>25010100</v>
      </c>
      <c r="B95" s="613" t="s">
        <v>100</v>
      </c>
      <c r="C95" s="606">
        <f>'d1'!C95-d1П!C95</f>
        <v>-19240</v>
      </c>
      <c r="D95" s="606">
        <f>'d1'!D95-d1П!D95</f>
        <v>0</v>
      </c>
      <c r="E95" s="606">
        <f>'d1'!E95-d1П!E95</f>
        <v>-19240</v>
      </c>
      <c r="F95" s="606">
        <f>'d1'!F95-d1П!F95</f>
        <v>0</v>
      </c>
      <c r="G95" s="105"/>
    </row>
    <row r="96" spans="1:7" ht="27" thickTop="1" thickBot="1" x14ac:dyDescent="0.3">
      <c r="A96" s="610">
        <v>25010200</v>
      </c>
      <c r="B96" s="613" t="s">
        <v>101</v>
      </c>
      <c r="C96" s="606">
        <f>'d1'!C96-d1П!C96</f>
        <v>0</v>
      </c>
      <c r="D96" s="606">
        <f>'d1'!D96-d1П!D96</f>
        <v>0</v>
      </c>
      <c r="E96" s="606">
        <f>'d1'!E96-d1П!E96</f>
        <v>0</v>
      </c>
      <c r="F96" s="606">
        <f>'d1'!F96-d1П!F96</f>
        <v>0</v>
      </c>
      <c r="G96" s="105"/>
    </row>
    <row r="97" spans="1:7" ht="16.5" thickTop="1" thickBot="1" x14ac:dyDescent="0.3">
      <c r="A97" s="610">
        <v>25010300</v>
      </c>
      <c r="B97" s="613" t="s">
        <v>102</v>
      </c>
      <c r="C97" s="606">
        <f>'d1'!C97-d1П!C97</f>
        <v>25240</v>
      </c>
      <c r="D97" s="606">
        <f>'d1'!D97-d1П!D97</f>
        <v>0</v>
      </c>
      <c r="E97" s="606">
        <f>'d1'!E97-d1П!E97</f>
        <v>25240</v>
      </c>
      <c r="F97" s="606">
        <f>'d1'!F97-d1П!F97</f>
        <v>0</v>
      </c>
      <c r="G97" s="105"/>
    </row>
    <row r="98" spans="1:7" ht="39.75" thickTop="1" thickBot="1" x14ac:dyDescent="0.3">
      <c r="A98" s="610">
        <v>25010400</v>
      </c>
      <c r="B98" s="613" t="s">
        <v>103</v>
      </c>
      <c r="C98" s="606">
        <f>'d1'!C98-d1П!C98</f>
        <v>-6000</v>
      </c>
      <c r="D98" s="606">
        <f>'d1'!D98-d1П!D98</f>
        <v>0</v>
      </c>
      <c r="E98" s="606">
        <f>'d1'!E98-d1П!E98</f>
        <v>-6000</v>
      </c>
      <c r="F98" s="606">
        <f>'d1'!F98-d1П!F98</f>
        <v>0</v>
      </c>
      <c r="G98" s="105"/>
    </row>
    <row r="99" spans="1:7" ht="24.75" customHeight="1" thickTop="1" thickBot="1" x14ac:dyDescent="0.25">
      <c r="A99" s="712">
        <v>30000000</v>
      </c>
      <c r="B99" s="712" t="s">
        <v>104</v>
      </c>
      <c r="C99" s="713">
        <f>SUM(D99,E99)</f>
        <v>9500000</v>
      </c>
      <c r="D99" s="713">
        <f>SUM(D100)+D104</f>
        <v>0</v>
      </c>
      <c r="E99" s="713">
        <f>SUM(E100)+E104</f>
        <v>9500000</v>
      </c>
      <c r="F99" s="713">
        <f>SUM(F100)+F104</f>
        <v>9500000</v>
      </c>
      <c r="G99" s="107"/>
    </row>
    <row r="100" spans="1:7" ht="27" customHeight="1" thickTop="1" thickBot="1" x14ac:dyDescent="0.3">
      <c r="A100" s="604">
        <v>31000000</v>
      </c>
      <c r="B100" s="604" t="s">
        <v>105</v>
      </c>
      <c r="C100" s="606">
        <f>'d1'!C100-d1П!C100</f>
        <v>9500000</v>
      </c>
      <c r="D100" s="606">
        <f>'d1'!D100-d1П!D100</f>
        <v>0</v>
      </c>
      <c r="E100" s="606">
        <f>'d1'!E100-d1П!E100</f>
        <v>9500000</v>
      </c>
      <c r="F100" s="606">
        <f>'d1'!F100-d1П!F100</f>
        <v>9500000</v>
      </c>
      <c r="G100" s="105"/>
    </row>
    <row r="101" spans="1:7" ht="82.5" thickTop="1" thickBot="1" x14ac:dyDescent="0.3">
      <c r="A101" s="607">
        <v>3101000</v>
      </c>
      <c r="B101" s="608" t="s">
        <v>538</v>
      </c>
      <c r="C101" s="606">
        <f>'d1'!C101-d1П!C101</f>
        <v>0</v>
      </c>
      <c r="D101" s="606">
        <f>'d1'!D101-d1П!D101</f>
        <v>0</v>
      </c>
      <c r="E101" s="606">
        <f>'d1'!E101-d1П!E101</f>
        <v>0</v>
      </c>
      <c r="F101" s="606">
        <f>'d1'!F101-d1П!F101</f>
        <v>0</v>
      </c>
      <c r="G101" s="105"/>
    </row>
    <row r="102" spans="1:7" ht="78" thickTop="1" thickBot="1" x14ac:dyDescent="0.3">
      <c r="A102" s="610">
        <v>31010200</v>
      </c>
      <c r="B102" s="613" t="s">
        <v>106</v>
      </c>
      <c r="C102" s="606">
        <f>'d1'!C102-d1П!C102</f>
        <v>0</v>
      </c>
      <c r="D102" s="606">
        <f>'d1'!D102-d1П!D102</f>
        <v>0</v>
      </c>
      <c r="E102" s="606">
        <f>'d1'!E102-d1П!E102</f>
        <v>0</v>
      </c>
      <c r="F102" s="606">
        <f>'d1'!F102-d1П!F102</f>
        <v>0</v>
      </c>
      <c r="G102" s="105"/>
    </row>
    <row r="103" spans="1:7" ht="55.5" thickTop="1" thickBot="1" x14ac:dyDescent="0.3">
      <c r="A103" s="607">
        <v>31030000</v>
      </c>
      <c r="B103" s="615" t="s">
        <v>107</v>
      </c>
      <c r="C103" s="606">
        <f>'d1'!C103-d1П!C103</f>
        <v>9500000</v>
      </c>
      <c r="D103" s="606">
        <f>'d1'!D103-d1П!D103</f>
        <v>0</v>
      </c>
      <c r="E103" s="606">
        <f>'d1'!E103-d1П!E103</f>
        <v>9500000</v>
      </c>
      <c r="F103" s="606">
        <f>'d1'!F103-d1П!F103</f>
        <v>9500000</v>
      </c>
      <c r="G103" s="105"/>
    </row>
    <row r="104" spans="1:7" ht="27" thickTop="1" thickBot="1" x14ac:dyDescent="0.3">
      <c r="A104" s="604">
        <v>33000000</v>
      </c>
      <c r="B104" s="604" t="s">
        <v>108</v>
      </c>
      <c r="C104" s="606">
        <f>'d1'!C104-d1П!C104</f>
        <v>0</v>
      </c>
      <c r="D104" s="606">
        <f>'d1'!D104-d1П!D104</f>
        <v>0</v>
      </c>
      <c r="E104" s="606">
        <f>'d1'!E104-d1П!E104</f>
        <v>0</v>
      </c>
      <c r="F104" s="606">
        <f>'d1'!F104-d1П!F104</f>
        <v>0</v>
      </c>
      <c r="G104" s="105"/>
    </row>
    <row r="105" spans="1:7" ht="16.5" thickTop="1" thickBot="1" x14ac:dyDescent="0.3">
      <c r="A105" s="607">
        <v>33010000</v>
      </c>
      <c r="B105" s="608" t="s">
        <v>109</v>
      </c>
      <c r="C105" s="606">
        <f>'d1'!C105-d1П!C105</f>
        <v>0</v>
      </c>
      <c r="D105" s="606">
        <f>'d1'!D105-d1П!D105</f>
        <v>0</v>
      </c>
      <c r="E105" s="606">
        <f>'d1'!E105-d1П!E105</f>
        <v>0</v>
      </c>
      <c r="F105" s="606">
        <f>'d1'!F105-d1П!F105</f>
        <v>0</v>
      </c>
      <c r="G105" s="105"/>
    </row>
    <row r="106" spans="1:7" ht="52.5" thickTop="1" thickBot="1" x14ac:dyDescent="0.3">
      <c r="A106" s="610">
        <v>33010100</v>
      </c>
      <c r="B106" s="613" t="s">
        <v>343</v>
      </c>
      <c r="C106" s="606">
        <f>'d1'!C106-d1П!C106</f>
        <v>0</v>
      </c>
      <c r="D106" s="606">
        <f>'d1'!D106-d1П!D106</f>
        <v>0</v>
      </c>
      <c r="E106" s="606">
        <f>'d1'!E106-d1П!E106</f>
        <v>0</v>
      </c>
      <c r="F106" s="606">
        <f>'d1'!F106-d1П!F106</f>
        <v>0</v>
      </c>
      <c r="G106" s="105"/>
    </row>
    <row r="107" spans="1:7" ht="52.5" thickTop="1" thickBot="1" x14ac:dyDescent="0.3">
      <c r="A107" s="610">
        <v>33010200</v>
      </c>
      <c r="B107" s="613" t="s">
        <v>110</v>
      </c>
      <c r="C107" s="606">
        <f>'d1'!C107-d1П!C107</f>
        <v>0</v>
      </c>
      <c r="D107" s="606">
        <f>'d1'!D107-d1П!D107</f>
        <v>0</v>
      </c>
      <c r="E107" s="606">
        <f>'d1'!E107-d1П!E107</f>
        <v>0</v>
      </c>
      <c r="F107" s="606">
        <f>'d1'!F107-d1П!F107</f>
        <v>0</v>
      </c>
      <c r="G107" s="105"/>
    </row>
    <row r="108" spans="1:7" ht="65.25" hidden="1" thickTop="1" thickBot="1" x14ac:dyDescent="0.3">
      <c r="A108" s="373">
        <v>33010500</v>
      </c>
      <c r="B108" s="376" t="s">
        <v>1401</v>
      </c>
      <c r="C108" s="371">
        <f>SUM(D108,E108)</f>
        <v>0</v>
      </c>
      <c r="D108" s="375"/>
      <c r="E108" s="375">
        <v>0</v>
      </c>
      <c r="F108" s="375">
        <v>0</v>
      </c>
      <c r="G108" s="105"/>
    </row>
    <row r="109" spans="1:7" ht="27" customHeight="1" thickTop="1" thickBot="1" x14ac:dyDescent="0.3">
      <c r="A109" s="712">
        <v>50000000</v>
      </c>
      <c r="B109" s="712" t="s">
        <v>487</v>
      </c>
      <c r="C109" s="713">
        <f>SUM(D109,E109)</f>
        <v>0</v>
      </c>
      <c r="D109" s="713">
        <f>SUM(D110)</f>
        <v>0</v>
      </c>
      <c r="E109" s="713">
        <f>SUM(E110)</f>
        <v>0</v>
      </c>
      <c r="F109" s="713">
        <f>SUM(F110)</f>
        <v>0</v>
      </c>
      <c r="G109" s="105"/>
    </row>
    <row r="110" spans="1:7" ht="52.5" thickTop="1" thickBot="1" x14ac:dyDescent="0.3">
      <c r="A110" s="604">
        <v>50110000</v>
      </c>
      <c r="B110" s="618" t="s">
        <v>111</v>
      </c>
      <c r="C110" s="606">
        <f>'d1'!C110-d1П!C110</f>
        <v>0</v>
      </c>
      <c r="D110" s="606">
        <f>'d1'!D110-d1П!D110</f>
        <v>0</v>
      </c>
      <c r="E110" s="606">
        <f>'d1'!E110-d1П!E110</f>
        <v>0</v>
      </c>
      <c r="F110" s="606">
        <f>'d1'!F110-d1П!F110</f>
        <v>0</v>
      </c>
      <c r="G110" s="105"/>
    </row>
    <row r="111" spans="1:7" ht="45.75" customHeight="1" thickTop="1" thickBot="1" x14ac:dyDescent="0.25">
      <c r="A111" s="624"/>
      <c r="B111" s="625" t="s">
        <v>488</v>
      </c>
      <c r="C111" s="626">
        <f t="shared" ref="C111" si="1">SUM(D111,E111)</f>
        <v>169552665</v>
      </c>
      <c r="D111" s="626">
        <f>D109+D99+D66+D15</f>
        <v>158852665</v>
      </c>
      <c r="E111" s="626">
        <f>E109+E99+E66+E15</f>
        <v>10700000</v>
      </c>
      <c r="F111" s="626">
        <f>F109+F99+F66+F15</f>
        <v>10700000</v>
      </c>
      <c r="G111" s="106"/>
    </row>
    <row r="112" spans="1:7" ht="34.5" customHeight="1" thickTop="1" thickBot="1" x14ac:dyDescent="0.25">
      <c r="A112" s="712">
        <v>40000000</v>
      </c>
      <c r="B112" s="712" t="s">
        <v>427</v>
      </c>
      <c r="C112" s="713">
        <f>SUM(D112,E112)</f>
        <v>21917047.009999998</v>
      </c>
      <c r="D112" s="713">
        <f>SUM(D118,D115,D113)</f>
        <v>14244936.01</v>
      </c>
      <c r="E112" s="713">
        <f>SUM(E118,E115,E113)</f>
        <v>7672111</v>
      </c>
      <c r="F112" s="713">
        <f>SUM(F118,F115,F113)</f>
        <v>0</v>
      </c>
      <c r="G112" s="106"/>
    </row>
    <row r="113" spans="1:7" ht="34.5" hidden="1" customHeight="1" thickTop="1" thickBot="1" x14ac:dyDescent="0.25">
      <c r="A113" s="370">
        <v>41020000</v>
      </c>
      <c r="B113" s="377" t="s">
        <v>1338</v>
      </c>
      <c r="C113" s="371">
        <f t="shared" ref="C113:C114" si="2">SUM(D113,E113)</f>
        <v>0</v>
      </c>
      <c r="D113" s="371">
        <f>SUM(D114)</f>
        <v>0</v>
      </c>
      <c r="E113" s="371"/>
      <c r="F113" s="371"/>
      <c r="G113" s="106"/>
    </row>
    <row r="114" spans="1:7" ht="103.5" hidden="1" thickTop="1" thickBot="1" x14ac:dyDescent="0.25">
      <c r="A114" s="373">
        <v>41021400</v>
      </c>
      <c r="B114" s="376" t="s">
        <v>1345</v>
      </c>
      <c r="C114" s="371">
        <f t="shared" si="2"/>
        <v>0</v>
      </c>
      <c r="D114" s="375">
        <v>0</v>
      </c>
      <c r="E114" s="371"/>
      <c r="F114" s="371"/>
      <c r="G114" s="106"/>
    </row>
    <row r="115" spans="1:7" ht="27" thickTop="1" thickBot="1" x14ac:dyDescent="0.25">
      <c r="A115" s="604">
        <v>41040000</v>
      </c>
      <c r="B115" s="614" t="s">
        <v>344</v>
      </c>
      <c r="C115" s="606">
        <f>'d1'!C115-d1П!C115</f>
        <v>140989.00999999978</v>
      </c>
      <c r="D115" s="606">
        <f>'d1'!D115-d1П!D115</f>
        <v>140989.00999999978</v>
      </c>
      <c r="E115" s="606">
        <f>'d1'!E115-d1П!E115</f>
        <v>0</v>
      </c>
      <c r="F115" s="606">
        <f>'d1'!F115-d1П!F115</f>
        <v>0</v>
      </c>
      <c r="G115" s="106"/>
    </row>
    <row r="116" spans="1:7" ht="66" customHeight="1" thickTop="1" thickBot="1" x14ac:dyDescent="0.25">
      <c r="A116" s="610">
        <v>41040200</v>
      </c>
      <c r="B116" s="613" t="s">
        <v>1159</v>
      </c>
      <c r="C116" s="606">
        <f>'d1'!C116-d1П!C116</f>
        <v>0</v>
      </c>
      <c r="D116" s="606">
        <f>'d1'!D116-d1П!D116</f>
        <v>0</v>
      </c>
      <c r="E116" s="606">
        <f>'d1'!E116-d1П!E116</f>
        <v>0</v>
      </c>
      <c r="F116" s="606">
        <f>'d1'!F116-d1П!F116</f>
        <v>0</v>
      </c>
      <c r="G116" s="106"/>
    </row>
    <row r="117" spans="1:7" ht="15.75" thickTop="1" thickBot="1" x14ac:dyDescent="0.25">
      <c r="A117" s="610">
        <v>41040400</v>
      </c>
      <c r="B117" s="613" t="s">
        <v>1217</v>
      </c>
      <c r="C117" s="606">
        <f>'d1'!C117-d1П!C117</f>
        <v>140989.01</v>
      </c>
      <c r="D117" s="606">
        <f>'d1'!D117-d1П!D117</f>
        <v>140989.01</v>
      </c>
      <c r="E117" s="606">
        <f>'d1'!E117-d1П!E117</f>
        <v>0</v>
      </c>
      <c r="F117" s="606">
        <f>'d1'!F117-d1П!F117</f>
        <v>0</v>
      </c>
      <c r="G117" s="106"/>
    </row>
    <row r="118" spans="1:7" s="598" customFormat="1" ht="15.75" thickTop="1" thickBot="1" x14ac:dyDescent="0.25">
      <c r="A118" s="604">
        <v>41000000</v>
      </c>
      <c r="B118" s="604" t="s">
        <v>112</v>
      </c>
      <c r="C118" s="606">
        <f>'d1'!C118-d1П!C118</f>
        <v>21776058</v>
      </c>
      <c r="D118" s="606">
        <f>'d1'!D118-d1П!D118</f>
        <v>14103947</v>
      </c>
      <c r="E118" s="606">
        <f>'d1'!E118-d1П!E118</f>
        <v>7672111</v>
      </c>
      <c r="F118" s="606">
        <f>'d1'!F118-d1П!F118</f>
        <v>0</v>
      </c>
      <c r="G118" s="629"/>
    </row>
    <row r="119" spans="1:7" s="598" customFormat="1" ht="27" thickTop="1" thickBot="1" x14ac:dyDescent="0.3">
      <c r="A119" s="604">
        <v>41030000</v>
      </c>
      <c r="B119" s="623" t="s">
        <v>438</v>
      </c>
      <c r="C119" s="606">
        <f>'d1'!C119-d1П!C119</f>
        <v>9808800</v>
      </c>
      <c r="D119" s="606">
        <f>'d1'!D119-d1П!D119</f>
        <v>9808800</v>
      </c>
      <c r="E119" s="606">
        <f>'d1'!E119-d1П!E119</f>
        <v>0</v>
      </c>
      <c r="F119" s="606">
        <f>'d1'!F119-d1П!F119</f>
        <v>0</v>
      </c>
      <c r="G119" s="605"/>
    </row>
    <row r="120" spans="1:7" ht="52.5" hidden="1" thickTop="1" thickBot="1" x14ac:dyDescent="0.3">
      <c r="A120" s="373">
        <v>41032300</v>
      </c>
      <c r="B120" s="374" t="s">
        <v>982</v>
      </c>
      <c r="C120" s="606">
        <f>'d1'!C120-d1П!C120</f>
        <v>0</v>
      </c>
      <c r="D120" s="606">
        <f>'d1'!D120-d1П!D120</f>
        <v>0</v>
      </c>
      <c r="E120" s="606">
        <f>'d1'!E120-d1П!E120</f>
        <v>0</v>
      </c>
      <c r="F120" s="606">
        <f>'d1'!F120-d1П!F120</f>
        <v>0</v>
      </c>
      <c r="G120" s="105"/>
    </row>
    <row r="121" spans="1:7" ht="52.5" thickTop="1" thickBot="1" x14ac:dyDescent="0.3">
      <c r="A121" s="714">
        <v>41033800</v>
      </c>
      <c r="B121" s="715" t="s">
        <v>1042</v>
      </c>
      <c r="C121" s="606">
        <f>'d1'!C121-d1П!C121</f>
        <v>8649900</v>
      </c>
      <c r="D121" s="606">
        <f>'d1'!D121-d1П!D121</f>
        <v>8649900</v>
      </c>
      <c r="E121" s="606">
        <f>'d1'!E121-d1П!E121</f>
        <v>0</v>
      </c>
      <c r="F121" s="606">
        <f>'d1'!F121-d1П!F121</f>
        <v>0</v>
      </c>
      <c r="G121" s="105"/>
    </row>
    <row r="122" spans="1:7" ht="27" thickTop="1" thickBot="1" x14ac:dyDescent="0.3">
      <c r="A122" s="610">
        <v>41033900</v>
      </c>
      <c r="B122" s="611" t="s">
        <v>113</v>
      </c>
      <c r="C122" s="606">
        <f>'d1'!C122-d1П!C122</f>
        <v>1158900</v>
      </c>
      <c r="D122" s="606">
        <f>'d1'!D122-d1П!D122</f>
        <v>1158900</v>
      </c>
      <c r="E122" s="606">
        <f>'d1'!E122-d1П!E122</f>
        <v>0</v>
      </c>
      <c r="F122" s="606">
        <f>'d1'!F122-d1П!F122</f>
        <v>0</v>
      </c>
      <c r="G122" s="105"/>
    </row>
    <row r="123" spans="1:7" ht="39.75" hidden="1" thickTop="1" thickBot="1" x14ac:dyDescent="0.3">
      <c r="A123" s="373">
        <v>41034500</v>
      </c>
      <c r="B123" s="374" t="s">
        <v>1043</v>
      </c>
      <c r="C123" s="606">
        <f>'d1'!C123-d1П!C123</f>
        <v>0</v>
      </c>
      <c r="D123" s="606">
        <f>'d1'!D123-d1П!D123</f>
        <v>0</v>
      </c>
      <c r="E123" s="606">
        <f>'d1'!E123-d1П!E123</f>
        <v>0</v>
      </c>
      <c r="F123" s="606">
        <f>'d1'!F123-d1П!F123</f>
        <v>0</v>
      </c>
      <c r="G123" s="105"/>
    </row>
    <row r="124" spans="1:7" ht="52.5" hidden="1" thickTop="1" thickBot="1" x14ac:dyDescent="0.3">
      <c r="A124" s="373">
        <v>41035500</v>
      </c>
      <c r="B124" s="374" t="s">
        <v>984</v>
      </c>
      <c r="C124" s="606">
        <f>'d1'!C124-d1П!C124</f>
        <v>0</v>
      </c>
      <c r="D124" s="606">
        <f>'d1'!D124-d1П!D124</f>
        <v>0</v>
      </c>
      <c r="E124" s="606">
        <f>'d1'!E124-d1П!E124</f>
        <v>0</v>
      </c>
      <c r="F124" s="606">
        <f>'d1'!F124-d1П!F124</f>
        <v>0</v>
      </c>
      <c r="G124" s="105"/>
    </row>
    <row r="125" spans="1:7" ht="65.25" hidden="1" thickTop="1" thickBot="1" x14ac:dyDescent="0.3">
      <c r="A125" s="373">
        <v>41035600</v>
      </c>
      <c r="B125" s="374" t="s">
        <v>1008</v>
      </c>
      <c r="C125" s="606">
        <f>'d1'!C125-d1П!C125</f>
        <v>0</v>
      </c>
      <c r="D125" s="606">
        <f>'d1'!D125-d1П!D125</f>
        <v>0</v>
      </c>
      <c r="E125" s="606">
        <f>'d1'!E125-d1П!E125</f>
        <v>0</v>
      </c>
      <c r="F125" s="606">
        <f>'d1'!F125-d1П!F125</f>
        <v>0</v>
      </c>
      <c r="G125" s="105"/>
    </row>
    <row r="126" spans="1:7" ht="39.75" hidden="1" thickTop="1" thickBot="1" x14ac:dyDescent="0.3">
      <c r="A126" s="373">
        <v>41035700</v>
      </c>
      <c r="B126" s="374" t="s">
        <v>974</v>
      </c>
      <c r="C126" s="606">
        <f>'d1'!C126-d1П!C126</f>
        <v>0</v>
      </c>
      <c r="D126" s="606">
        <f>'d1'!D126-d1П!D126</f>
        <v>0</v>
      </c>
      <c r="E126" s="606">
        <f>'d1'!E126-d1П!E126</f>
        <v>0</v>
      </c>
      <c r="F126" s="606">
        <f>'d1'!F126-d1П!F126</f>
        <v>0</v>
      </c>
      <c r="G126" s="105"/>
    </row>
    <row r="127" spans="1:7" ht="27" thickTop="1" thickBot="1" x14ac:dyDescent="0.3">
      <c r="A127" s="604">
        <v>41050000</v>
      </c>
      <c r="B127" s="623" t="s">
        <v>473</v>
      </c>
      <c r="C127" s="606">
        <f>'d1'!C127-d1П!C127</f>
        <v>11967258</v>
      </c>
      <c r="D127" s="606">
        <f>'d1'!D127-d1П!D127</f>
        <v>4295147</v>
      </c>
      <c r="E127" s="606">
        <f>'d1'!E127-d1П!E127</f>
        <v>7672111</v>
      </c>
      <c r="F127" s="606">
        <f>'d1'!F127-d1П!F127</f>
        <v>0</v>
      </c>
      <c r="G127" s="105"/>
    </row>
    <row r="128" spans="1:7" ht="307.5" hidden="1" thickTop="1" thickBot="1" x14ac:dyDescent="0.3">
      <c r="A128" s="373">
        <v>41050400</v>
      </c>
      <c r="B128" s="374" t="s">
        <v>1424</v>
      </c>
      <c r="C128" s="371"/>
      <c r="D128" s="375"/>
      <c r="E128" s="375"/>
      <c r="F128" s="375"/>
      <c r="G128" s="105"/>
    </row>
    <row r="129" spans="1:7" ht="218.25" hidden="1" thickTop="1" thickBot="1" x14ac:dyDescent="0.3">
      <c r="A129" s="373">
        <v>41050500</v>
      </c>
      <c r="B129" s="374" t="s">
        <v>1044</v>
      </c>
      <c r="C129" s="371"/>
      <c r="D129" s="375"/>
      <c r="E129" s="375"/>
      <c r="F129" s="375"/>
      <c r="G129" s="105"/>
    </row>
    <row r="130" spans="1:7" ht="307.5" hidden="1" thickTop="1" thickBot="1" x14ac:dyDescent="0.3">
      <c r="A130" s="373">
        <v>41050600</v>
      </c>
      <c r="B130" s="374" t="s">
        <v>1425</v>
      </c>
      <c r="C130" s="371"/>
      <c r="D130" s="375"/>
      <c r="E130" s="375"/>
      <c r="F130" s="375"/>
      <c r="G130" s="105"/>
    </row>
    <row r="131" spans="1:7" ht="116.25" hidden="1" thickTop="1" thickBot="1" x14ac:dyDescent="0.3">
      <c r="A131" s="379">
        <v>41050900</v>
      </c>
      <c r="B131" s="380" t="s">
        <v>1045</v>
      </c>
      <c r="C131" s="381"/>
      <c r="D131" s="382"/>
      <c r="E131" s="382"/>
      <c r="F131" s="382"/>
      <c r="G131" s="105"/>
    </row>
    <row r="132" spans="1:7" ht="39.75" thickTop="1" thickBot="1" x14ac:dyDescent="0.3">
      <c r="A132" s="610">
        <v>41051000</v>
      </c>
      <c r="B132" s="611" t="s">
        <v>474</v>
      </c>
      <c r="C132" s="606">
        <f>'d1'!C132-d1П!C132</f>
        <v>0</v>
      </c>
      <c r="D132" s="606">
        <f>'d1'!D132-d1П!D132</f>
        <v>0</v>
      </c>
      <c r="E132" s="606">
        <f>'d1'!E132-d1П!E132</f>
        <v>0</v>
      </c>
      <c r="F132" s="606">
        <f>'d1'!F132-d1П!F132</f>
        <v>0</v>
      </c>
      <c r="G132" s="105"/>
    </row>
    <row r="133" spans="1:7" ht="48.75" customHeight="1" thickTop="1" thickBot="1" x14ac:dyDescent="0.3">
      <c r="A133" s="610">
        <v>41051100</v>
      </c>
      <c r="B133" s="611" t="s">
        <v>1591</v>
      </c>
      <c r="C133" s="606">
        <f>'d1'!C133-d1П!C133</f>
        <v>7672111</v>
      </c>
      <c r="D133" s="606">
        <f>'d1'!D133-d1П!D133</f>
        <v>0</v>
      </c>
      <c r="E133" s="606">
        <f>'d1'!E133-d1П!E133</f>
        <v>7672111</v>
      </c>
      <c r="F133" s="606">
        <f>'d1'!F133-d1П!F133</f>
        <v>0</v>
      </c>
      <c r="G133" s="105"/>
    </row>
    <row r="134" spans="1:7" ht="52.5" thickTop="1" thickBot="1" x14ac:dyDescent="0.3">
      <c r="A134" s="610">
        <v>41051200</v>
      </c>
      <c r="B134" s="611" t="s">
        <v>1291</v>
      </c>
      <c r="C134" s="606">
        <f>'d1'!C134-d1П!C134</f>
        <v>3668858</v>
      </c>
      <c r="D134" s="606">
        <f>'d1'!D134-d1П!D134</f>
        <v>3668858</v>
      </c>
      <c r="E134" s="606">
        <f>'d1'!E134-d1П!E134</f>
        <v>0</v>
      </c>
      <c r="F134" s="606">
        <f>'d1'!F134-d1П!F134</f>
        <v>0</v>
      </c>
      <c r="G134" s="105"/>
    </row>
    <row r="135" spans="1:7" ht="65.25" hidden="1" thickTop="1" thickBot="1" x14ac:dyDescent="0.3">
      <c r="A135" s="379">
        <v>41051400</v>
      </c>
      <c r="B135" s="380" t="s">
        <v>987</v>
      </c>
      <c r="C135" s="606">
        <f>'d1'!C135-d1П!C135</f>
        <v>0</v>
      </c>
      <c r="D135" s="606">
        <f>'d1'!D135-d1П!D135</f>
        <v>0</v>
      </c>
      <c r="E135" s="606">
        <f>'d1'!E135-d1П!E135</f>
        <v>0</v>
      </c>
      <c r="F135" s="606">
        <f>'d1'!F135-d1П!F135</f>
        <v>0</v>
      </c>
      <c r="G135" s="105"/>
    </row>
    <row r="136" spans="1:7" ht="65.25" thickTop="1" thickBot="1" x14ac:dyDescent="0.3">
      <c r="A136" s="610">
        <v>41051700</v>
      </c>
      <c r="B136" s="611" t="s">
        <v>945</v>
      </c>
      <c r="C136" s="606">
        <f>'d1'!C136-d1П!C136</f>
        <v>532739</v>
      </c>
      <c r="D136" s="606">
        <f>'d1'!D136-d1П!D136</f>
        <v>532739</v>
      </c>
      <c r="E136" s="606">
        <f>'d1'!E136-d1П!E136</f>
        <v>0</v>
      </c>
      <c r="F136" s="606">
        <f>'d1'!F136-d1П!F136</f>
        <v>0</v>
      </c>
      <c r="G136" s="105"/>
    </row>
    <row r="137" spans="1:7" ht="90.75" hidden="1" thickTop="1" thickBot="1" x14ac:dyDescent="0.3">
      <c r="A137" s="379">
        <v>41056600</v>
      </c>
      <c r="B137" s="380" t="s">
        <v>1027</v>
      </c>
      <c r="C137" s="381"/>
      <c r="D137" s="382"/>
      <c r="E137" s="382"/>
      <c r="F137" s="382"/>
      <c r="G137" s="105"/>
    </row>
    <row r="138" spans="1:7" ht="52.5" hidden="1" thickTop="1" thickBot="1" x14ac:dyDescent="0.25">
      <c r="A138" s="379">
        <v>41055000</v>
      </c>
      <c r="B138" s="380" t="s">
        <v>1046</v>
      </c>
      <c r="C138" s="381"/>
      <c r="D138" s="382"/>
      <c r="E138" s="382"/>
      <c r="F138" s="382"/>
      <c r="G138" s="106"/>
    </row>
    <row r="139" spans="1:7" ht="27" hidden="1" thickTop="1" thickBot="1" x14ac:dyDescent="0.25">
      <c r="A139" s="379">
        <v>41053600</v>
      </c>
      <c r="B139" s="380" t="s">
        <v>947</v>
      </c>
      <c r="C139" s="381"/>
      <c r="D139" s="382"/>
      <c r="E139" s="382"/>
      <c r="F139" s="382"/>
      <c r="G139" s="106"/>
    </row>
    <row r="140" spans="1:7" ht="205.5" hidden="1" thickTop="1" thickBot="1" x14ac:dyDescent="0.25">
      <c r="A140" s="379">
        <v>41054200</v>
      </c>
      <c r="B140" s="380" t="s">
        <v>1047</v>
      </c>
      <c r="C140" s="381"/>
      <c r="D140" s="382"/>
      <c r="E140" s="382"/>
      <c r="F140" s="382"/>
      <c r="G140" s="106"/>
    </row>
    <row r="141" spans="1:7" ht="27" thickTop="1" thickBot="1" x14ac:dyDescent="0.25">
      <c r="A141" s="610">
        <v>41053900</v>
      </c>
      <c r="B141" s="611" t="s">
        <v>901</v>
      </c>
      <c r="C141" s="606">
        <f>'d1'!C141-d1П!C140</f>
        <v>0</v>
      </c>
      <c r="D141" s="606">
        <f>'d1'!D141-d1П!D140</f>
        <v>0</v>
      </c>
      <c r="E141" s="606">
        <f>'d1'!E141-d1П!E140</f>
        <v>0</v>
      </c>
      <c r="F141" s="606">
        <f>'d1'!F141-d1П!F140</f>
        <v>0</v>
      </c>
      <c r="G141" s="106"/>
    </row>
    <row r="142" spans="1:7" ht="15.75" hidden="1" thickTop="1" thickBot="1" x14ac:dyDescent="0.25">
      <c r="A142" s="610"/>
      <c r="B142" s="627" t="s">
        <v>948</v>
      </c>
      <c r="C142" s="606">
        <f>'d1'!C142-d1П!C142</f>
        <v>-362971</v>
      </c>
      <c r="D142" s="606">
        <f>'d1'!D142-d1П!D142</f>
        <v>-362971</v>
      </c>
      <c r="E142" s="606">
        <f>'d1'!E142-d1П!E142</f>
        <v>0</v>
      </c>
      <c r="F142" s="606">
        <f>'d1'!F142-d1П!F142</f>
        <v>0</v>
      </c>
      <c r="G142" s="106"/>
    </row>
    <row r="143" spans="1:7" ht="39.75" thickTop="1" thickBot="1" x14ac:dyDescent="0.25">
      <c r="A143" s="610"/>
      <c r="B143" s="627" t="s">
        <v>902</v>
      </c>
      <c r="C143" s="606">
        <f>'d1'!C143-d1П!C142</f>
        <v>0</v>
      </c>
      <c r="D143" s="606">
        <f>'d1'!D143-d1П!D142</f>
        <v>0</v>
      </c>
      <c r="E143" s="606">
        <f>'d1'!E143-d1П!E142</f>
        <v>0</v>
      </c>
      <c r="F143" s="606">
        <f>'d1'!F143-d1П!F142</f>
        <v>0</v>
      </c>
      <c r="G143" s="106"/>
    </row>
    <row r="144" spans="1:7" ht="52.5" thickTop="1" thickBot="1" x14ac:dyDescent="0.25">
      <c r="A144" s="610"/>
      <c r="B144" s="627" t="s">
        <v>903</v>
      </c>
      <c r="C144" s="606">
        <f>'d1'!C144-d1П!C143</f>
        <v>0</v>
      </c>
      <c r="D144" s="606">
        <f>'d1'!D144-d1П!D143</f>
        <v>0</v>
      </c>
      <c r="E144" s="606">
        <f>'d1'!E144-d1П!E143</f>
        <v>0</v>
      </c>
      <c r="F144" s="606">
        <f>'d1'!F144-d1П!F143</f>
        <v>0</v>
      </c>
      <c r="G144" s="106"/>
    </row>
    <row r="145" spans="1:10" ht="27" thickTop="1" thickBot="1" x14ac:dyDescent="0.25">
      <c r="A145" s="610"/>
      <c r="B145" s="627" t="s">
        <v>904</v>
      </c>
      <c r="C145" s="606">
        <f>'d1'!C145-d1П!C144</f>
        <v>0</v>
      </c>
      <c r="D145" s="606">
        <f>'d1'!D145-d1П!D144</f>
        <v>0</v>
      </c>
      <c r="E145" s="606">
        <f>'d1'!E145-d1П!E144</f>
        <v>0</v>
      </c>
      <c r="F145" s="606">
        <f>'d1'!F145-d1П!F144</f>
        <v>0</v>
      </c>
      <c r="G145" s="106"/>
    </row>
    <row r="146" spans="1:10" ht="39.75" hidden="1" thickTop="1" thickBot="1" x14ac:dyDescent="0.25">
      <c r="A146" s="379"/>
      <c r="B146" s="383" t="s">
        <v>1085</v>
      </c>
      <c r="C146" s="606">
        <f>'d1'!C146-d1П!C145</f>
        <v>0</v>
      </c>
      <c r="D146" s="606">
        <f>'d1'!D146-d1П!D145</f>
        <v>0</v>
      </c>
      <c r="E146" s="606">
        <f>'d1'!E146-d1П!E145</f>
        <v>0</v>
      </c>
      <c r="F146" s="606">
        <f>'d1'!F146-d1П!F145</f>
        <v>0</v>
      </c>
      <c r="G146" s="106"/>
    </row>
    <row r="147" spans="1:10" ht="27" hidden="1" thickTop="1" thickBot="1" x14ac:dyDescent="0.25">
      <c r="A147" s="379"/>
      <c r="B147" s="383" t="s">
        <v>1086</v>
      </c>
      <c r="C147" s="606">
        <f>'d1'!C147-d1П!C146</f>
        <v>0</v>
      </c>
      <c r="D147" s="606">
        <f>'d1'!D147-d1П!D146</f>
        <v>0</v>
      </c>
      <c r="E147" s="606">
        <f>'d1'!E147-d1П!E146</f>
        <v>0</v>
      </c>
      <c r="F147" s="606">
        <f>'d1'!F147-d1П!F146</f>
        <v>0</v>
      </c>
      <c r="G147" s="106"/>
    </row>
    <row r="148" spans="1:10" ht="65.25" thickTop="1" thickBot="1" x14ac:dyDescent="0.25">
      <c r="A148" s="610">
        <v>41057700</v>
      </c>
      <c r="B148" s="611" t="s">
        <v>1377</v>
      </c>
      <c r="C148" s="606">
        <f>'d1'!C148-d1П!C147</f>
        <v>93550</v>
      </c>
      <c r="D148" s="606">
        <f>'d1'!D148-d1П!D147</f>
        <v>93550</v>
      </c>
      <c r="E148" s="606">
        <f>'d1'!E148-d1П!E147</f>
        <v>0</v>
      </c>
      <c r="F148" s="606">
        <f>'d1'!F148-d1П!F147</f>
        <v>0</v>
      </c>
      <c r="G148" s="106"/>
    </row>
    <row r="149" spans="1:10" ht="52.5" hidden="1" thickTop="1" thickBot="1" x14ac:dyDescent="0.25">
      <c r="A149" s="373">
        <v>41059000</v>
      </c>
      <c r="B149" s="374" t="s">
        <v>1402</v>
      </c>
      <c r="C149" s="371">
        <f>SUM(D149,E149)</f>
        <v>0</v>
      </c>
      <c r="D149" s="375">
        <v>0</v>
      </c>
      <c r="E149" s="375"/>
      <c r="F149" s="375"/>
      <c r="G149" s="106"/>
    </row>
    <row r="150" spans="1:10" ht="33.75" customHeight="1" thickTop="1" thickBot="1" x14ac:dyDescent="0.3">
      <c r="A150" s="624"/>
      <c r="B150" s="625" t="s">
        <v>1038</v>
      </c>
      <c r="C150" s="626">
        <f>SUM(D150,E150)</f>
        <v>191469712.00999999</v>
      </c>
      <c r="D150" s="626">
        <f>SUM(D111,D112)</f>
        <v>173097601.00999999</v>
      </c>
      <c r="E150" s="626">
        <f>SUM(E111,E112)</f>
        <v>18372111</v>
      </c>
      <c r="F150" s="626">
        <f>SUM(F111,F112)</f>
        <v>10700000</v>
      </c>
      <c r="G150" s="719" t="b">
        <f>C150=C145+C144+C143+C122+C116+C110+C103+C102+C98+C97+C96+C95+C92+C91+C90+C89+C86+C85+C83+C81+C80+C79+C74+C73+C72+C70+C69+C65+C64+C63+C60+C59+C58+C56+C55+C51+C50+C49+C48+C47+C46+C45+C44+C43+C42+C38+C36+C33+C31+C29+C25+C21+C20+C19+C18+C107+C106+C39+C53+C134+C132+C114+C148+C117+C149+C108+C130+C128+C129+C136+C87+C28+C23+C22+C76+C75+C133+C121</f>
        <v>1</v>
      </c>
      <c r="H150" s="719" t="b">
        <f>D150=D145+D144+D143+D122+D116+D110+D103+D102+D98+D97+D96+D95+D92+D91+D90+D89+D86+D85+D83+D81+D80+D79+D74+D73+D72+D70+D69+D65+D64+D63+D60+D59+D58+D56+D55+D51+D50+D49+D48+D47+D46+D45+D44+D43+D42+D38+D36+D33+D31+D29+D25+D21+D20+D19+D18+D107+D106+D39+D53+D134+D132+D114+D148+D117+D149+D108+D130+D128+D129+D136+D87+D28+D23+D22+D76+D75+D133+D121</f>
        <v>1</v>
      </c>
      <c r="I150" s="719" t="b">
        <f>E150=E145+E144+E143+E122+E116+E110+E103+E102+E98+E97+E96+E95+E92+E91+E90+E89+E86+E85+E83+E81+E80+E79+E74+E73+E72+E70+E69+E65+E64+E63+E60+E59+E58+E56+E55+E51+E50+E49+E48+E47+E46+E45+E44+E43+E42+E38+E36+E33+E31+E29+E25+E21+E20+E19+E18+E107+E106+E39+E53+E134+E132+E114+E148+E117+E149+E108+E130+E128+E129+E136+E87+E28+E23+E22+E76+E75+E133+E121</f>
        <v>1</v>
      </c>
      <c r="J150" s="719" t="b">
        <f>F150=F145+F144+F143+F122+F116+F110+F103+F102+F98+F97+F96+F95+F92+F91+F90+F89+F86+F85+F83+F81+F80+F79+F74+F73+F72+F70+F69+F65+F64+F63+F60+F59+F58+F56+F55+F51+F50+F49+F48+F47+F46+F45+F44+F43+F42+F38+F36+F33+F31+F29+F25+F21+F20+F19+F18+F107+F106+F39+F53+F134+F132+F114+F148+F117+F149+F108+F130+F128+F129+F136+F87+F28+F23+F22+F76+F75+F133+F121</f>
        <v>1</v>
      </c>
    </row>
    <row r="151" spans="1:10" ht="16.5" thickTop="1" x14ac:dyDescent="0.25">
      <c r="B151" s="112"/>
      <c r="G151" s="719" t="b">
        <f>(((4196633892-'d2'!C37-'d2'!C22)+129600000)+1158900+4436136.01+7672111)+178202565=C150</f>
        <v>0</v>
      </c>
    </row>
    <row r="152" spans="1:10" ht="15.75" x14ac:dyDescent="0.2">
      <c r="B152" s="365" t="s">
        <v>1480</v>
      </c>
      <c r="C152"/>
      <c r="D152"/>
      <c r="E152" s="366" t="s">
        <v>1481</v>
      </c>
      <c r="F152" s="114"/>
    </row>
    <row r="153" spans="1:10" ht="15.75" hidden="1" x14ac:dyDescent="0.2">
      <c r="B153" s="365" t="s">
        <v>1445</v>
      </c>
      <c r="C153"/>
      <c r="D153"/>
      <c r="E153" s="366" t="s">
        <v>1446</v>
      </c>
      <c r="F153" s="114"/>
    </row>
    <row r="154" spans="1:10" ht="15.75" x14ac:dyDescent="0.25">
      <c r="B154" s="1"/>
      <c r="C154" s="598"/>
      <c r="D154" s="598"/>
      <c r="E154" s="1"/>
    </row>
    <row r="155" spans="1:10" ht="15.75" x14ac:dyDescent="0.25">
      <c r="A155" s="115"/>
      <c r="B155" s="472" t="s">
        <v>523</v>
      </c>
      <c r="C155" s="1"/>
      <c r="D155" s="1"/>
      <c r="E155" s="1" t="s">
        <v>1346</v>
      </c>
      <c r="F155" s="115"/>
    </row>
    <row r="158" spans="1:10" x14ac:dyDescent="0.2">
      <c r="C158" s="113"/>
      <c r="D158" s="113"/>
      <c r="E158" s="113"/>
      <c r="F158" s="113"/>
    </row>
  </sheetData>
  <mergeCells count="13">
    <mergeCell ref="A6:F6"/>
    <mergeCell ref="D1:G1"/>
    <mergeCell ref="D2:G2"/>
    <mergeCell ref="D3:G3"/>
    <mergeCell ref="A4:E4"/>
    <mergeCell ref="A5:F5"/>
    <mergeCell ref="A8:F8"/>
    <mergeCell ref="A9:F9"/>
    <mergeCell ref="A12:A13"/>
    <mergeCell ref="B12:B13"/>
    <mergeCell ref="C12:C13"/>
    <mergeCell ref="D12:D13"/>
    <mergeCell ref="E12:F12"/>
  </mergeCells>
  <hyperlinks>
    <hyperlink ref="B100" location="_ftn1" display="_ftn1"/>
    <hyperlink ref="B99" location="_ftn1" display="_ftn1"/>
    <hyperlink ref="B86" location="_ftn1" display="_ftn1"/>
    <hyperlink ref="B20" location="_ftn1" display="_ftn1"/>
    <hyperlink ref="B19" location="_ftn1" display="_ftn1"/>
    <hyperlink ref="B64" location="_ftn1" display="_ftn1"/>
    <hyperlink ref="B104" location="_ftn1" display="_ftn1"/>
    <hyperlink ref="B105" location="_ftn1" display="_ftn1"/>
    <hyperlink ref="B72" location="_ftn1" display="_ftn1"/>
  </hyperlinks>
  <printOptions horizontalCentered="1"/>
  <pageMargins left="0.35433070866141736" right="0.15748031496062992" top="0.59055118110236227" bottom="0.51181102362204722" header="0.51181102362204722" footer="0.51181102362204722"/>
  <pageSetup paperSize="9" scale="87" fitToHeight="0" orientation="portrait" verticalDpi="4294967295" r:id="rId1"/>
  <headerFooter alignWithMargins="0"/>
  <rowBreaks count="1" manualBreakCount="1">
    <brk id="106" max="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J158"/>
  <sheetViews>
    <sheetView tabSelected="1" view="pageBreakPreview" zoomScaleNormal="100" zoomScaleSheetLayoutView="100" workbookViewId="0">
      <selection activeCell="E127" sqref="E127"/>
    </sheetView>
  </sheetViews>
  <sheetFormatPr defaultColWidth="6.85546875" defaultRowHeight="12.75" x14ac:dyDescent="0.2"/>
  <cols>
    <col min="1" max="1" width="10.140625" style="104" customWidth="1"/>
    <col min="2" max="2" width="40.42578125" style="104" customWidth="1"/>
    <col min="3" max="4" width="17.28515625" style="104" customWidth="1"/>
    <col min="5" max="5" width="15.7109375" style="104" customWidth="1"/>
    <col min="6" max="6" width="14.5703125" style="104" customWidth="1"/>
    <col min="7" max="10" width="10.85546875" style="104" bestFit="1" customWidth="1"/>
    <col min="11" max="252" width="7.85546875" style="104" customWidth="1"/>
    <col min="253" max="16384" width="6.85546875" style="104"/>
  </cols>
  <sheetData>
    <row r="1" spans="1:7" ht="15.75" x14ac:dyDescent="0.2">
      <c r="A1" s="598"/>
      <c r="B1" s="598"/>
      <c r="C1" s="598"/>
      <c r="D1" s="754" t="s">
        <v>56</v>
      </c>
      <c r="E1" s="755"/>
      <c r="F1" s="755"/>
      <c r="G1" s="755"/>
    </row>
    <row r="2" spans="1:7" ht="15.75" x14ac:dyDescent="0.2">
      <c r="A2" s="598"/>
      <c r="B2" s="598"/>
      <c r="C2" s="599"/>
      <c r="D2" s="754" t="s">
        <v>1582</v>
      </c>
      <c r="E2" s="756"/>
      <c r="F2" s="756"/>
      <c r="G2" s="756"/>
    </row>
    <row r="3" spans="1:7" ht="6" hidden="1" customHeight="1" x14ac:dyDescent="0.2">
      <c r="A3" s="598"/>
      <c r="B3" s="598"/>
      <c r="C3" s="599"/>
      <c r="D3" s="754"/>
      <c r="E3" s="756"/>
      <c r="F3" s="756"/>
      <c r="G3" s="756"/>
    </row>
    <row r="4" spans="1:7" ht="12.75" customHeight="1" x14ac:dyDescent="0.2">
      <c r="A4" s="747"/>
      <c r="B4" s="747"/>
      <c r="C4" s="747"/>
      <c r="D4" s="747"/>
      <c r="E4" s="747"/>
      <c r="F4" s="598"/>
      <c r="G4" s="598"/>
    </row>
    <row r="5" spans="1:7" ht="20.25" x14ac:dyDescent="0.2">
      <c r="A5" s="747" t="s">
        <v>1110</v>
      </c>
      <c r="B5" s="748"/>
      <c r="C5" s="748"/>
      <c r="D5" s="748"/>
      <c r="E5" s="748"/>
      <c r="F5" s="748"/>
      <c r="G5" s="598"/>
    </row>
    <row r="6" spans="1:7" ht="20.25" x14ac:dyDescent="0.2">
      <c r="A6" s="747" t="s">
        <v>1532</v>
      </c>
      <c r="B6" s="748"/>
      <c r="C6" s="748"/>
      <c r="D6" s="748"/>
      <c r="E6" s="748"/>
      <c r="F6" s="748"/>
      <c r="G6" s="598"/>
    </row>
    <row r="7" spans="1:7" ht="20.25" x14ac:dyDescent="0.2">
      <c r="A7" s="600"/>
      <c r="B7" s="308"/>
      <c r="C7" s="308"/>
      <c r="D7" s="308"/>
      <c r="E7" s="308"/>
      <c r="F7" s="308"/>
      <c r="G7" s="598"/>
    </row>
    <row r="8" spans="1:7" ht="20.25" x14ac:dyDescent="0.2">
      <c r="A8" s="749">
        <v>2256400000</v>
      </c>
      <c r="B8" s="750"/>
      <c r="C8" s="750"/>
      <c r="D8" s="750"/>
      <c r="E8" s="750"/>
      <c r="F8" s="750"/>
      <c r="G8" s="598"/>
    </row>
    <row r="9" spans="1:7" ht="15.75" x14ac:dyDescent="0.2">
      <c r="A9" s="751" t="s">
        <v>490</v>
      </c>
      <c r="B9" s="752"/>
      <c r="C9" s="752"/>
      <c r="D9" s="752"/>
      <c r="E9" s="752"/>
      <c r="F9" s="752"/>
      <c r="G9" s="598"/>
    </row>
    <row r="10" spans="1:7" ht="20.25" x14ac:dyDescent="0.2">
      <c r="A10" s="600"/>
      <c r="B10" s="476"/>
      <c r="C10" s="476"/>
      <c r="D10" s="476"/>
      <c r="E10" s="476"/>
      <c r="F10" s="476"/>
      <c r="G10" s="598"/>
    </row>
    <row r="11" spans="1:7" ht="13.5" thickBot="1" x14ac:dyDescent="0.25">
      <c r="A11" s="598"/>
      <c r="B11" s="601"/>
      <c r="C11" s="601"/>
      <c r="D11" s="601"/>
      <c r="E11" s="601"/>
      <c r="F11" s="602" t="s">
        <v>404</v>
      </c>
      <c r="G11" s="598"/>
    </row>
    <row r="12" spans="1:7" ht="14.25" thickTop="1" thickBot="1" x14ac:dyDescent="0.25">
      <c r="A12" s="753" t="s">
        <v>57</v>
      </c>
      <c r="B12" s="753" t="s">
        <v>1533</v>
      </c>
      <c r="C12" s="753" t="s">
        <v>383</v>
      </c>
      <c r="D12" s="753" t="s">
        <v>12</v>
      </c>
      <c r="E12" s="753" t="s">
        <v>52</v>
      </c>
      <c r="F12" s="753"/>
      <c r="G12" s="603"/>
    </row>
    <row r="13" spans="1:7" ht="39.75" thickTop="1" thickBot="1" x14ac:dyDescent="0.3">
      <c r="A13" s="753"/>
      <c r="B13" s="753"/>
      <c r="C13" s="753"/>
      <c r="D13" s="753"/>
      <c r="E13" s="604" t="s">
        <v>384</v>
      </c>
      <c r="F13" s="604" t="s">
        <v>426</v>
      </c>
      <c r="G13" s="605"/>
    </row>
    <row r="14" spans="1:7" ht="16.5" thickTop="1" thickBot="1" x14ac:dyDescent="0.3">
      <c r="A14" s="604">
        <v>1</v>
      </c>
      <c r="B14" s="604">
        <v>2</v>
      </c>
      <c r="C14" s="604">
        <v>3</v>
      </c>
      <c r="D14" s="604">
        <v>4</v>
      </c>
      <c r="E14" s="604">
        <v>5</v>
      </c>
      <c r="F14" s="604">
        <v>6</v>
      </c>
      <c r="G14" s="605"/>
    </row>
    <row r="15" spans="1:7" ht="25.5" customHeight="1" thickTop="1" thickBot="1" x14ac:dyDescent="0.25">
      <c r="A15" s="630">
        <v>10000000</v>
      </c>
      <c r="B15" s="630" t="s">
        <v>58</v>
      </c>
      <c r="C15" s="631">
        <f t="shared" ref="C15:C70" si="0">SUM(D15,E15)</f>
        <v>3038730100</v>
      </c>
      <c r="D15" s="631">
        <f>SUM(D16,D32,D40,D61,D26)</f>
        <v>3037530100</v>
      </c>
      <c r="E15" s="631">
        <f>SUM(E16,E32,E40,E61,E26)</f>
        <v>1200000</v>
      </c>
      <c r="F15" s="631">
        <f>SUM(F16,F32,F40,F61,F26)</f>
        <v>0</v>
      </c>
      <c r="G15" s="106"/>
    </row>
    <row r="16" spans="1:7" ht="31.7" customHeight="1" thickTop="1" thickBot="1" x14ac:dyDescent="0.25">
      <c r="A16" s="604">
        <v>11000000</v>
      </c>
      <c r="B16" s="604" t="s">
        <v>59</v>
      </c>
      <c r="C16" s="606">
        <f>SUM(D16,E16)</f>
        <v>1731185000</v>
      </c>
      <c r="D16" s="606">
        <f>SUM(D17,D24)</f>
        <v>1731185000</v>
      </c>
      <c r="E16" s="371"/>
      <c r="F16" s="371"/>
      <c r="G16" s="107"/>
    </row>
    <row r="17" spans="1:7" ht="24.75" customHeight="1" thickTop="1" thickBot="1" x14ac:dyDescent="0.25">
      <c r="A17" s="607">
        <v>11010000</v>
      </c>
      <c r="B17" s="608" t="s">
        <v>60</v>
      </c>
      <c r="C17" s="609">
        <f t="shared" si="0"/>
        <v>1729485000</v>
      </c>
      <c r="D17" s="609">
        <f>SUM(D18:D23)</f>
        <v>1729485000</v>
      </c>
      <c r="E17" s="372"/>
      <c r="F17" s="372"/>
      <c r="G17" s="107"/>
    </row>
    <row r="18" spans="1:7" ht="39.75" thickTop="1" thickBot="1" x14ac:dyDescent="0.25">
      <c r="A18" s="610">
        <v>11010100</v>
      </c>
      <c r="B18" s="611" t="s">
        <v>61</v>
      </c>
      <c r="C18" s="606">
        <f>SUM(D18,E18)</f>
        <v>1611780000</v>
      </c>
      <c r="D18" s="612">
        <v>1611780000</v>
      </c>
      <c r="E18" s="375"/>
      <c r="F18" s="375"/>
      <c r="G18" s="107"/>
    </row>
    <row r="19" spans="1:7" ht="65.25" hidden="1" thickTop="1" thickBot="1" x14ac:dyDescent="0.25">
      <c r="A19" s="373">
        <v>11010200</v>
      </c>
      <c r="B19" s="374" t="s">
        <v>62</v>
      </c>
      <c r="C19" s="371">
        <f t="shared" si="0"/>
        <v>0</v>
      </c>
      <c r="D19" s="375">
        <v>0</v>
      </c>
      <c r="E19" s="375"/>
      <c r="F19" s="375"/>
      <c r="G19" s="107"/>
    </row>
    <row r="20" spans="1:7" ht="39.75" thickTop="1" thickBot="1" x14ac:dyDescent="0.25">
      <c r="A20" s="610">
        <v>11010400</v>
      </c>
      <c r="B20" s="611" t="s">
        <v>63</v>
      </c>
      <c r="C20" s="606">
        <f t="shared" si="0"/>
        <v>60665000</v>
      </c>
      <c r="D20" s="612">
        <v>60665000</v>
      </c>
      <c r="E20" s="375"/>
      <c r="F20" s="375"/>
      <c r="G20" s="107"/>
    </row>
    <row r="21" spans="1:7" ht="39.75" thickTop="1" thickBot="1" x14ac:dyDescent="0.3">
      <c r="A21" s="610">
        <v>11010500</v>
      </c>
      <c r="B21" s="611" t="s">
        <v>64</v>
      </c>
      <c r="C21" s="606">
        <f t="shared" si="0"/>
        <v>56355000</v>
      </c>
      <c r="D21" s="612">
        <v>56355000</v>
      </c>
      <c r="E21" s="375"/>
      <c r="F21" s="375"/>
      <c r="G21" s="105"/>
    </row>
    <row r="22" spans="1:7" ht="27" thickTop="1" thickBot="1" x14ac:dyDescent="0.3">
      <c r="A22" s="610">
        <v>11011200</v>
      </c>
      <c r="B22" s="611" t="s">
        <v>1534</v>
      </c>
      <c r="C22" s="606">
        <f t="shared" si="0"/>
        <v>645000</v>
      </c>
      <c r="D22" s="612">
        <v>645000</v>
      </c>
      <c r="E22" s="375"/>
      <c r="F22" s="375"/>
      <c r="G22" s="105"/>
    </row>
    <row r="23" spans="1:7" ht="39.75" thickTop="1" thickBot="1" x14ac:dyDescent="0.3">
      <c r="A23" s="610">
        <v>11011300</v>
      </c>
      <c r="B23" s="611" t="s">
        <v>1535</v>
      </c>
      <c r="C23" s="606">
        <f t="shared" si="0"/>
        <v>40000</v>
      </c>
      <c r="D23" s="612">
        <v>40000</v>
      </c>
      <c r="E23" s="375"/>
      <c r="F23" s="375"/>
      <c r="G23" s="105"/>
    </row>
    <row r="24" spans="1:7" ht="28.5" customHeight="1" thickTop="1" thickBot="1" x14ac:dyDescent="0.25">
      <c r="A24" s="607">
        <v>11020000</v>
      </c>
      <c r="B24" s="608" t="s">
        <v>65</v>
      </c>
      <c r="C24" s="609">
        <f>SUM(D24,E24)</f>
        <v>1700000</v>
      </c>
      <c r="D24" s="609">
        <f>D25</f>
        <v>1700000</v>
      </c>
      <c r="E24" s="372"/>
      <c r="F24" s="372"/>
      <c r="G24" s="106"/>
    </row>
    <row r="25" spans="1:7" ht="27" thickTop="1" thickBot="1" x14ac:dyDescent="0.3">
      <c r="A25" s="610">
        <v>11020200</v>
      </c>
      <c r="B25" s="613" t="s">
        <v>66</v>
      </c>
      <c r="C25" s="606">
        <f>SUM(D25,E25)</f>
        <v>1700000</v>
      </c>
      <c r="D25" s="612">
        <v>1700000</v>
      </c>
      <c r="E25" s="375"/>
      <c r="F25" s="375"/>
      <c r="G25" s="105"/>
    </row>
    <row r="26" spans="1:7" ht="27" thickTop="1" thickBot="1" x14ac:dyDescent="0.3">
      <c r="A26" s="604">
        <v>13000000</v>
      </c>
      <c r="B26" s="614" t="s">
        <v>526</v>
      </c>
      <c r="C26" s="606">
        <f>D26+E26</f>
        <v>1000000</v>
      </c>
      <c r="D26" s="606">
        <f>SUM(D27,D30)</f>
        <v>1000000</v>
      </c>
      <c r="E26" s="375"/>
      <c r="F26" s="375"/>
      <c r="G26" s="105"/>
    </row>
    <row r="27" spans="1:7" ht="28.5" thickTop="1" thickBot="1" x14ac:dyDescent="0.3">
      <c r="A27" s="607">
        <v>13010000</v>
      </c>
      <c r="B27" s="615" t="s">
        <v>527</v>
      </c>
      <c r="C27" s="609">
        <f>D27+E27</f>
        <v>985000</v>
      </c>
      <c r="D27" s="609">
        <f>SUM(D28:D29)</f>
        <v>985000</v>
      </c>
      <c r="E27" s="372"/>
      <c r="F27" s="372"/>
      <c r="G27" s="105"/>
    </row>
    <row r="28" spans="1:7" ht="52.5" thickTop="1" thickBot="1" x14ac:dyDescent="0.3">
      <c r="A28" s="610">
        <v>13010100</v>
      </c>
      <c r="B28" s="616" t="s">
        <v>1536</v>
      </c>
      <c r="C28" s="606">
        <f t="shared" ref="C28:C32" si="1">D28+E28</f>
        <v>450000</v>
      </c>
      <c r="D28" s="612">
        <v>450000</v>
      </c>
      <c r="E28" s="375"/>
      <c r="F28" s="375"/>
      <c r="G28" s="105"/>
    </row>
    <row r="29" spans="1:7" ht="65.25" thickTop="1" thickBot="1" x14ac:dyDescent="0.3">
      <c r="A29" s="610">
        <v>13010200</v>
      </c>
      <c r="B29" s="616" t="s">
        <v>528</v>
      </c>
      <c r="C29" s="606">
        <f t="shared" si="1"/>
        <v>535000</v>
      </c>
      <c r="D29" s="612">
        <v>535000</v>
      </c>
      <c r="E29" s="375"/>
      <c r="F29" s="375"/>
      <c r="G29" s="105"/>
    </row>
    <row r="30" spans="1:7" ht="16.5" thickTop="1" thickBot="1" x14ac:dyDescent="0.3">
      <c r="A30" s="607">
        <v>13030000</v>
      </c>
      <c r="B30" s="617" t="s">
        <v>529</v>
      </c>
      <c r="C30" s="609">
        <f>D30+E30</f>
        <v>15000</v>
      </c>
      <c r="D30" s="609">
        <f>SUM(D31)</f>
        <v>15000</v>
      </c>
      <c r="E30" s="372"/>
      <c r="F30" s="372"/>
      <c r="G30" s="105"/>
    </row>
    <row r="31" spans="1:7" ht="39.75" thickTop="1" thickBot="1" x14ac:dyDescent="0.3">
      <c r="A31" s="610">
        <v>13030100</v>
      </c>
      <c r="B31" s="616" t="s">
        <v>530</v>
      </c>
      <c r="C31" s="606">
        <f t="shared" si="1"/>
        <v>15000</v>
      </c>
      <c r="D31" s="612">
        <v>15000</v>
      </c>
      <c r="E31" s="375"/>
      <c r="F31" s="375"/>
      <c r="G31" s="105"/>
    </row>
    <row r="32" spans="1:7" ht="26.45" customHeight="1" thickTop="1" thickBot="1" x14ac:dyDescent="0.3">
      <c r="A32" s="604">
        <v>14000000</v>
      </c>
      <c r="B32" s="614" t="s">
        <v>531</v>
      </c>
      <c r="C32" s="606">
        <f t="shared" si="1"/>
        <v>400215000</v>
      </c>
      <c r="D32" s="606">
        <f>SUM(D33,D35,D37)</f>
        <v>400215000</v>
      </c>
      <c r="E32" s="371"/>
      <c r="F32" s="375"/>
      <c r="G32" s="105"/>
    </row>
    <row r="33" spans="1:7" ht="30" customHeight="1" thickTop="1" thickBot="1" x14ac:dyDescent="0.3">
      <c r="A33" s="607">
        <v>14020000</v>
      </c>
      <c r="B33" s="615" t="s">
        <v>622</v>
      </c>
      <c r="C33" s="609">
        <f>SUM(D33,E33)</f>
        <v>21715000</v>
      </c>
      <c r="D33" s="609">
        <f>SUM(D34,E34)</f>
        <v>21715000</v>
      </c>
      <c r="E33" s="372"/>
      <c r="F33" s="378"/>
      <c r="G33" s="105"/>
    </row>
    <row r="34" spans="1:7" ht="16.5" thickTop="1" thickBot="1" x14ac:dyDescent="0.3">
      <c r="A34" s="610">
        <v>14021900</v>
      </c>
      <c r="B34" s="613" t="s">
        <v>621</v>
      </c>
      <c r="C34" s="612">
        <f>SUM(D34,E34)</f>
        <v>21715000</v>
      </c>
      <c r="D34" s="612">
        <v>21715000</v>
      </c>
      <c r="E34" s="371"/>
      <c r="F34" s="375"/>
      <c r="G34" s="105"/>
    </row>
    <row r="35" spans="1:7" ht="42" thickTop="1" thickBot="1" x14ac:dyDescent="0.3">
      <c r="A35" s="607">
        <v>14030000</v>
      </c>
      <c r="B35" s="615" t="s">
        <v>623</v>
      </c>
      <c r="C35" s="609">
        <f>SUM(D35,E35)</f>
        <v>73500000</v>
      </c>
      <c r="D35" s="609">
        <f>SUM(D36,E36)</f>
        <v>73500000</v>
      </c>
      <c r="E35" s="372"/>
      <c r="F35" s="378"/>
      <c r="G35" s="105"/>
    </row>
    <row r="36" spans="1:7" ht="16.5" thickTop="1" thickBot="1" x14ac:dyDescent="0.3">
      <c r="A36" s="610">
        <v>14031900</v>
      </c>
      <c r="B36" s="613" t="s">
        <v>621</v>
      </c>
      <c r="C36" s="612">
        <f>SUM(D36,E36)</f>
        <v>73500000</v>
      </c>
      <c r="D36" s="612">
        <v>73500000</v>
      </c>
      <c r="E36" s="371"/>
      <c r="F36" s="375"/>
      <c r="G36" s="105"/>
    </row>
    <row r="37" spans="1:7" ht="42" thickTop="1" thickBot="1" x14ac:dyDescent="0.3">
      <c r="A37" s="607">
        <v>14040000</v>
      </c>
      <c r="B37" s="615" t="s">
        <v>1209</v>
      </c>
      <c r="C37" s="609">
        <f>SUM(C38:C39)</f>
        <v>305000000</v>
      </c>
      <c r="D37" s="609">
        <f>SUM(D38:D39)</f>
        <v>305000000</v>
      </c>
      <c r="E37" s="372"/>
      <c r="F37" s="378"/>
      <c r="G37" s="105"/>
    </row>
    <row r="38" spans="1:7" ht="103.5" thickTop="1" thickBot="1" x14ac:dyDescent="0.25">
      <c r="A38" s="610">
        <v>14040100</v>
      </c>
      <c r="B38" s="613" t="s">
        <v>1229</v>
      </c>
      <c r="C38" s="612">
        <f>SUM(D38,E38)</f>
        <v>198250115</v>
      </c>
      <c r="D38" s="612">
        <v>198250115</v>
      </c>
      <c r="E38" s="371"/>
      <c r="F38" s="375"/>
      <c r="G38" s="108"/>
    </row>
    <row r="39" spans="1:7" ht="78" thickTop="1" thickBot="1" x14ac:dyDescent="0.25">
      <c r="A39" s="610">
        <v>14040200</v>
      </c>
      <c r="B39" s="613" t="s">
        <v>1208</v>
      </c>
      <c r="C39" s="612">
        <f>SUM(D39,E39)</f>
        <v>106749885</v>
      </c>
      <c r="D39" s="612">
        <v>106749885</v>
      </c>
      <c r="E39" s="371"/>
      <c r="F39" s="375"/>
      <c r="G39" s="108"/>
    </row>
    <row r="40" spans="1:7" ht="29.25" customHeight="1" thickTop="1" thickBot="1" x14ac:dyDescent="0.3">
      <c r="A40" s="604">
        <v>18000000</v>
      </c>
      <c r="B40" s="604" t="s">
        <v>67</v>
      </c>
      <c r="C40" s="606">
        <f t="shared" si="0"/>
        <v>905130100</v>
      </c>
      <c r="D40" s="606">
        <f>SUM(D41,D54,D57,D52)</f>
        <v>905130100</v>
      </c>
      <c r="E40" s="371"/>
      <c r="F40" s="371"/>
      <c r="G40" s="105"/>
    </row>
    <row r="41" spans="1:7" ht="16.5" thickTop="1" thickBot="1" x14ac:dyDescent="0.3">
      <c r="A41" s="607">
        <v>18010000</v>
      </c>
      <c r="B41" s="615" t="s">
        <v>68</v>
      </c>
      <c r="C41" s="609">
        <f>SUM(D41,E41)</f>
        <v>302215000</v>
      </c>
      <c r="D41" s="609">
        <f>SUM(D42:D51)</f>
        <v>302215000</v>
      </c>
      <c r="E41" s="372"/>
      <c r="F41" s="372"/>
      <c r="G41" s="105"/>
    </row>
    <row r="42" spans="1:7" ht="52.5" thickTop="1" thickBot="1" x14ac:dyDescent="0.3">
      <c r="A42" s="610">
        <v>18010100</v>
      </c>
      <c r="B42" s="613" t="s">
        <v>69</v>
      </c>
      <c r="C42" s="606">
        <f t="shared" si="0"/>
        <v>310500</v>
      </c>
      <c r="D42" s="612">
        <v>310500</v>
      </c>
      <c r="E42" s="375"/>
      <c r="F42" s="375"/>
      <c r="G42" s="105"/>
    </row>
    <row r="43" spans="1:7" ht="52.5" thickTop="1" thickBot="1" x14ac:dyDescent="0.3">
      <c r="A43" s="610">
        <v>18010200</v>
      </c>
      <c r="B43" s="613" t="s">
        <v>70</v>
      </c>
      <c r="C43" s="606">
        <f t="shared" si="0"/>
        <v>20055000</v>
      </c>
      <c r="D43" s="612">
        <v>20055000</v>
      </c>
      <c r="E43" s="375"/>
      <c r="F43" s="375"/>
      <c r="G43" s="105"/>
    </row>
    <row r="44" spans="1:7" ht="52.5" thickTop="1" thickBot="1" x14ac:dyDescent="0.3">
      <c r="A44" s="610">
        <v>18010300</v>
      </c>
      <c r="B44" s="613" t="s">
        <v>71</v>
      </c>
      <c r="C44" s="606">
        <f t="shared" si="0"/>
        <v>10050600</v>
      </c>
      <c r="D44" s="612">
        <v>10050600</v>
      </c>
      <c r="E44" s="375"/>
      <c r="F44" s="375"/>
      <c r="G44" s="105"/>
    </row>
    <row r="45" spans="1:7" ht="52.5" thickTop="1" thickBot="1" x14ac:dyDescent="0.3">
      <c r="A45" s="610">
        <v>18010400</v>
      </c>
      <c r="B45" s="613" t="s">
        <v>72</v>
      </c>
      <c r="C45" s="606">
        <f t="shared" si="0"/>
        <v>38083900</v>
      </c>
      <c r="D45" s="612">
        <v>38083900</v>
      </c>
      <c r="E45" s="375"/>
      <c r="F45" s="375"/>
      <c r="G45" s="105"/>
    </row>
    <row r="46" spans="1:7" ht="16.5" thickTop="1" thickBot="1" x14ac:dyDescent="0.3">
      <c r="A46" s="610">
        <v>18010500</v>
      </c>
      <c r="B46" s="613" t="s">
        <v>73</v>
      </c>
      <c r="C46" s="606">
        <f t="shared" si="0"/>
        <v>40250000</v>
      </c>
      <c r="D46" s="612">
        <v>40250000</v>
      </c>
      <c r="E46" s="375"/>
      <c r="F46" s="375"/>
      <c r="G46" s="105"/>
    </row>
    <row r="47" spans="1:7" ht="16.5" thickTop="1" thickBot="1" x14ac:dyDescent="0.3">
      <c r="A47" s="610">
        <v>18010600</v>
      </c>
      <c r="B47" s="613" t="s">
        <v>74</v>
      </c>
      <c r="C47" s="606">
        <f t="shared" si="0"/>
        <v>145650800</v>
      </c>
      <c r="D47" s="612">
        <v>145650800</v>
      </c>
      <c r="E47" s="375"/>
      <c r="F47" s="375"/>
      <c r="G47" s="105"/>
    </row>
    <row r="48" spans="1:7" ht="16.5" thickTop="1" thickBot="1" x14ac:dyDescent="0.3">
      <c r="A48" s="610">
        <v>18010700</v>
      </c>
      <c r="B48" s="613" t="s">
        <v>75</v>
      </c>
      <c r="C48" s="606">
        <f t="shared" si="0"/>
        <v>3500000</v>
      </c>
      <c r="D48" s="612">
        <v>3500000</v>
      </c>
      <c r="E48" s="375"/>
      <c r="F48" s="375"/>
      <c r="G48" s="105"/>
    </row>
    <row r="49" spans="1:7" ht="16.5" thickTop="1" thickBot="1" x14ac:dyDescent="0.3">
      <c r="A49" s="610">
        <v>18010900</v>
      </c>
      <c r="B49" s="613" t="s">
        <v>76</v>
      </c>
      <c r="C49" s="606">
        <f t="shared" si="0"/>
        <v>42814200</v>
      </c>
      <c r="D49" s="612">
        <v>42814200</v>
      </c>
      <c r="E49" s="375"/>
      <c r="F49" s="375"/>
      <c r="G49" s="105"/>
    </row>
    <row r="50" spans="1:7" ht="15.75" thickTop="1" thickBot="1" x14ac:dyDescent="0.25">
      <c r="A50" s="610">
        <v>18011000</v>
      </c>
      <c r="B50" s="613" t="s">
        <v>77</v>
      </c>
      <c r="C50" s="606">
        <f t="shared" si="0"/>
        <v>950000</v>
      </c>
      <c r="D50" s="612">
        <v>950000</v>
      </c>
      <c r="E50" s="375"/>
      <c r="F50" s="375"/>
      <c r="G50" s="106"/>
    </row>
    <row r="51" spans="1:7" ht="16.5" thickTop="1" thickBot="1" x14ac:dyDescent="0.3">
      <c r="A51" s="610">
        <v>18011100</v>
      </c>
      <c r="B51" s="613" t="s">
        <v>78</v>
      </c>
      <c r="C51" s="606">
        <f t="shared" si="0"/>
        <v>550000</v>
      </c>
      <c r="D51" s="612">
        <v>550000</v>
      </c>
      <c r="E51" s="375"/>
      <c r="F51" s="375"/>
      <c r="G51" s="105"/>
    </row>
    <row r="52" spans="1:7" ht="28.5" thickTop="1" thickBot="1" x14ac:dyDescent="0.3">
      <c r="A52" s="607">
        <v>18020000</v>
      </c>
      <c r="B52" s="615" t="s">
        <v>1157</v>
      </c>
      <c r="C52" s="609">
        <f t="shared" si="0"/>
        <v>500000</v>
      </c>
      <c r="D52" s="609">
        <f>SUM(D53,E53)</f>
        <v>500000</v>
      </c>
      <c r="E52" s="372"/>
      <c r="F52" s="372"/>
      <c r="G52" s="105"/>
    </row>
    <row r="53" spans="1:7" ht="27" thickTop="1" thickBot="1" x14ac:dyDescent="0.3">
      <c r="A53" s="610">
        <v>180201000</v>
      </c>
      <c r="B53" s="613" t="s">
        <v>1158</v>
      </c>
      <c r="C53" s="606">
        <f t="shared" si="0"/>
        <v>500000</v>
      </c>
      <c r="D53" s="612">
        <v>500000</v>
      </c>
      <c r="E53" s="375"/>
      <c r="F53" s="375"/>
      <c r="G53" s="105"/>
    </row>
    <row r="54" spans="1:7" ht="16.5" thickTop="1" thickBot="1" x14ac:dyDescent="0.3">
      <c r="A54" s="607">
        <v>18030000</v>
      </c>
      <c r="B54" s="615" t="s">
        <v>79</v>
      </c>
      <c r="C54" s="609">
        <f>SUM(D54,E54)</f>
        <v>2215000</v>
      </c>
      <c r="D54" s="609">
        <f>SUM(D55:D56)</f>
        <v>2215000</v>
      </c>
      <c r="E54" s="372"/>
      <c r="F54" s="372"/>
      <c r="G54" s="105"/>
    </row>
    <row r="55" spans="1:7" ht="27" thickTop="1" thickBot="1" x14ac:dyDescent="0.3">
      <c r="A55" s="610">
        <v>18030100</v>
      </c>
      <c r="B55" s="613" t="s">
        <v>80</v>
      </c>
      <c r="C55" s="606">
        <f>SUM(D55,E55)</f>
        <v>1050000</v>
      </c>
      <c r="D55" s="612">
        <v>1050000</v>
      </c>
      <c r="E55" s="375"/>
      <c r="F55" s="375"/>
      <c r="G55" s="105"/>
    </row>
    <row r="56" spans="1:7" ht="27" thickTop="1" thickBot="1" x14ac:dyDescent="0.3">
      <c r="A56" s="610">
        <v>18030200</v>
      </c>
      <c r="B56" s="613" t="s">
        <v>81</v>
      </c>
      <c r="C56" s="606">
        <f>SUM(D56,E56)</f>
        <v>1165000</v>
      </c>
      <c r="D56" s="612">
        <v>1165000</v>
      </c>
      <c r="E56" s="375"/>
      <c r="F56" s="375"/>
      <c r="G56" s="105"/>
    </row>
    <row r="57" spans="1:7" ht="16.5" thickTop="1" thickBot="1" x14ac:dyDescent="0.3">
      <c r="A57" s="607">
        <v>18050000</v>
      </c>
      <c r="B57" s="615" t="s">
        <v>82</v>
      </c>
      <c r="C57" s="609">
        <f>SUM(D57,E57)</f>
        <v>600200100</v>
      </c>
      <c r="D57" s="609">
        <f>SUM(D58:D60)</f>
        <v>600200100</v>
      </c>
      <c r="E57" s="378"/>
      <c r="F57" s="378"/>
      <c r="G57" s="105"/>
    </row>
    <row r="58" spans="1:7" ht="16.5" thickTop="1" thickBot="1" x14ac:dyDescent="0.3">
      <c r="A58" s="610">
        <v>18050300</v>
      </c>
      <c r="B58" s="611" t="s">
        <v>1039</v>
      </c>
      <c r="C58" s="606">
        <f t="shared" si="0"/>
        <v>121450000</v>
      </c>
      <c r="D58" s="612">
        <v>121450000</v>
      </c>
      <c r="E58" s="375"/>
      <c r="F58" s="375"/>
      <c r="G58" s="105"/>
    </row>
    <row r="59" spans="1:7" ht="15.75" thickTop="1" thickBot="1" x14ac:dyDescent="0.25">
      <c r="A59" s="610">
        <v>18050400</v>
      </c>
      <c r="B59" s="613" t="s">
        <v>83</v>
      </c>
      <c r="C59" s="606">
        <f t="shared" si="0"/>
        <v>473750000</v>
      </c>
      <c r="D59" s="612">
        <v>473750000</v>
      </c>
      <c r="E59" s="375"/>
      <c r="F59" s="375"/>
      <c r="G59" s="106"/>
    </row>
    <row r="60" spans="1:7" ht="65.25" thickTop="1" thickBot="1" x14ac:dyDescent="0.25">
      <c r="A60" s="610">
        <v>18050500</v>
      </c>
      <c r="B60" s="613" t="s">
        <v>539</v>
      </c>
      <c r="C60" s="606">
        <f t="shared" si="0"/>
        <v>5000100</v>
      </c>
      <c r="D60" s="612">
        <v>5000100</v>
      </c>
      <c r="E60" s="375"/>
      <c r="F60" s="375"/>
      <c r="G60" s="106"/>
    </row>
    <row r="61" spans="1:7" ht="31.7" customHeight="1" thickTop="1" thickBot="1" x14ac:dyDescent="0.25">
      <c r="A61" s="604">
        <v>19000000</v>
      </c>
      <c r="B61" s="618" t="s">
        <v>532</v>
      </c>
      <c r="C61" s="606">
        <f t="shared" si="0"/>
        <v>1200000</v>
      </c>
      <c r="D61" s="606"/>
      <c r="E61" s="606">
        <f>SUM(E63:E65)</f>
        <v>1200000</v>
      </c>
      <c r="F61" s="375"/>
      <c r="G61" s="106"/>
    </row>
    <row r="62" spans="1:7" ht="16.5" thickTop="1" thickBot="1" x14ac:dyDescent="0.3">
      <c r="A62" s="607">
        <v>1901000</v>
      </c>
      <c r="B62" s="608" t="s">
        <v>84</v>
      </c>
      <c r="C62" s="609">
        <f t="shared" si="0"/>
        <v>1200000</v>
      </c>
      <c r="D62" s="609">
        <f>SUM(D63:D65)</f>
        <v>0</v>
      </c>
      <c r="E62" s="609">
        <f>SUM(E63:E65)</f>
        <v>1200000</v>
      </c>
      <c r="F62" s="372"/>
      <c r="G62" s="105"/>
    </row>
    <row r="63" spans="1:7" ht="52.5" thickTop="1" thickBot="1" x14ac:dyDescent="0.3">
      <c r="A63" s="610">
        <v>19010100</v>
      </c>
      <c r="B63" s="611" t="s">
        <v>533</v>
      </c>
      <c r="C63" s="606">
        <f t="shared" si="0"/>
        <v>165850</v>
      </c>
      <c r="D63" s="612"/>
      <c r="E63" s="612">
        <v>165850</v>
      </c>
      <c r="F63" s="375"/>
      <c r="G63" s="105"/>
    </row>
    <row r="64" spans="1:7" ht="27" thickTop="1" thickBot="1" x14ac:dyDescent="0.25">
      <c r="A64" s="610">
        <v>19010200</v>
      </c>
      <c r="B64" s="611" t="s">
        <v>1273</v>
      </c>
      <c r="C64" s="606">
        <f t="shared" si="0"/>
        <v>318550</v>
      </c>
      <c r="D64" s="612"/>
      <c r="E64" s="612">
        <v>318550</v>
      </c>
      <c r="F64" s="375"/>
      <c r="G64" s="108"/>
    </row>
    <row r="65" spans="1:7" ht="52.5" thickTop="1" thickBot="1" x14ac:dyDescent="0.3">
      <c r="A65" s="610">
        <v>19010300</v>
      </c>
      <c r="B65" s="611" t="s">
        <v>1274</v>
      </c>
      <c r="C65" s="606">
        <f t="shared" si="0"/>
        <v>715600</v>
      </c>
      <c r="D65" s="612"/>
      <c r="E65" s="612">
        <v>715600</v>
      </c>
      <c r="F65" s="375"/>
      <c r="G65" s="105"/>
    </row>
    <row r="66" spans="1:7" ht="30" customHeight="1" thickTop="1" thickBot="1" x14ac:dyDescent="0.3">
      <c r="A66" s="630">
        <v>20000000</v>
      </c>
      <c r="B66" s="630" t="s">
        <v>85</v>
      </c>
      <c r="C66" s="631">
        <f t="shared" si="0"/>
        <v>340587776</v>
      </c>
      <c r="D66" s="631">
        <f>SUM(D67,D77,D88,D93)+D87</f>
        <v>109442600</v>
      </c>
      <c r="E66" s="631">
        <f>SUM(E67,E77,E88,E93)+E87</f>
        <v>231145176</v>
      </c>
      <c r="F66" s="631">
        <f>SUM(F67,F77,F88,F93)+F87</f>
        <v>2000024</v>
      </c>
      <c r="G66" s="105"/>
    </row>
    <row r="67" spans="1:7" ht="27" thickTop="1" thickBot="1" x14ac:dyDescent="0.3">
      <c r="A67" s="604">
        <v>21000000</v>
      </c>
      <c r="B67" s="604" t="s">
        <v>534</v>
      </c>
      <c r="C67" s="606">
        <f>SUM(D67,E67)</f>
        <v>41635000</v>
      </c>
      <c r="D67" s="606">
        <f>SUM(D68,D71,D70)</f>
        <v>41635000</v>
      </c>
      <c r="E67" s="371"/>
      <c r="F67" s="371"/>
      <c r="G67" s="105"/>
    </row>
    <row r="68" spans="1:7" ht="55.5" thickTop="1" thickBot="1" x14ac:dyDescent="0.3">
      <c r="A68" s="607">
        <v>21010000</v>
      </c>
      <c r="B68" s="615" t="s">
        <v>535</v>
      </c>
      <c r="C68" s="609">
        <f t="shared" si="0"/>
        <v>2500000</v>
      </c>
      <c r="D68" s="609">
        <f>D69</f>
        <v>2500000</v>
      </c>
      <c r="E68" s="372"/>
      <c r="F68" s="372"/>
      <c r="G68" s="105"/>
    </row>
    <row r="69" spans="1:7" ht="52.5" thickTop="1" thickBot="1" x14ac:dyDescent="0.3">
      <c r="A69" s="610">
        <v>21010300</v>
      </c>
      <c r="B69" s="613" t="s">
        <v>1400</v>
      </c>
      <c r="C69" s="606">
        <f t="shared" si="0"/>
        <v>2500000</v>
      </c>
      <c r="D69" s="612">
        <v>2500000</v>
      </c>
      <c r="E69" s="375"/>
      <c r="F69" s="375"/>
      <c r="G69" s="105"/>
    </row>
    <row r="70" spans="1:7" ht="28.5" thickTop="1" thickBot="1" x14ac:dyDescent="0.3">
      <c r="A70" s="607">
        <v>21050000</v>
      </c>
      <c r="B70" s="615" t="s">
        <v>86</v>
      </c>
      <c r="C70" s="609">
        <f t="shared" si="0"/>
        <v>13900000</v>
      </c>
      <c r="D70" s="609">
        <v>13900000</v>
      </c>
      <c r="E70" s="372"/>
      <c r="F70" s="372"/>
      <c r="G70" s="105"/>
    </row>
    <row r="71" spans="1:7" ht="15" thickTop="1" thickBot="1" x14ac:dyDescent="0.25">
      <c r="A71" s="607">
        <v>21080000</v>
      </c>
      <c r="B71" s="615" t="s">
        <v>1040</v>
      </c>
      <c r="C71" s="609">
        <f>SUM(D71,E71)</f>
        <v>25235000</v>
      </c>
      <c r="D71" s="609">
        <f>SUM(D72:D76)</f>
        <v>25235000</v>
      </c>
      <c r="E71" s="372"/>
      <c r="F71" s="372"/>
      <c r="G71" s="108"/>
    </row>
    <row r="72" spans="1:7" ht="16.5" thickTop="1" thickBot="1" x14ac:dyDescent="0.3">
      <c r="A72" s="610">
        <v>21081100</v>
      </c>
      <c r="B72" s="619" t="s">
        <v>87</v>
      </c>
      <c r="C72" s="606">
        <f t="shared" ref="C72:C106" si="2">SUM(D72,E72)</f>
        <v>5500000</v>
      </c>
      <c r="D72" s="612">
        <v>5500000</v>
      </c>
      <c r="E72" s="375"/>
      <c r="F72" s="375"/>
      <c r="G72" s="105"/>
    </row>
    <row r="73" spans="1:7" ht="90.75" thickTop="1" thickBot="1" x14ac:dyDescent="0.3">
      <c r="A73" s="610">
        <v>21081500</v>
      </c>
      <c r="B73" s="611" t="s">
        <v>1289</v>
      </c>
      <c r="C73" s="606">
        <f t="shared" si="2"/>
        <v>1055000</v>
      </c>
      <c r="D73" s="612">
        <v>1055000</v>
      </c>
      <c r="E73" s="375"/>
      <c r="F73" s="375"/>
      <c r="G73" s="105"/>
    </row>
    <row r="74" spans="1:7" ht="16.5" thickTop="1" thickBot="1" x14ac:dyDescent="0.3">
      <c r="A74" s="610">
        <v>21081700</v>
      </c>
      <c r="B74" s="611" t="s">
        <v>374</v>
      </c>
      <c r="C74" s="606">
        <f t="shared" si="2"/>
        <v>18000000</v>
      </c>
      <c r="D74" s="612">
        <v>18000000</v>
      </c>
      <c r="E74" s="375"/>
      <c r="F74" s="375"/>
      <c r="G74" s="109"/>
    </row>
    <row r="75" spans="1:7" ht="52.5" thickTop="1" thickBot="1" x14ac:dyDescent="0.3">
      <c r="A75" s="610">
        <v>21081800</v>
      </c>
      <c r="B75" s="611" t="s">
        <v>1537</v>
      </c>
      <c r="C75" s="606">
        <f t="shared" si="2"/>
        <v>650000</v>
      </c>
      <c r="D75" s="612">
        <v>650000</v>
      </c>
      <c r="E75" s="375"/>
      <c r="F75" s="375"/>
      <c r="G75" s="109"/>
    </row>
    <row r="76" spans="1:7" ht="78" thickTop="1" thickBot="1" x14ac:dyDescent="0.3">
      <c r="A76" s="610">
        <v>21082400</v>
      </c>
      <c r="B76" s="611" t="s">
        <v>1538</v>
      </c>
      <c r="C76" s="606">
        <f t="shared" si="2"/>
        <v>30000</v>
      </c>
      <c r="D76" s="612">
        <v>30000</v>
      </c>
      <c r="E76" s="375"/>
      <c r="F76" s="375"/>
      <c r="G76" s="109"/>
    </row>
    <row r="77" spans="1:7" ht="27" thickTop="1" thickBot="1" x14ac:dyDescent="0.3">
      <c r="A77" s="604">
        <v>22000000</v>
      </c>
      <c r="B77" s="604" t="s">
        <v>88</v>
      </c>
      <c r="C77" s="606">
        <f t="shared" si="2"/>
        <v>56746600</v>
      </c>
      <c r="D77" s="606">
        <f>SUM(D78,D82,D84)</f>
        <v>56746600</v>
      </c>
      <c r="E77" s="375"/>
      <c r="F77" s="375"/>
      <c r="G77" s="105"/>
    </row>
    <row r="78" spans="1:7" ht="24.75" customHeight="1" thickTop="1" thickBot="1" x14ac:dyDescent="0.3">
      <c r="A78" s="607">
        <v>22010000</v>
      </c>
      <c r="B78" s="608" t="s">
        <v>536</v>
      </c>
      <c r="C78" s="609">
        <f t="shared" si="2"/>
        <v>30750000</v>
      </c>
      <c r="D78" s="609">
        <f>SUM(D79:D81)</f>
        <v>30750000</v>
      </c>
      <c r="E78" s="372"/>
      <c r="F78" s="372"/>
      <c r="G78" s="105"/>
    </row>
    <row r="79" spans="1:7" ht="39.75" thickTop="1" thickBot="1" x14ac:dyDescent="0.3">
      <c r="A79" s="610">
        <v>22010300</v>
      </c>
      <c r="B79" s="611" t="s">
        <v>147</v>
      </c>
      <c r="C79" s="606">
        <f t="shared" si="2"/>
        <v>1350300</v>
      </c>
      <c r="D79" s="612">
        <v>1350300</v>
      </c>
      <c r="E79" s="375"/>
      <c r="F79" s="375"/>
      <c r="G79" s="105"/>
    </row>
    <row r="80" spans="1:7" ht="27" thickTop="1" thickBot="1" x14ac:dyDescent="0.3">
      <c r="A80" s="610">
        <v>22012500</v>
      </c>
      <c r="B80" s="611" t="s">
        <v>90</v>
      </c>
      <c r="C80" s="606">
        <f t="shared" si="2"/>
        <v>26299700</v>
      </c>
      <c r="D80" s="612">
        <v>26299700</v>
      </c>
      <c r="E80" s="375"/>
      <c r="F80" s="375"/>
      <c r="G80" s="105"/>
    </row>
    <row r="81" spans="1:7" ht="39.75" thickTop="1" thickBot="1" x14ac:dyDescent="0.3">
      <c r="A81" s="610">
        <v>22012600</v>
      </c>
      <c r="B81" s="611" t="s">
        <v>89</v>
      </c>
      <c r="C81" s="606">
        <f>SUM(D81,E81)</f>
        <v>3100000</v>
      </c>
      <c r="D81" s="612">
        <v>3100000</v>
      </c>
      <c r="E81" s="375"/>
      <c r="F81" s="375"/>
      <c r="G81" s="105"/>
    </row>
    <row r="82" spans="1:7" ht="42" thickTop="1" thickBot="1" x14ac:dyDescent="0.3">
      <c r="A82" s="607">
        <v>2208000</v>
      </c>
      <c r="B82" s="608" t="s">
        <v>537</v>
      </c>
      <c r="C82" s="609">
        <f t="shared" si="2"/>
        <v>25486600</v>
      </c>
      <c r="D82" s="609">
        <f>D83</f>
        <v>25486600</v>
      </c>
      <c r="E82" s="372"/>
      <c r="F82" s="372"/>
      <c r="G82" s="105"/>
    </row>
    <row r="83" spans="1:7" ht="52.5" thickTop="1" thickBot="1" x14ac:dyDescent="0.3">
      <c r="A83" s="610">
        <v>22080400</v>
      </c>
      <c r="B83" s="619" t="s">
        <v>91</v>
      </c>
      <c r="C83" s="606">
        <f t="shared" si="2"/>
        <v>25486600</v>
      </c>
      <c r="D83" s="612">
        <v>25486600</v>
      </c>
      <c r="E83" s="375"/>
      <c r="F83" s="375"/>
      <c r="G83" s="105"/>
    </row>
    <row r="84" spans="1:7" ht="16.5" thickTop="1" thickBot="1" x14ac:dyDescent="0.3">
      <c r="A84" s="607">
        <v>22090000</v>
      </c>
      <c r="B84" s="620" t="s">
        <v>92</v>
      </c>
      <c r="C84" s="609">
        <f t="shared" si="2"/>
        <v>510000</v>
      </c>
      <c r="D84" s="609">
        <f>SUM(D85:D86)</f>
        <v>510000</v>
      </c>
      <c r="E84" s="372"/>
      <c r="F84" s="372"/>
      <c r="G84" s="105"/>
    </row>
    <row r="85" spans="1:7" ht="52.5" thickTop="1" thickBot="1" x14ac:dyDescent="0.3">
      <c r="A85" s="610">
        <v>22090100</v>
      </c>
      <c r="B85" s="613" t="s">
        <v>93</v>
      </c>
      <c r="C85" s="606">
        <f t="shared" si="2"/>
        <v>405000</v>
      </c>
      <c r="D85" s="612">
        <v>405000</v>
      </c>
      <c r="E85" s="375"/>
      <c r="F85" s="375"/>
      <c r="G85" s="105"/>
    </row>
    <row r="86" spans="1:7" ht="39.75" thickTop="1" thickBot="1" x14ac:dyDescent="0.25">
      <c r="A86" s="610">
        <v>22090400</v>
      </c>
      <c r="B86" s="613" t="s">
        <v>94</v>
      </c>
      <c r="C86" s="606">
        <f t="shared" si="2"/>
        <v>105000</v>
      </c>
      <c r="D86" s="612">
        <v>105000</v>
      </c>
      <c r="E86" s="375"/>
      <c r="F86" s="375"/>
      <c r="G86" s="107"/>
    </row>
    <row r="87" spans="1:7" ht="90.75" thickTop="1" thickBot="1" x14ac:dyDescent="0.25">
      <c r="A87" s="604">
        <v>22130000</v>
      </c>
      <c r="B87" s="621" t="s">
        <v>1539</v>
      </c>
      <c r="C87" s="606">
        <f t="shared" si="2"/>
        <v>61000</v>
      </c>
      <c r="D87" s="606">
        <v>61000</v>
      </c>
      <c r="E87" s="606"/>
      <c r="F87" s="606"/>
      <c r="G87" s="107"/>
    </row>
    <row r="88" spans="1:7" ht="20.25" customHeight="1" thickTop="1" thickBot="1" x14ac:dyDescent="0.3">
      <c r="A88" s="604">
        <v>24000000</v>
      </c>
      <c r="B88" s="621" t="s">
        <v>95</v>
      </c>
      <c r="C88" s="606">
        <f t="shared" si="2"/>
        <v>13000024</v>
      </c>
      <c r="D88" s="606">
        <f>D89+D90+D92+D91</f>
        <v>11000000</v>
      </c>
      <c r="E88" s="606">
        <f>E89+E90+E92+E91</f>
        <v>2000024</v>
      </c>
      <c r="F88" s="606">
        <f>F89+F90+F92+F91</f>
        <v>2000024</v>
      </c>
      <c r="G88" s="105"/>
    </row>
    <row r="89" spans="1:7" ht="16.5" thickTop="1" thickBot="1" x14ac:dyDescent="0.3">
      <c r="A89" s="610">
        <v>24060300</v>
      </c>
      <c r="B89" s="611" t="s">
        <v>96</v>
      </c>
      <c r="C89" s="606">
        <f t="shared" si="2"/>
        <v>10000000</v>
      </c>
      <c r="D89" s="612">
        <v>10000000</v>
      </c>
      <c r="E89" s="612"/>
      <c r="F89" s="612"/>
      <c r="G89" s="105"/>
    </row>
    <row r="90" spans="1:7" ht="65.25" thickTop="1" thickBot="1" x14ac:dyDescent="0.3">
      <c r="A90" s="610">
        <v>24062200</v>
      </c>
      <c r="B90" s="611" t="s">
        <v>375</v>
      </c>
      <c r="C90" s="606">
        <f t="shared" si="2"/>
        <v>1000000</v>
      </c>
      <c r="D90" s="612">
        <v>1000000</v>
      </c>
      <c r="E90" s="375"/>
      <c r="F90" s="375"/>
      <c r="G90" s="105"/>
    </row>
    <row r="91" spans="1:7" ht="39.75" thickTop="1" thickBot="1" x14ac:dyDescent="0.3">
      <c r="A91" s="610">
        <v>24110700</v>
      </c>
      <c r="B91" s="622" t="s">
        <v>589</v>
      </c>
      <c r="C91" s="606">
        <f t="shared" si="2"/>
        <v>24</v>
      </c>
      <c r="D91" s="612"/>
      <c r="E91" s="612">
        <v>24</v>
      </c>
      <c r="F91" s="612">
        <v>24</v>
      </c>
      <c r="G91" s="105"/>
    </row>
    <row r="92" spans="1:7" ht="27" thickTop="1" thickBot="1" x14ac:dyDescent="0.25">
      <c r="A92" s="610">
        <v>24170000</v>
      </c>
      <c r="B92" s="613" t="s">
        <v>97</v>
      </c>
      <c r="C92" s="606">
        <f t="shared" si="2"/>
        <v>2000000</v>
      </c>
      <c r="D92" s="612"/>
      <c r="E92" s="612">
        <v>2000000</v>
      </c>
      <c r="F92" s="612">
        <v>2000000</v>
      </c>
      <c r="G92" s="106"/>
    </row>
    <row r="93" spans="1:7" ht="16.5" thickTop="1" thickBot="1" x14ac:dyDescent="0.3">
      <c r="A93" s="604">
        <v>25000000</v>
      </c>
      <c r="B93" s="623" t="s">
        <v>98</v>
      </c>
      <c r="C93" s="606">
        <f t="shared" si="2"/>
        <v>229145152</v>
      </c>
      <c r="D93" s="606">
        <f>SUM(D94:D98,)</f>
        <v>0</v>
      </c>
      <c r="E93" s="606">
        <f>SUM(E94)</f>
        <v>229145152</v>
      </c>
      <c r="F93" s="371"/>
      <c r="G93" s="105"/>
    </row>
    <row r="94" spans="1:7" ht="42" thickTop="1" thickBot="1" x14ac:dyDescent="0.3">
      <c r="A94" s="607">
        <v>25010000</v>
      </c>
      <c r="B94" s="615" t="s">
        <v>99</v>
      </c>
      <c r="C94" s="609">
        <f t="shared" si="2"/>
        <v>229145152</v>
      </c>
      <c r="D94" s="609">
        <v>0</v>
      </c>
      <c r="E94" s="609">
        <f>SUM(E95:E98)</f>
        <v>229145152</v>
      </c>
      <c r="F94" s="372"/>
      <c r="G94" s="105"/>
    </row>
    <row r="95" spans="1:7" ht="27" thickTop="1" thickBot="1" x14ac:dyDescent="0.3">
      <c r="A95" s="610">
        <v>25010100</v>
      </c>
      <c r="B95" s="613" t="s">
        <v>100</v>
      </c>
      <c r="C95" s="606">
        <f t="shared" si="2"/>
        <v>212809795</v>
      </c>
      <c r="D95" s="612"/>
      <c r="E95" s="612">
        <v>212809795</v>
      </c>
      <c r="F95" s="375"/>
      <c r="G95" s="105"/>
    </row>
    <row r="96" spans="1:7" ht="27" thickTop="1" thickBot="1" x14ac:dyDescent="0.3">
      <c r="A96" s="610">
        <v>25010200</v>
      </c>
      <c r="B96" s="613" t="s">
        <v>101</v>
      </c>
      <c r="C96" s="606">
        <f t="shared" si="2"/>
        <v>12810270</v>
      </c>
      <c r="D96" s="612"/>
      <c r="E96" s="612">
        <v>12810270</v>
      </c>
      <c r="F96" s="375"/>
      <c r="G96" s="105"/>
    </row>
    <row r="97" spans="1:7" ht="16.5" thickTop="1" thickBot="1" x14ac:dyDescent="0.3">
      <c r="A97" s="610">
        <v>25010300</v>
      </c>
      <c r="B97" s="613" t="s">
        <v>102</v>
      </c>
      <c r="C97" s="606">
        <f t="shared" si="2"/>
        <v>3462787</v>
      </c>
      <c r="D97" s="612"/>
      <c r="E97" s="612">
        <v>3462787</v>
      </c>
      <c r="F97" s="375"/>
      <c r="G97" s="105"/>
    </row>
    <row r="98" spans="1:7" ht="39.75" thickTop="1" thickBot="1" x14ac:dyDescent="0.3">
      <c r="A98" s="610">
        <v>25010400</v>
      </c>
      <c r="B98" s="613" t="s">
        <v>103</v>
      </c>
      <c r="C98" s="606">
        <f t="shared" si="2"/>
        <v>62300</v>
      </c>
      <c r="D98" s="612"/>
      <c r="E98" s="612">
        <v>62300</v>
      </c>
      <c r="F98" s="375"/>
      <c r="G98" s="105"/>
    </row>
    <row r="99" spans="1:7" ht="24.75" customHeight="1" thickTop="1" thickBot="1" x14ac:dyDescent="0.25">
      <c r="A99" s="630">
        <v>30000000</v>
      </c>
      <c r="B99" s="630" t="s">
        <v>104</v>
      </c>
      <c r="C99" s="631">
        <f>SUM(D99,E99)</f>
        <v>9787979</v>
      </c>
      <c r="D99" s="631">
        <f>SUM(D100)+D104</f>
        <v>45000</v>
      </c>
      <c r="E99" s="631">
        <f>SUM(E100)+E104</f>
        <v>9742979</v>
      </c>
      <c r="F99" s="631">
        <f>SUM(F100)+F104</f>
        <v>9742979</v>
      </c>
      <c r="G99" s="107"/>
    </row>
    <row r="100" spans="1:7" ht="27" customHeight="1" thickTop="1" thickBot="1" x14ac:dyDescent="0.3">
      <c r="A100" s="604">
        <v>31000000</v>
      </c>
      <c r="B100" s="604" t="s">
        <v>105</v>
      </c>
      <c r="C100" s="606">
        <f>SUM(D100,E100)</f>
        <v>845000</v>
      </c>
      <c r="D100" s="606">
        <f>D101+D103</f>
        <v>45000</v>
      </c>
      <c r="E100" s="606">
        <f>E101+E103</f>
        <v>800000</v>
      </c>
      <c r="F100" s="606">
        <f>F101+F103</f>
        <v>800000</v>
      </c>
      <c r="G100" s="105"/>
    </row>
    <row r="101" spans="1:7" ht="82.5" thickTop="1" thickBot="1" x14ac:dyDescent="0.3">
      <c r="A101" s="607">
        <v>3101000</v>
      </c>
      <c r="B101" s="608" t="s">
        <v>538</v>
      </c>
      <c r="C101" s="609">
        <f>SUM(D101,E101)</f>
        <v>45000</v>
      </c>
      <c r="D101" s="609">
        <f>D102</f>
        <v>45000</v>
      </c>
      <c r="E101" s="609"/>
      <c r="F101" s="609"/>
      <c r="G101" s="105"/>
    </row>
    <row r="102" spans="1:7" ht="78" thickTop="1" thickBot="1" x14ac:dyDescent="0.3">
      <c r="A102" s="610">
        <v>31010200</v>
      </c>
      <c r="B102" s="613" t="s">
        <v>106</v>
      </c>
      <c r="C102" s="606">
        <f>SUM(D102,E102)</f>
        <v>45000</v>
      </c>
      <c r="D102" s="612">
        <v>45000</v>
      </c>
      <c r="E102" s="612"/>
      <c r="F102" s="612"/>
      <c r="G102" s="105"/>
    </row>
    <row r="103" spans="1:7" ht="55.5" thickTop="1" thickBot="1" x14ac:dyDescent="0.3">
      <c r="A103" s="607">
        <v>31030000</v>
      </c>
      <c r="B103" s="615" t="s">
        <v>107</v>
      </c>
      <c r="C103" s="609">
        <f t="shared" si="2"/>
        <v>800000</v>
      </c>
      <c r="D103" s="609"/>
      <c r="E103" s="609">
        <v>800000</v>
      </c>
      <c r="F103" s="609">
        <v>800000</v>
      </c>
      <c r="G103" s="105"/>
    </row>
    <row r="104" spans="1:7" ht="27" thickTop="1" thickBot="1" x14ac:dyDescent="0.3">
      <c r="A104" s="604">
        <v>33000000</v>
      </c>
      <c r="B104" s="604" t="s">
        <v>108</v>
      </c>
      <c r="C104" s="606">
        <f t="shared" si="2"/>
        <v>8942979</v>
      </c>
      <c r="D104" s="606">
        <f>SUM(D105)</f>
        <v>0</v>
      </c>
      <c r="E104" s="606">
        <f>SUM(E105)</f>
        <v>8942979</v>
      </c>
      <c r="F104" s="606">
        <f>SUM(F105)</f>
        <v>8942979</v>
      </c>
      <c r="G104" s="105"/>
    </row>
    <row r="105" spans="1:7" ht="16.5" thickTop="1" thickBot="1" x14ac:dyDescent="0.3">
      <c r="A105" s="607">
        <v>33010000</v>
      </c>
      <c r="B105" s="608" t="s">
        <v>109</v>
      </c>
      <c r="C105" s="609">
        <f>SUM(D105,E105)</f>
        <v>8942979</v>
      </c>
      <c r="D105" s="609">
        <f>SUM(D106:D108)</f>
        <v>0</v>
      </c>
      <c r="E105" s="609">
        <f>SUM(E106:E108)</f>
        <v>8942979</v>
      </c>
      <c r="F105" s="609">
        <f>SUM(F106:F108)</f>
        <v>8942979</v>
      </c>
      <c r="G105" s="105"/>
    </row>
    <row r="106" spans="1:7" ht="52.5" thickTop="1" thickBot="1" x14ac:dyDescent="0.3">
      <c r="A106" s="610">
        <v>33010100</v>
      </c>
      <c r="B106" s="613" t="s">
        <v>343</v>
      </c>
      <c r="C106" s="606">
        <f t="shared" si="2"/>
        <v>7517840</v>
      </c>
      <c r="D106" s="612"/>
      <c r="E106" s="612">
        <v>7517840</v>
      </c>
      <c r="F106" s="612">
        <v>7517840</v>
      </c>
      <c r="G106" s="105"/>
    </row>
    <row r="107" spans="1:7" ht="52.5" thickTop="1" thickBot="1" x14ac:dyDescent="0.3">
      <c r="A107" s="610">
        <v>33010200</v>
      </c>
      <c r="B107" s="613" t="s">
        <v>110</v>
      </c>
      <c r="C107" s="606">
        <f>SUM(D107,E107)</f>
        <v>1425139</v>
      </c>
      <c r="D107" s="612"/>
      <c r="E107" s="612">
        <v>1425139</v>
      </c>
      <c r="F107" s="612">
        <v>1425139</v>
      </c>
      <c r="G107" s="105"/>
    </row>
    <row r="108" spans="1:7" ht="65.25" hidden="1" thickTop="1" thickBot="1" x14ac:dyDescent="0.3">
      <c r="A108" s="373">
        <v>33010500</v>
      </c>
      <c r="B108" s="376" t="s">
        <v>1401</v>
      </c>
      <c r="C108" s="371">
        <f>SUM(D108,E108)</f>
        <v>0</v>
      </c>
      <c r="D108" s="375"/>
      <c r="E108" s="375">
        <v>0</v>
      </c>
      <c r="F108" s="375">
        <v>0</v>
      </c>
      <c r="G108" s="105"/>
    </row>
    <row r="109" spans="1:7" ht="27" customHeight="1" thickTop="1" thickBot="1" x14ac:dyDescent="0.3">
      <c r="A109" s="630">
        <v>50000000</v>
      </c>
      <c r="B109" s="630" t="s">
        <v>487</v>
      </c>
      <c r="C109" s="631">
        <f>SUM(D109,E109)</f>
        <v>5215800</v>
      </c>
      <c r="D109" s="631">
        <f>SUM(D110)</f>
        <v>0</v>
      </c>
      <c r="E109" s="631">
        <f>SUM(E110)</f>
        <v>5215800</v>
      </c>
      <c r="F109" s="631">
        <f>SUM(F110)</f>
        <v>0</v>
      </c>
      <c r="G109" s="105"/>
    </row>
    <row r="110" spans="1:7" ht="52.5" thickTop="1" thickBot="1" x14ac:dyDescent="0.3">
      <c r="A110" s="604">
        <v>50110000</v>
      </c>
      <c r="B110" s="618" t="s">
        <v>111</v>
      </c>
      <c r="C110" s="606">
        <f t="shared" ref="C110:C147" si="3">SUM(D110,E110)</f>
        <v>5215800</v>
      </c>
      <c r="D110" s="612"/>
      <c r="E110" s="606">
        <v>5215800</v>
      </c>
      <c r="F110" s="612"/>
      <c r="G110" s="105"/>
    </row>
    <row r="111" spans="1:7" ht="45.75" customHeight="1" thickTop="1" thickBot="1" x14ac:dyDescent="0.25">
      <c r="A111" s="624"/>
      <c r="B111" s="625" t="s">
        <v>488</v>
      </c>
      <c r="C111" s="626">
        <f t="shared" si="3"/>
        <v>3394321655</v>
      </c>
      <c r="D111" s="626">
        <f>D109+D99+D66+D15</f>
        <v>3147017700</v>
      </c>
      <c r="E111" s="626">
        <f>E109+E99+E66+E15</f>
        <v>247303955</v>
      </c>
      <c r="F111" s="626">
        <f>F109+F99+F66+F15</f>
        <v>11743003</v>
      </c>
      <c r="G111" s="106"/>
    </row>
    <row r="112" spans="1:7" ht="34.5" customHeight="1" thickTop="1" thickBot="1" x14ac:dyDescent="0.25">
      <c r="A112" s="630">
        <v>40000000</v>
      </c>
      <c r="B112" s="630" t="s">
        <v>427</v>
      </c>
      <c r="C112" s="631">
        <f>SUM(D112,E112)</f>
        <v>785519384.00999999</v>
      </c>
      <c r="D112" s="631">
        <f>SUM(D118,D115,D113)</f>
        <v>777847273.00999999</v>
      </c>
      <c r="E112" s="631">
        <f>SUM(E118,E115,E113)</f>
        <v>7672111</v>
      </c>
      <c r="F112" s="631">
        <f>SUM(F118,F115,F113)</f>
        <v>0</v>
      </c>
      <c r="G112" s="106"/>
    </row>
    <row r="113" spans="1:7" ht="34.5" hidden="1" customHeight="1" thickTop="1" thickBot="1" x14ac:dyDescent="0.25">
      <c r="A113" s="370">
        <v>41020000</v>
      </c>
      <c r="B113" s="377" t="s">
        <v>1338</v>
      </c>
      <c r="C113" s="371">
        <f t="shared" ref="C113:C114" si="4">SUM(D113,E113)</f>
        <v>0</v>
      </c>
      <c r="D113" s="371">
        <f>SUM(D114)</f>
        <v>0</v>
      </c>
      <c r="E113" s="371"/>
      <c r="F113" s="371"/>
      <c r="G113" s="106"/>
    </row>
    <row r="114" spans="1:7" ht="103.5" hidden="1" thickTop="1" thickBot="1" x14ac:dyDescent="0.25">
      <c r="A114" s="373">
        <v>41021400</v>
      </c>
      <c r="B114" s="376" t="s">
        <v>1345</v>
      </c>
      <c r="C114" s="371">
        <f t="shared" si="4"/>
        <v>0</v>
      </c>
      <c r="D114" s="375">
        <v>0</v>
      </c>
      <c r="E114" s="371"/>
      <c r="F114" s="371"/>
      <c r="G114" s="106"/>
    </row>
    <row r="115" spans="1:7" ht="27" thickTop="1" thickBot="1" x14ac:dyDescent="0.25">
      <c r="A115" s="604">
        <v>41040000</v>
      </c>
      <c r="B115" s="614" t="s">
        <v>344</v>
      </c>
      <c r="C115" s="606">
        <f>SUM(D115,E115)</f>
        <v>7650489.0099999998</v>
      </c>
      <c r="D115" s="606">
        <f>SUM(D116:D117)</f>
        <v>7650489.0099999998</v>
      </c>
      <c r="E115" s="371"/>
      <c r="F115" s="371"/>
      <c r="G115" s="106"/>
    </row>
    <row r="116" spans="1:7" ht="66" customHeight="1" thickTop="1" thickBot="1" x14ac:dyDescent="0.25">
      <c r="A116" s="610">
        <v>41040200</v>
      </c>
      <c r="B116" s="613" t="s">
        <v>1159</v>
      </c>
      <c r="C116" s="606">
        <f t="shared" si="3"/>
        <v>7509500</v>
      </c>
      <c r="D116" s="612">
        <v>7509500</v>
      </c>
      <c r="E116" s="371"/>
      <c r="F116" s="371"/>
      <c r="G116" s="106"/>
    </row>
    <row r="117" spans="1:7" ht="15.75" thickTop="1" thickBot="1" x14ac:dyDescent="0.25">
      <c r="A117" s="610">
        <v>41040400</v>
      </c>
      <c r="B117" s="613" t="s">
        <v>1217</v>
      </c>
      <c r="C117" s="606">
        <f t="shared" si="3"/>
        <v>140989.01</v>
      </c>
      <c r="D117" s="612">
        <v>140989.01</v>
      </c>
      <c r="E117" s="371"/>
      <c r="F117" s="371"/>
      <c r="G117" s="106"/>
    </row>
    <row r="118" spans="1:7" s="598" customFormat="1" ht="15.75" thickTop="1" thickBot="1" x14ac:dyDescent="0.25">
      <c r="A118" s="604">
        <v>41000000</v>
      </c>
      <c r="B118" s="604" t="s">
        <v>112</v>
      </c>
      <c r="C118" s="606">
        <f t="shared" si="3"/>
        <v>777868895</v>
      </c>
      <c r="D118" s="606">
        <f>SUM(D119,D127)</f>
        <v>770196784</v>
      </c>
      <c r="E118" s="606">
        <f>SUM(E119,E127)</f>
        <v>7672111</v>
      </c>
      <c r="F118" s="606">
        <f>SUM(F119,F127)</f>
        <v>0</v>
      </c>
      <c r="G118" s="629"/>
    </row>
    <row r="119" spans="1:7" s="598" customFormat="1" ht="27" thickTop="1" thickBot="1" x14ac:dyDescent="0.3">
      <c r="A119" s="604">
        <v>41030000</v>
      </c>
      <c r="B119" s="623" t="s">
        <v>438</v>
      </c>
      <c r="C119" s="606">
        <f t="shared" si="3"/>
        <v>753756400</v>
      </c>
      <c r="D119" s="606">
        <f>SUM(D120:D126)</f>
        <v>753756400</v>
      </c>
      <c r="E119" s="606">
        <f>SUM(E120:E126)</f>
        <v>0</v>
      </c>
      <c r="F119" s="606">
        <f>SUM(F120:F126)</f>
        <v>0</v>
      </c>
      <c r="G119" s="605"/>
    </row>
    <row r="120" spans="1:7" ht="52.5" hidden="1" thickTop="1" thickBot="1" x14ac:dyDescent="0.3">
      <c r="A120" s="373">
        <v>41032300</v>
      </c>
      <c r="B120" s="374" t="s">
        <v>982</v>
      </c>
      <c r="C120" s="371">
        <f t="shared" si="3"/>
        <v>0</v>
      </c>
      <c r="D120" s="375">
        <v>0</v>
      </c>
      <c r="E120" s="371"/>
      <c r="F120" s="375"/>
      <c r="G120" s="105"/>
    </row>
    <row r="121" spans="1:7" ht="52.5" hidden="1" thickTop="1" thickBot="1" x14ac:dyDescent="0.3">
      <c r="A121" s="373">
        <v>41033800</v>
      </c>
      <c r="B121" s="374" t="s">
        <v>1042</v>
      </c>
      <c r="C121" s="371">
        <f t="shared" si="3"/>
        <v>0</v>
      </c>
      <c r="D121" s="375">
        <v>0</v>
      </c>
      <c r="E121" s="371"/>
      <c r="F121" s="375"/>
      <c r="G121" s="105"/>
    </row>
    <row r="122" spans="1:7" ht="27" thickTop="1" thickBot="1" x14ac:dyDescent="0.3">
      <c r="A122" s="610">
        <v>41033900</v>
      </c>
      <c r="B122" s="611" t="s">
        <v>113</v>
      </c>
      <c r="C122" s="606">
        <f t="shared" si="3"/>
        <v>753756400</v>
      </c>
      <c r="D122" s="612">
        <f>(752597500)+1158900</f>
        <v>753756400</v>
      </c>
      <c r="E122" s="612"/>
      <c r="F122" s="612"/>
      <c r="G122" s="105"/>
    </row>
    <row r="123" spans="1:7" ht="52.5" hidden="1" thickTop="1" thickBot="1" x14ac:dyDescent="0.3">
      <c r="A123" s="373">
        <v>41034500</v>
      </c>
      <c r="B123" s="374" t="s">
        <v>1043</v>
      </c>
      <c r="C123" s="371">
        <f t="shared" si="3"/>
        <v>0</v>
      </c>
      <c r="D123" s="375">
        <v>0</v>
      </c>
      <c r="E123" s="375">
        <v>0</v>
      </c>
      <c r="F123" s="375">
        <v>0</v>
      </c>
      <c r="G123" s="105"/>
    </row>
    <row r="124" spans="1:7" ht="52.5" hidden="1" thickTop="1" thickBot="1" x14ac:dyDescent="0.3">
      <c r="A124" s="373">
        <v>41035500</v>
      </c>
      <c r="B124" s="374" t="s">
        <v>984</v>
      </c>
      <c r="C124" s="371">
        <f t="shared" si="3"/>
        <v>0</v>
      </c>
      <c r="D124" s="375">
        <v>0</v>
      </c>
      <c r="E124" s="375"/>
      <c r="F124" s="375"/>
      <c r="G124" s="105"/>
    </row>
    <row r="125" spans="1:7" ht="65.25" hidden="1" thickTop="1" thickBot="1" x14ac:dyDescent="0.3">
      <c r="A125" s="373">
        <v>41035600</v>
      </c>
      <c r="B125" s="374" t="s">
        <v>1008</v>
      </c>
      <c r="C125" s="371">
        <f t="shared" si="3"/>
        <v>0</v>
      </c>
      <c r="D125" s="375">
        <v>0</v>
      </c>
      <c r="E125" s="375"/>
      <c r="F125" s="375"/>
      <c r="G125" s="105"/>
    </row>
    <row r="126" spans="1:7" ht="39.75" hidden="1" thickTop="1" thickBot="1" x14ac:dyDescent="0.3">
      <c r="A126" s="373">
        <v>41035700</v>
      </c>
      <c r="B126" s="374" t="s">
        <v>974</v>
      </c>
      <c r="C126" s="371">
        <f t="shared" si="3"/>
        <v>0</v>
      </c>
      <c r="D126" s="375">
        <v>0</v>
      </c>
      <c r="E126" s="375"/>
      <c r="F126" s="375"/>
      <c r="G126" s="105"/>
    </row>
    <row r="127" spans="1:7" ht="27" thickTop="1" thickBot="1" x14ac:dyDescent="0.3">
      <c r="A127" s="604">
        <v>41050000</v>
      </c>
      <c r="B127" s="623" t="s">
        <v>473</v>
      </c>
      <c r="C127" s="606">
        <f t="shared" si="3"/>
        <v>24112495</v>
      </c>
      <c r="D127" s="606">
        <f>SUM(D128:D141)+D148+D149</f>
        <v>16440384</v>
      </c>
      <c r="E127" s="606">
        <f>SUM(E128:E141)</f>
        <v>7672111</v>
      </c>
      <c r="F127" s="606">
        <f>SUM(F128:F141)</f>
        <v>0</v>
      </c>
      <c r="G127" s="105"/>
    </row>
    <row r="128" spans="1:7" ht="307.5" hidden="1" thickTop="1" thickBot="1" x14ac:dyDescent="0.3">
      <c r="A128" s="373">
        <v>41050400</v>
      </c>
      <c r="B128" s="374" t="s">
        <v>1424</v>
      </c>
      <c r="C128" s="371">
        <f t="shared" si="3"/>
        <v>0</v>
      </c>
      <c r="D128" s="375">
        <v>0</v>
      </c>
      <c r="E128" s="375"/>
      <c r="F128" s="375"/>
      <c r="G128" s="105"/>
    </row>
    <row r="129" spans="1:7" ht="218.25" hidden="1" thickTop="1" thickBot="1" x14ac:dyDescent="0.3">
      <c r="A129" s="373">
        <v>41050500</v>
      </c>
      <c r="B129" s="374" t="s">
        <v>1044</v>
      </c>
      <c r="C129" s="371">
        <f t="shared" si="3"/>
        <v>0</v>
      </c>
      <c r="D129" s="375">
        <v>0</v>
      </c>
      <c r="E129" s="375"/>
      <c r="F129" s="375"/>
      <c r="G129" s="105"/>
    </row>
    <row r="130" spans="1:7" ht="320.25" hidden="1" thickTop="1" thickBot="1" x14ac:dyDescent="0.3">
      <c r="A130" s="373">
        <v>41050600</v>
      </c>
      <c r="B130" s="374" t="s">
        <v>1425</v>
      </c>
      <c r="C130" s="371">
        <f t="shared" si="3"/>
        <v>0</v>
      </c>
      <c r="D130" s="375">
        <v>0</v>
      </c>
      <c r="E130" s="375"/>
      <c r="F130" s="375"/>
      <c r="G130" s="105"/>
    </row>
    <row r="131" spans="1:7" ht="116.25" hidden="1" thickTop="1" thickBot="1" x14ac:dyDescent="0.3">
      <c r="A131" s="379">
        <v>41050900</v>
      </c>
      <c r="B131" s="380" t="s">
        <v>1045</v>
      </c>
      <c r="C131" s="381">
        <f t="shared" si="3"/>
        <v>0</v>
      </c>
      <c r="D131" s="382">
        <v>0</v>
      </c>
      <c r="E131" s="382"/>
      <c r="F131" s="382"/>
      <c r="G131" s="105"/>
    </row>
    <row r="132" spans="1:7" ht="39.75" thickTop="1" thickBot="1" x14ac:dyDescent="0.3">
      <c r="A132" s="610">
        <v>41051000</v>
      </c>
      <c r="B132" s="611" t="s">
        <v>474</v>
      </c>
      <c r="C132" s="606">
        <f t="shared" si="3"/>
        <v>11127203</v>
      </c>
      <c r="D132" s="612">
        <v>11127203</v>
      </c>
      <c r="E132" s="375"/>
      <c r="F132" s="375"/>
      <c r="G132" s="105"/>
    </row>
    <row r="133" spans="1:7" ht="39.75" thickTop="1" thickBot="1" x14ac:dyDescent="0.3">
      <c r="A133" s="610">
        <v>41051100</v>
      </c>
      <c r="B133" s="611" t="s">
        <v>1591</v>
      </c>
      <c r="C133" s="606">
        <f t="shared" si="3"/>
        <v>7672111</v>
      </c>
      <c r="D133" s="612"/>
      <c r="E133" s="612">
        <v>7672111</v>
      </c>
      <c r="F133" s="375"/>
      <c r="G133" s="105"/>
    </row>
    <row r="134" spans="1:7" ht="52.5" thickTop="1" thickBot="1" x14ac:dyDescent="0.3">
      <c r="A134" s="610">
        <v>41051200</v>
      </c>
      <c r="B134" s="611" t="s">
        <v>1291</v>
      </c>
      <c r="C134" s="606">
        <f>SUM(D134,E134)</f>
        <v>3668858</v>
      </c>
      <c r="D134" s="612">
        <v>3668858</v>
      </c>
      <c r="E134" s="375"/>
      <c r="F134" s="375"/>
      <c r="G134" s="105"/>
    </row>
    <row r="135" spans="1:7" ht="65.25" hidden="1" thickTop="1" thickBot="1" x14ac:dyDescent="0.3">
      <c r="A135" s="379">
        <v>41051400</v>
      </c>
      <c r="B135" s="380" t="s">
        <v>987</v>
      </c>
      <c r="C135" s="381">
        <f t="shared" si="3"/>
        <v>0</v>
      </c>
      <c r="D135" s="382">
        <v>0</v>
      </c>
      <c r="E135" s="382"/>
      <c r="F135" s="382"/>
      <c r="G135" s="105"/>
    </row>
    <row r="136" spans="1:7" ht="65.25" thickTop="1" thickBot="1" x14ac:dyDescent="0.3">
      <c r="A136" s="610">
        <v>41051700</v>
      </c>
      <c r="B136" s="611" t="s">
        <v>945</v>
      </c>
      <c r="C136" s="606">
        <f t="shared" si="3"/>
        <v>532739</v>
      </c>
      <c r="D136" s="612">
        <v>532739</v>
      </c>
      <c r="E136" s="375"/>
      <c r="F136" s="375"/>
      <c r="G136" s="105"/>
    </row>
    <row r="137" spans="1:7" ht="90.75" hidden="1" thickTop="1" thickBot="1" x14ac:dyDescent="0.3">
      <c r="A137" s="379">
        <v>41056600</v>
      </c>
      <c r="B137" s="380" t="s">
        <v>1027</v>
      </c>
      <c r="C137" s="381">
        <f t="shared" si="3"/>
        <v>0</v>
      </c>
      <c r="D137" s="382">
        <f>10623233.82-10623233.82</f>
        <v>0</v>
      </c>
      <c r="E137" s="382"/>
      <c r="F137" s="382"/>
      <c r="G137" s="105"/>
    </row>
    <row r="138" spans="1:7" ht="52.5" hidden="1" thickTop="1" thickBot="1" x14ac:dyDescent="0.25">
      <c r="A138" s="379">
        <v>41055000</v>
      </c>
      <c r="B138" s="380" t="s">
        <v>1046</v>
      </c>
      <c r="C138" s="381">
        <f t="shared" si="3"/>
        <v>0</v>
      </c>
      <c r="D138" s="382">
        <v>0</v>
      </c>
      <c r="E138" s="382"/>
      <c r="F138" s="382"/>
      <c r="G138" s="106"/>
    </row>
    <row r="139" spans="1:7" ht="27" hidden="1" thickTop="1" thickBot="1" x14ac:dyDescent="0.25">
      <c r="A139" s="379">
        <v>41053600</v>
      </c>
      <c r="B139" s="380" t="s">
        <v>947</v>
      </c>
      <c r="C139" s="381">
        <f t="shared" si="3"/>
        <v>0</v>
      </c>
      <c r="D139" s="382"/>
      <c r="E139" s="382">
        <v>0</v>
      </c>
      <c r="F139" s="382"/>
      <c r="G139" s="106"/>
    </row>
    <row r="140" spans="1:7" ht="205.5" hidden="1" thickTop="1" thickBot="1" x14ac:dyDescent="0.25">
      <c r="A140" s="379">
        <v>41054200</v>
      </c>
      <c r="B140" s="380" t="s">
        <v>1047</v>
      </c>
      <c r="C140" s="381">
        <f t="shared" si="3"/>
        <v>0</v>
      </c>
      <c r="D140" s="382">
        <v>0</v>
      </c>
      <c r="E140" s="382"/>
      <c r="F140" s="382"/>
      <c r="G140" s="106"/>
    </row>
    <row r="141" spans="1:7" ht="27" thickTop="1" thickBot="1" x14ac:dyDescent="0.25">
      <c r="A141" s="610">
        <v>41053900</v>
      </c>
      <c r="B141" s="611" t="s">
        <v>901</v>
      </c>
      <c r="C141" s="606">
        <f t="shared" si="3"/>
        <v>1018034</v>
      </c>
      <c r="D141" s="606">
        <f>SUM(D142:D147)</f>
        <v>1018034</v>
      </c>
      <c r="E141" s="606">
        <f>SUM(E142:E147)</f>
        <v>0</v>
      </c>
      <c r="F141" s="606">
        <f>SUM(F142:F147)</f>
        <v>0</v>
      </c>
      <c r="G141" s="106"/>
    </row>
    <row r="142" spans="1:7" ht="15.75" hidden="1" thickTop="1" thickBot="1" x14ac:dyDescent="0.25">
      <c r="A142" s="610"/>
      <c r="B142" s="627" t="s">
        <v>948</v>
      </c>
      <c r="C142" s="609">
        <f>SUM(D142,E142)</f>
        <v>0</v>
      </c>
      <c r="D142" s="628"/>
      <c r="E142" s="378">
        <v>0</v>
      </c>
      <c r="F142" s="378">
        <v>0</v>
      </c>
      <c r="G142" s="106"/>
    </row>
    <row r="143" spans="1:7" ht="39.75" thickTop="1" thickBot="1" x14ac:dyDescent="0.25">
      <c r="A143" s="610"/>
      <c r="B143" s="627" t="s">
        <v>902</v>
      </c>
      <c r="C143" s="609">
        <f t="shared" si="3"/>
        <v>362971</v>
      </c>
      <c r="D143" s="628">
        <v>362971</v>
      </c>
      <c r="E143" s="378"/>
      <c r="F143" s="378"/>
      <c r="G143" s="106"/>
    </row>
    <row r="144" spans="1:7" ht="52.5" thickTop="1" thickBot="1" x14ac:dyDescent="0.25">
      <c r="A144" s="610"/>
      <c r="B144" s="627" t="s">
        <v>903</v>
      </c>
      <c r="C144" s="609">
        <f t="shared" si="3"/>
        <v>184607</v>
      </c>
      <c r="D144" s="628">
        <v>184607</v>
      </c>
      <c r="E144" s="378"/>
      <c r="F144" s="378"/>
      <c r="G144" s="106"/>
    </row>
    <row r="145" spans="1:10" ht="27" thickTop="1" thickBot="1" x14ac:dyDescent="0.25">
      <c r="A145" s="610"/>
      <c r="B145" s="627" t="s">
        <v>904</v>
      </c>
      <c r="C145" s="609">
        <f t="shared" si="3"/>
        <v>470456</v>
      </c>
      <c r="D145" s="628">
        <v>470456</v>
      </c>
      <c r="E145" s="378"/>
      <c r="F145" s="378"/>
      <c r="G145" s="106"/>
    </row>
    <row r="146" spans="1:10" ht="39.75" hidden="1" thickTop="1" thickBot="1" x14ac:dyDescent="0.25">
      <c r="A146" s="379"/>
      <c r="B146" s="383" t="s">
        <v>1085</v>
      </c>
      <c r="C146" s="110">
        <f t="shared" si="3"/>
        <v>0</v>
      </c>
      <c r="D146" s="111">
        <v>0</v>
      </c>
      <c r="E146" s="111"/>
      <c r="F146" s="111"/>
      <c r="G146" s="106"/>
    </row>
    <row r="147" spans="1:10" ht="27" hidden="1" thickTop="1" thickBot="1" x14ac:dyDescent="0.25">
      <c r="A147" s="379"/>
      <c r="B147" s="383" t="s">
        <v>1086</v>
      </c>
      <c r="C147" s="110">
        <f t="shared" si="3"/>
        <v>0</v>
      </c>
      <c r="D147" s="111"/>
      <c r="E147" s="111">
        <v>0</v>
      </c>
      <c r="F147" s="111">
        <v>0</v>
      </c>
      <c r="G147" s="106"/>
    </row>
    <row r="148" spans="1:10" ht="65.25" thickTop="1" thickBot="1" x14ac:dyDescent="0.25">
      <c r="A148" s="610">
        <v>41057700</v>
      </c>
      <c r="B148" s="611" t="s">
        <v>1377</v>
      </c>
      <c r="C148" s="606">
        <f>SUM(D148,E148)</f>
        <v>93550</v>
      </c>
      <c r="D148" s="612">
        <v>93550</v>
      </c>
      <c r="E148" s="375"/>
      <c r="F148" s="375"/>
      <c r="G148" s="106"/>
    </row>
    <row r="149" spans="1:10" ht="52.5" hidden="1" thickTop="1" thickBot="1" x14ac:dyDescent="0.25">
      <c r="A149" s="373">
        <v>41059000</v>
      </c>
      <c r="B149" s="374" t="s">
        <v>1402</v>
      </c>
      <c r="C149" s="371">
        <f>SUM(D149,E149)</f>
        <v>0</v>
      </c>
      <c r="D149" s="375">
        <v>0</v>
      </c>
      <c r="E149" s="375"/>
      <c r="F149" s="375"/>
      <c r="G149" s="106"/>
    </row>
    <row r="150" spans="1:10" ht="33.75" customHeight="1" thickTop="1" thickBot="1" x14ac:dyDescent="0.3">
      <c r="A150" s="624"/>
      <c r="B150" s="625" t="s">
        <v>1038</v>
      </c>
      <c r="C150" s="626">
        <f>SUM(D150,E150)</f>
        <v>4179841039.0100002</v>
      </c>
      <c r="D150" s="626">
        <f>SUM(D111,D112)</f>
        <v>3924864973.0100002</v>
      </c>
      <c r="E150" s="626">
        <f>SUM(E111,E112)</f>
        <v>254976066</v>
      </c>
      <c r="F150" s="626">
        <f>SUM(F111,F112)</f>
        <v>11743003</v>
      </c>
      <c r="G150" s="632" t="b">
        <f>C150=C145+C144+C143+C122+C116+C110+C103+C102+C98+C97+C96+C95+C92+C91+C90+C89+C86+C85+C83+C81+C80+C79+C74+C73+C72+C70+C69+C65+C64+C63+C60+C59+C58+C56+C55+C51+C50+C49+C48+C47+C46+C45+C44+C43+C42+C38+C36+C33+C31+C29+C25+C21+C20+C19+C18+C107+C106+C39+C53+C134+C132+C114+C148+C117+C149+C108+C130+C128+C129+C136+C87+C28+C23+C22+C76+C75+C133</f>
        <v>1</v>
      </c>
      <c r="H150" s="632" t="b">
        <f>D150=D145+D144+D143+D122+D116+D110+D103+D102+D98+D97+D96+D95+D92+D91+D90+D89+D86+D85+D83+D81+D80+D79+D74+D73+D72+D70+D69+D65+D64+D63+D60+D59+D58+D56+D55+D51+D50+D49+D48+D47+D46+D45+D44+D43+D42+D38+D36+D33+D31+D29+D25+D21+D20+D19+D18+D107+D106+D39+D53+D134+D132+D114+D148+D117+D149+D108+D130+D128+D129+D136+D87+D28+D23+D22+D76+D75+D133</f>
        <v>1</v>
      </c>
      <c r="I150" s="632" t="b">
        <f>E150=E145+E144+E143+E122+E116+E110+E103+E102+E98+E97+E96+E95+E92+E91+E90+E89+E86+E85+E83+E81+E80+E79+E74+E73+E72+E70+E69+E65+E64+E63+E60+E59+E58+E56+E55+E51+E50+E49+E48+E47+E46+E45+E44+E43+E42+E38+E36+E33+E31+E29+E25+E21+E20+E19+E18+E107+E106+E39+E53+E134+E132+E114+E148+E117+E149+E108+E130+E128+E129+E136+E87+E28+E23+E22+E76+E75+E133</f>
        <v>1</v>
      </c>
      <c r="J150" s="632" t="b">
        <f>F150=F145+F144+F143+F122+F116+F110+F103+F102+F98+F97+F96+F95+F92+F91+F90+F89+F86+F85+F83+F81+F80+F79+F74+F73+F72+F70+F69+F65+F64+F63+F60+F59+F58+F56+F55+F51+F50+F49+F48+F47+F46+F45+F44+F43+F42+F38+F36+F33+F31+F29+F25+F21+F20+F19+F18+F107+F106+F39+F53+F134+F132+F114+F148+F117+F149+F108+F130+F128+F129+F136+F87+F28+F23+F22+F76+F75+F133</f>
        <v>1</v>
      </c>
    </row>
    <row r="151" spans="1:10" ht="16.5" thickTop="1" x14ac:dyDescent="0.25">
      <c r="B151" s="112"/>
      <c r="G151" s="632" t="b">
        <f>((4196633892-'d2'!C37-'d2'!C22)+129600000)+1158900+4436136.01+7672111=C150</f>
        <v>1</v>
      </c>
    </row>
    <row r="152" spans="1:10" ht="15.75" hidden="1" x14ac:dyDescent="0.2">
      <c r="B152" s="365" t="s">
        <v>1480</v>
      </c>
      <c r="C152"/>
      <c r="D152"/>
      <c r="E152" s="366" t="s">
        <v>1481</v>
      </c>
      <c r="F152" s="114"/>
    </row>
    <row r="153" spans="1:10" ht="15.75" x14ac:dyDescent="0.2">
      <c r="B153" s="365" t="s">
        <v>1445</v>
      </c>
      <c r="C153"/>
      <c r="D153"/>
      <c r="E153" s="366" t="s">
        <v>1446</v>
      </c>
      <c r="F153" s="114"/>
    </row>
    <row r="154" spans="1:10" ht="15.75" x14ac:dyDescent="0.25">
      <c r="B154" s="1"/>
      <c r="C154" s="598"/>
      <c r="D154" s="598"/>
      <c r="E154" s="1"/>
    </row>
    <row r="155" spans="1:10" ht="15.75" x14ac:dyDescent="0.25">
      <c r="A155" s="115"/>
      <c r="B155" s="472" t="s">
        <v>523</v>
      </c>
      <c r="C155" s="1"/>
      <c r="D155" s="1"/>
      <c r="E155" s="1" t="s">
        <v>1346</v>
      </c>
      <c r="F155" s="115"/>
    </row>
    <row r="158" spans="1:10" x14ac:dyDescent="0.2">
      <c r="C158" s="113"/>
      <c r="D158" s="113"/>
      <c r="E158" s="113"/>
      <c r="F158" s="113"/>
    </row>
  </sheetData>
  <mergeCells count="13">
    <mergeCell ref="A8:F8"/>
    <mergeCell ref="A9:F9"/>
    <mergeCell ref="A12:A13"/>
    <mergeCell ref="B12:B13"/>
    <mergeCell ref="C12:C13"/>
    <mergeCell ref="D12:D13"/>
    <mergeCell ref="E12:F12"/>
    <mergeCell ref="A6:F6"/>
    <mergeCell ref="D1:G1"/>
    <mergeCell ref="D2:G2"/>
    <mergeCell ref="D3:G3"/>
    <mergeCell ref="A4:E4"/>
    <mergeCell ref="A5:F5"/>
  </mergeCells>
  <hyperlinks>
    <hyperlink ref="B100" location="_ftn1" display="_ftn1"/>
    <hyperlink ref="B99" location="_ftn1" display="_ftn1"/>
    <hyperlink ref="B86" location="_ftn1" display="_ftn1"/>
    <hyperlink ref="B20" location="_ftn1" display="_ftn1"/>
    <hyperlink ref="B19" location="_ftn1" display="_ftn1"/>
    <hyperlink ref="B64" location="_ftn1" display="_ftn1"/>
    <hyperlink ref="B104" location="_ftn1" display="_ftn1"/>
    <hyperlink ref="B105" location="_ftn1" display="_ftn1"/>
    <hyperlink ref="B72" location="_ftn1" display="_ftn1"/>
  </hyperlinks>
  <printOptions horizontalCentered="1"/>
  <pageMargins left="0.35433070866141736" right="0.15748031496062992" top="0.59055118110236227" bottom="0.51181102362204722" header="0.51181102362204722" footer="0.51181102362204722"/>
  <pageSetup paperSize="9" scale="87" fitToHeight="0" orientation="portrait" verticalDpi="4294967295" r:id="rId1"/>
  <headerFooter alignWithMargins="0"/>
  <rowBreaks count="1" manualBreakCount="1">
    <brk id="106" max="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J158"/>
  <sheetViews>
    <sheetView view="pageBreakPreview" zoomScaleNormal="100" zoomScaleSheetLayoutView="100" workbookViewId="0">
      <selection activeCell="C150" sqref="C150"/>
    </sheetView>
  </sheetViews>
  <sheetFormatPr defaultColWidth="6.85546875" defaultRowHeight="12.75" x14ac:dyDescent="0.2"/>
  <cols>
    <col min="1" max="1" width="10.140625" style="104" customWidth="1"/>
    <col min="2" max="2" width="40.42578125" style="104" customWidth="1"/>
    <col min="3" max="4" width="17.28515625" style="104" customWidth="1"/>
    <col min="5" max="5" width="15.7109375" style="104" customWidth="1"/>
    <col min="6" max="6" width="14.5703125" style="104" customWidth="1"/>
    <col min="7" max="10" width="10.85546875" style="104" bestFit="1" customWidth="1"/>
    <col min="11" max="252" width="7.85546875" style="104" customWidth="1"/>
    <col min="253" max="16384" width="6.85546875" style="104"/>
  </cols>
  <sheetData>
    <row r="1" spans="1:7" ht="15.75" x14ac:dyDescent="0.2">
      <c r="A1" s="598"/>
      <c r="B1" s="598"/>
      <c r="C1" s="598"/>
      <c r="D1" s="754" t="s">
        <v>56</v>
      </c>
      <c r="E1" s="755"/>
      <c r="F1" s="755"/>
      <c r="G1" s="755"/>
    </row>
    <row r="2" spans="1:7" ht="15.75" x14ac:dyDescent="0.2">
      <c r="A2" s="598"/>
      <c r="B2" s="598"/>
      <c r="C2" s="599"/>
      <c r="D2" s="754" t="s">
        <v>1582</v>
      </c>
      <c r="E2" s="756"/>
      <c r="F2" s="756"/>
      <c r="G2" s="756"/>
    </row>
    <row r="3" spans="1:7" ht="6" hidden="1" customHeight="1" x14ac:dyDescent="0.2">
      <c r="A3" s="598"/>
      <c r="B3" s="598"/>
      <c r="C3" s="599"/>
      <c r="D3" s="754"/>
      <c r="E3" s="756"/>
      <c r="F3" s="756"/>
      <c r="G3" s="756"/>
    </row>
    <row r="4" spans="1:7" ht="12.75" customHeight="1" x14ac:dyDescent="0.2">
      <c r="A4" s="747"/>
      <c r="B4" s="747"/>
      <c r="C4" s="747"/>
      <c r="D4" s="747"/>
      <c r="E4" s="747"/>
      <c r="F4" s="598"/>
      <c r="G4" s="598"/>
    </row>
    <row r="5" spans="1:7" ht="20.25" x14ac:dyDescent="0.2">
      <c r="A5" s="747" t="s">
        <v>1625</v>
      </c>
      <c r="B5" s="748"/>
      <c r="C5" s="748"/>
      <c r="D5" s="748"/>
      <c r="E5" s="748"/>
      <c r="F5" s="748"/>
      <c r="G5" s="598"/>
    </row>
    <row r="6" spans="1:7" ht="20.25" x14ac:dyDescent="0.2">
      <c r="A6" s="747" t="s">
        <v>1532</v>
      </c>
      <c r="B6" s="748"/>
      <c r="C6" s="748"/>
      <c r="D6" s="748"/>
      <c r="E6" s="748"/>
      <c r="F6" s="748"/>
      <c r="G6" s="598"/>
    </row>
    <row r="7" spans="1:7" ht="20.25" x14ac:dyDescent="0.2">
      <c r="A7" s="600"/>
      <c r="B7" s="308"/>
      <c r="C7" s="308"/>
      <c r="D7" s="308"/>
      <c r="E7" s="308"/>
      <c r="F7" s="308"/>
      <c r="G7" s="598"/>
    </row>
    <row r="8" spans="1:7" ht="20.25" x14ac:dyDescent="0.2">
      <c r="A8" s="749">
        <v>2256400000</v>
      </c>
      <c r="B8" s="750"/>
      <c r="C8" s="750"/>
      <c r="D8" s="750"/>
      <c r="E8" s="750"/>
      <c r="F8" s="750"/>
      <c r="G8" s="598"/>
    </row>
    <row r="9" spans="1:7" ht="15.75" x14ac:dyDescent="0.2">
      <c r="A9" s="751" t="s">
        <v>490</v>
      </c>
      <c r="B9" s="752"/>
      <c r="C9" s="752"/>
      <c r="D9" s="752"/>
      <c r="E9" s="752"/>
      <c r="F9" s="752"/>
      <c r="G9" s="598"/>
    </row>
    <row r="10" spans="1:7" ht="20.25" x14ac:dyDescent="0.2">
      <c r="A10" s="600"/>
      <c r="B10" s="476"/>
      <c r="C10" s="476"/>
      <c r="D10" s="476"/>
      <c r="E10" s="476"/>
      <c r="F10" s="476"/>
      <c r="G10" s="598"/>
    </row>
    <row r="11" spans="1:7" ht="13.5" thickBot="1" x14ac:dyDescent="0.25">
      <c r="A11" s="598"/>
      <c r="B11" s="601"/>
      <c r="C11" s="601"/>
      <c r="D11" s="601"/>
      <c r="E11" s="601"/>
      <c r="F11" s="602" t="s">
        <v>404</v>
      </c>
      <c r="G11" s="598"/>
    </row>
    <row r="12" spans="1:7" ht="14.25" thickTop="1" thickBot="1" x14ac:dyDescent="0.25">
      <c r="A12" s="753" t="s">
        <v>57</v>
      </c>
      <c r="B12" s="753" t="s">
        <v>1533</v>
      </c>
      <c r="C12" s="753" t="s">
        <v>383</v>
      </c>
      <c r="D12" s="753" t="s">
        <v>12</v>
      </c>
      <c r="E12" s="753" t="s">
        <v>52</v>
      </c>
      <c r="F12" s="753"/>
      <c r="G12" s="603"/>
    </row>
    <row r="13" spans="1:7" ht="39.75" thickTop="1" thickBot="1" x14ac:dyDescent="0.3">
      <c r="A13" s="753"/>
      <c r="B13" s="753"/>
      <c r="C13" s="753"/>
      <c r="D13" s="753"/>
      <c r="E13" s="604" t="s">
        <v>384</v>
      </c>
      <c r="F13" s="604" t="s">
        <v>426</v>
      </c>
      <c r="G13" s="605"/>
    </row>
    <row r="14" spans="1:7" ht="16.5" thickTop="1" thickBot="1" x14ac:dyDescent="0.3">
      <c r="A14" s="604">
        <v>1</v>
      </c>
      <c r="B14" s="604">
        <v>2</v>
      </c>
      <c r="C14" s="604">
        <v>3</v>
      </c>
      <c r="D14" s="604">
        <v>4</v>
      </c>
      <c r="E14" s="604">
        <v>5</v>
      </c>
      <c r="F14" s="604">
        <v>6</v>
      </c>
      <c r="G14" s="605"/>
    </row>
    <row r="15" spans="1:7" ht="25.5" customHeight="1" thickTop="1" thickBot="1" x14ac:dyDescent="0.25">
      <c r="A15" s="712">
        <v>10000000</v>
      </c>
      <c r="B15" s="712" t="s">
        <v>58</v>
      </c>
      <c r="C15" s="713">
        <f t="shared" ref="C15:C66" si="0">SUM(D15,E15)</f>
        <v>144452665</v>
      </c>
      <c r="D15" s="713">
        <f>SUM(D16,D32,D40,D61,D26)</f>
        <v>144452665</v>
      </c>
      <c r="E15" s="713">
        <f>SUM(E16,E32,E40,E61,E26)</f>
        <v>0</v>
      </c>
      <c r="F15" s="713">
        <f>SUM(F16,F32,F40,F61,F26)</f>
        <v>0</v>
      </c>
      <c r="G15" s="106"/>
    </row>
    <row r="16" spans="1:7" ht="31.7" customHeight="1" thickTop="1" thickBot="1" x14ac:dyDescent="0.25">
      <c r="A16" s="604">
        <v>11000000</v>
      </c>
      <c r="B16" s="604" t="s">
        <v>59</v>
      </c>
      <c r="C16" s="606">
        <f>'d1'!C16-d1М!C16</f>
        <v>92552665</v>
      </c>
      <c r="D16" s="606">
        <f>'d1'!D16-d1М!D16</f>
        <v>92552665</v>
      </c>
      <c r="E16" s="606">
        <f>'d1'!E16-d1М!E16</f>
        <v>0</v>
      </c>
      <c r="F16" s="606">
        <f>'d1'!F16-d1М!F16</f>
        <v>0</v>
      </c>
      <c r="G16" s="107"/>
    </row>
    <row r="17" spans="1:7" ht="24.75" customHeight="1" thickTop="1" thickBot="1" x14ac:dyDescent="0.25">
      <c r="A17" s="607">
        <v>11010000</v>
      </c>
      <c r="B17" s="608" t="s">
        <v>60</v>
      </c>
      <c r="C17" s="606">
        <f>'d1'!C17-d1М!C17</f>
        <v>92552665</v>
      </c>
      <c r="D17" s="606">
        <f>'d1'!D17-d1М!D17</f>
        <v>92552665</v>
      </c>
      <c r="E17" s="606">
        <f>'d1'!E17-d1М!E17</f>
        <v>0</v>
      </c>
      <c r="F17" s="606">
        <f>'d1'!F17-d1М!F17</f>
        <v>0</v>
      </c>
      <c r="G17" s="107"/>
    </row>
    <row r="18" spans="1:7" ht="39.75" thickTop="1" thickBot="1" x14ac:dyDescent="0.25">
      <c r="A18" s="610">
        <v>11010100</v>
      </c>
      <c r="B18" s="611" t="s">
        <v>61</v>
      </c>
      <c r="C18" s="606">
        <f>'d1'!C18-d1М!C18</f>
        <v>87552665</v>
      </c>
      <c r="D18" s="606">
        <f>'d1'!D18-d1М!D18</f>
        <v>87552665</v>
      </c>
      <c r="E18" s="606">
        <f>'d1'!E18-d1М!E18</f>
        <v>0</v>
      </c>
      <c r="F18" s="606">
        <f>'d1'!F18-d1М!F18</f>
        <v>0</v>
      </c>
      <c r="G18" s="107"/>
    </row>
    <row r="19" spans="1:7" ht="65.25" hidden="1" thickTop="1" thickBot="1" x14ac:dyDescent="0.25">
      <c r="A19" s="373">
        <v>11010200</v>
      </c>
      <c r="B19" s="374" t="s">
        <v>62</v>
      </c>
      <c r="C19" s="606">
        <f>'d1'!C19-d1М!C19</f>
        <v>0</v>
      </c>
      <c r="D19" s="606">
        <f>'d1'!D19-d1М!D19</f>
        <v>0</v>
      </c>
      <c r="E19" s="606">
        <f>'d1'!E19-d1М!E19</f>
        <v>0</v>
      </c>
      <c r="F19" s="606">
        <f>'d1'!F19-d1М!F19</f>
        <v>0</v>
      </c>
      <c r="G19" s="107"/>
    </row>
    <row r="20" spans="1:7" ht="39.75" thickTop="1" thickBot="1" x14ac:dyDescent="0.25">
      <c r="A20" s="610">
        <v>11010400</v>
      </c>
      <c r="B20" s="611" t="s">
        <v>63</v>
      </c>
      <c r="C20" s="606">
        <f>'d1'!C20-d1М!C20</f>
        <v>0</v>
      </c>
      <c r="D20" s="606">
        <f>'d1'!D20-d1М!D20</f>
        <v>0</v>
      </c>
      <c r="E20" s="606">
        <f>'d1'!E20-d1М!E20</f>
        <v>0</v>
      </c>
      <c r="F20" s="606">
        <f>'d1'!F20-d1М!F20</f>
        <v>0</v>
      </c>
      <c r="G20" s="107"/>
    </row>
    <row r="21" spans="1:7" ht="39.75" thickTop="1" thickBot="1" x14ac:dyDescent="0.3">
      <c r="A21" s="610">
        <v>11010500</v>
      </c>
      <c r="B21" s="611" t="s">
        <v>64</v>
      </c>
      <c r="C21" s="606">
        <f>'d1'!C21-d1М!C21</f>
        <v>5000000</v>
      </c>
      <c r="D21" s="606">
        <f>'d1'!D21-d1М!D21</f>
        <v>5000000</v>
      </c>
      <c r="E21" s="606">
        <f>'d1'!E21-d1М!E21</f>
        <v>0</v>
      </c>
      <c r="F21" s="606">
        <f>'d1'!F21-d1М!F21</f>
        <v>0</v>
      </c>
      <c r="G21" s="105"/>
    </row>
    <row r="22" spans="1:7" ht="27" thickTop="1" thickBot="1" x14ac:dyDescent="0.3">
      <c r="A22" s="610">
        <v>11011200</v>
      </c>
      <c r="B22" s="611" t="s">
        <v>1534</v>
      </c>
      <c r="C22" s="606">
        <f>'d1'!C22-d1М!C22</f>
        <v>0</v>
      </c>
      <c r="D22" s="606">
        <f>'d1'!D22-d1М!D22</f>
        <v>0</v>
      </c>
      <c r="E22" s="606">
        <f>'d1'!E22-d1М!E22</f>
        <v>0</v>
      </c>
      <c r="F22" s="606">
        <f>'d1'!F22-d1М!F22</f>
        <v>0</v>
      </c>
      <c r="G22" s="105"/>
    </row>
    <row r="23" spans="1:7" ht="39.75" thickTop="1" thickBot="1" x14ac:dyDescent="0.3">
      <c r="A23" s="610">
        <v>11011300</v>
      </c>
      <c r="B23" s="611" t="s">
        <v>1535</v>
      </c>
      <c r="C23" s="606">
        <f>'d1'!C23-d1М!C23</f>
        <v>0</v>
      </c>
      <c r="D23" s="606">
        <f>'d1'!D23-d1М!D23</f>
        <v>0</v>
      </c>
      <c r="E23" s="606">
        <f>'d1'!E23-d1М!E23</f>
        <v>0</v>
      </c>
      <c r="F23" s="606">
        <f>'d1'!F23-d1М!F23</f>
        <v>0</v>
      </c>
      <c r="G23" s="105"/>
    </row>
    <row r="24" spans="1:7" ht="28.5" customHeight="1" thickTop="1" thickBot="1" x14ac:dyDescent="0.25">
      <c r="A24" s="607">
        <v>11020000</v>
      </c>
      <c r="B24" s="608" t="s">
        <v>65</v>
      </c>
      <c r="C24" s="606">
        <f>'d1'!C24-d1М!C24</f>
        <v>0</v>
      </c>
      <c r="D24" s="606">
        <f>'d1'!D24-d1М!D24</f>
        <v>0</v>
      </c>
      <c r="E24" s="606">
        <f>'d1'!E24-d1М!E24</f>
        <v>0</v>
      </c>
      <c r="F24" s="606">
        <f>'d1'!F24-d1М!F24</f>
        <v>0</v>
      </c>
      <c r="G24" s="106"/>
    </row>
    <row r="25" spans="1:7" ht="27" thickTop="1" thickBot="1" x14ac:dyDescent="0.3">
      <c r="A25" s="610">
        <v>11020200</v>
      </c>
      <c r="B25" s="613" t="s">
        <v>66</v>
      </c>
      <c r="C25" s="606">
        <f>'d1'!C25-d1М!C25</f>
        <v>0</v>
      </c>
      <c r="D25" s="606">
        <f>'d1'!D25-d1М!D25</f>
        <v>0</v>
      </c>
      <c r="E25" s="606">
        <f>'d1'!E25-d1М!E25</f>
        <v>0</v>
      </c>
      <c r="F25" s="606">
        <f>'d1'!F25-d1М!F25</f>
        <v>0</v>
      </c>
      <c r="G25" s="105"/>
    </row>
    <row r="26" spans="1:7" ht="27" thickTop="1" thickBot="1" x14ac:dyDescent="0.3">
      <c r="A26" s="604">
        <v>13000000</v>
      </c>
      <c r="B26" s="614" t="s">
        <v>526</v>
      </c>
      <c r="C26" s="606">
        <f>'d1'!C26-d1М!C26</f>
        <v>0</v>
      </c>
      <c r="D26" s="606">
        <f>'d1'!D26-d1М!D26</f>
        <v>0</v>
      </c>
      <c r="E26" s="606">
        <f>'d1'!E26-d1М!E26</f>
        <v>0</v>
      </c>
      <c r="F26" s="606">
        <f>'d1'!F26-d1М!F26</f>
        <v>0</v>
      </c>
      <c r="G26" s="105"/>
    </row>
    <row r="27" spans="1:7" ht="28.5" thickTop="1" thickBot="1" x14ac:dyDescent="0.3">
      <c r="A27" s="607">
        <v>13010000</v>
      </c>
      <c r="B27" s="615" t="s">
        <v>527</v>
      </c>
      <c r="C27" s="606">
        <f>'d1'!C27-d1М!C27</f>
        <v>0</v>
      </c>
      <c r="D27" s="606">
        <f>'d1'!D27-d1М!D27</f>
        <v>0</v>
      </c>
      <c r="E27" s="606">
        <f>'d1'!E27-d1М!E27</f>
        <v>0</v>
      </c>
      <c r="F27" s="606">
        <f>'d1'!F27-d1М!F27</f>
        <v>0</v>
      </c>
      <c r="G27" s="105"/>
    </row>
    <row r="28" spans="1:7" ht="52.5" thickTop="1" thickBot="1" x14ac:dyDescent="0.3">
      <c r="A28" s="610">
        <v>13010100</v>
      </c>
      <c r="B28" s="616" t="s">
        <v>1536</v>
      </c>
      <c r="C28" s="606">
        <f>'d1'!C28-d1М!C28</f>
        <v>0</v>
      </c>
      <c r="D28" s="606">
        <f>'d1'!D28-d1М!D28</f>
        <v>0</v>
      </c>
      <c r="E28" s="606">
        <f>'d1'!E28-d1М!E28</f>
        <v>0</v>
      </c>
      <c r="F28" s="606">
        <f>'d1'!F28-d1М!F28</f>
        <v>0</v>
      </c>
      <c r="G28" s="105"/>
    </row>
    <row r="29" spans="1:7" ht="65.25" thickTop="1" thickBot="1" x14ac:dyDescent="0.3">
      <c r="A29" s="610">
        <v>13010200</v>
      </c>
      <c r="B29" s="616" t="s">
        <v>528</v>
      </c>
      <c r="C29" s="606">
        <f>'d1'!C29-d1М!C29</f>
        <v>0</v>
      </c>
      <c r="D29" s="606">
        <f>'d1'!D29-d1М!D29</f>
        <v>0</v>
      </c>
      <c r="E29" s="606">
        <f>'d1'!E29-d1М!E29</f>
        <v>0</v>
      </c>
      <c r="F29" s="606">
        <f>'d1'!F29-d1М!F29</f>
        <v>0</v>
      </c>
      <c r="G29" s="105"/>
    </row>
    <row r="30" spans="1:7" ht="16.5" thickTop="1" thickBot="1" x14ac:dyDescent="0.3">
      <c r="A30" s="607">
        <v>13030000</v>
      </c>
      <c r="B30" s="617" t="s">
        <v>529</v>
      </c>
      <c r="C30" s="606">
        <f>'d1'!C30-d1М!C30</f>
        <v>0</v>
      </c>
      <c r="D30" s="606">
        <f>'d1'!D30-d1М!D30</f>
        <v>0</v>
      </c>
      <c r="E30" s="606">
        <f>'d1'!E30-d1М!E30</f>
        <v>0</v>
      </c>
      <c r="F30" s="606">
        <f>'d1'!F30-d1М!F30</f>
        <v>0</v>
      </c>
      <c r="G30" s="105"/>
    </row>
    <row r="31" spans="1:7" ht="39.75" thickTop="1" thickBot="1" x14ac:dyDescent="0.3">
      <c r="A31" s="610">
        <v>13030100</v>
      </c>
      <c r="B31" s="616" t="s">
        <v>530</v>
      </c>
      <c r="C31" s="606">
        <f>'d1'!C31-d1М!C31</f>
        <v>0</v>
      </c>
      <c r="D31" s="606">
        <f>'d1'!D31-d1М!D31</f>
        <v>0</v>
      </c>
      <c r="E31" s="606">
        <f>'d1'!E31-d1М!E31</f>
        <v>0</v>
      </c>
      <c r="F31" s="606">
        <f>'d1'!F31-d1М!F31</f>
        <v>0</v>
      </c>
      <c r="G31" s="105"/>
    </row>
    <row r="32" spans="1:7" ht="26.45" customHeight="1" thickTop="1" thickBot="1" x14ac:dyDescent="0.3">
      <c r="A32" s="604">
        <v>14000000</v>
      </c>
      <c r="B32" s="614" t="s">
        <v>531</v>
      </c>
      <c r="C32" s="606">
        <f>'d1'!C32-d1М!C32</f>
        <v>0</v>
      </c>
      <c r="D32" s="606">
        <f>'d1'!D32-d1М!D32</f>
        <v>0</v>
      </c>
      <c r="E32" s="606">
        <f>'d1'!E32-d1М!E32</f>
        <v>0</v>
      </c>
      <c r="F32" s="606">
        <f>'d1'!F32-d1М!F32</f>
        <v>0</v>
      </c>
      <c r="G32" s="105"/>
    </row>
    <row r="33" spans="1:7" ht="30" customHeight="1" thickTop="1" thickBot="1" x14ac:dyDescent="0.3">
      <c r="A33" s="607">
        <v>14020000</v>
      </c>
      <c r="B33" s="615" t="s">
        <v>622</v>
      </c>
      <c r="C33" s="606">
        <f>'d1'!C33-d1М!C33</f>
        <v>0</v>
      </c>
      <c r="D33" s="606">
        <f>'d1'!D33-d1М!D33</f>
        <v>0</v>
      </c>
      <c r="E33" s="606">
        <f>'d1'!E33-d1М!E33</f>
        <v>0</v>
      </c>
      <c r="F33" s="606">
        <f>'d1'!F33-d1М!F33</f>
        <v>0</v>
      </c>
      <c r="G33" s="105"/>
    </row>
    <row r="34" spans="1:7" ht="16.5" thickTop="1" thickBot="1" x14ac:dyDescent="0.3">
      <c r="A34" s="610">
        <v>14021900</v>
      </c>
      <c r="B34" s="613" t="s">
        <v>621</v>
      </c>
      <c r="C34" s="606">
        <f>'d1'!C34-d1М!C34</f>
        <v>0</v>
      </c>
      <c r="D34" s="606">
        <f>'d1'!D34-d1М!D34</f>
        <v>0</v>
      </c>
      <c r="E34" s="606">
        <f>'d1'!E34-d1М!E34</f>
        <v>0</v>
      </c>
      <c r="F34" s="606">
        <f>'d1'!F34-d1М!F34</f>
        <v>0</v>
      </c>
      <c r="G34" s="105"/>
    </row>
    <row r="35" spans="1:7" ht="42" thickTop="1" thickBot="1" x14ac:dyDescent="0.3">
      <c r="A35" s="607">
        <v>14030000</v>
      </c>
      <c r="B35" s="615" t="s">
        <v>623</v>
      </c>
      <c r="C35" s="606">
        <f>'d1'!C35-d1М!C35</f>
        <v>0</v>
      </c>
      <c r="D35" s="606">
        <f>'d1'!D35-d1М!D35</f>
        <v>0</v>
      </c>
      <c r="E35" s="606">
        <f>'d1'!E35-d1М!E35</f>
        <v>0</v>
      </c>
      <c r="F35" s="606">
        <f>'d1'!F35-d1М!F35</f>
        <v>0</v>
      </c>
      <c r="G35" s="105"/>
    </row>
    <row r="36" spans="1:7" ht="16.5" thickTop="1" thickBot="1" x14ac:dyDescent="0.3">
      <c r="A36" s="610">
        <v>14031900</v>
      </c>
      <c r="B36" s="613" t="s">
        <v>621</v>
      </c>
      <c r="C36" s="606">
        <f>'d1'!C36-d1М!C36</f>
        <v>0</v>
      </c>
      <c r="D36" s="606">
        <f>'d1'!D36-d1М!D36</f>
        <v>0</v>
      </c>
      <c r="E36" s="606">
        <f>'d1'!E36-d1М!E36</f>
        <v>0</v>
      </c>
      <c r="F36" s="606">
        <f>'d1'!F36-d1М!F36</f>
        <v>0</v>
      </c>
      <c r="G36" s="105"/>
    </row>
    <row r="37" spans="1:7" ht="42" thickTop="1" thickBot="1" x14ac:dyDescent="0.3">
      <c r="A37" s="607">
        <v>14040000</v>
      </c>
      <c r="B37" s="615" t="s">
        <v>1209</v>
      </c>
      <c r="C37" s="606">
        <f>'d1'!C37-d1М!C37</f>
        <v>0</v>
      </c>
      <c r="D37" s="606">
        <f>'d1'!D37-d1М!D37</f>
        <v>0</v>
      </c>
      <c r="E37" s="606">
        <f>'d1'!E37-d1М!E37</f>
        <v>0</v>
      </c>
      <c r="F37" s="606">
        <f>'d1'!F37-d1М!F37</f>
        <v>0</v>
      </c>
      <c r="G37" s="105"/>
    </row>
    <row r="38" spans="1:7" ht="103.5" thickTop="1" thickBot="1" x14ac:dyDescent="0.25">
      <c r="A38" s="610">
        <v>14040100</v>
      </c>
      <c r="B38" s="613" t="s">
        <v>1229</v>
      </c>
      <c r="C38" s="606">
        <f>'d1'!C38-d1М!C38</f>
        <v>0</v>
      </c>
      <c r="D38" s="606">
        <f>'d1'!D38-d1М!D38</f>
        <v>0</v>
      </c>
      <c r="E38" s="606">
        <f>'d1'!E38-d1М!E38</f>
        <v>0</v>
      </c>
      <c r="F38" s="606">
        <f>'d1'!F38-d1М!F38</f>
        <v>0</v>
      </c>
      <c r="G38" s="108"/>
    </row>
    <row r="39" spans="1:7" ht="65.25" thickTop="1" thickBot="1" x14ac:dyDescent="0.25">
      <c r="A39" s="610">
        <v>14040200</v>
      </c>
      <c r="B39" s="613" t="s">
        <v>1208</v>
      </c>
      <c r="C39" s="606">
        <f>'d1'!C39-d1М!C39</f>
        <v>0</v>
      </c>
      <c r="D39" s="606">
        <f>'d1'!D39-d1М!D39</f>
        <v>0</v>
      </c>
      <c r="E39" s="606">
        <f>'d1'!E39-d1М!E39</f>
        <v>0</v>
      </c>
      <c r="F39" s="606">
        <f>'d1'!F39-d1М!F39</f>
        <v>0</v>
      </c>
      <c r="G39" s="108"/>
    </row>
    <row r="40" spans="1:7" ht="29.25" customHeight="1" thickTop="1" thickBot="1" x14ac:dyDescent="0.3">
      <c r="A40" s="604">
        <v>18000000</v>
      </c>
      <c r="B40" s="604" t="s">
        <v>67</v>
      </c>
      <c r="C40" s="606">
        <f>'d1'!C40-d1М!C40</f>
        <v>51900000</v>
      </c>
      <c r="D40" s="606">
        <f>'d1'!D40-d1М!D40</f>
        <v>51900000</v>
      </c>
      <c r="E40" s="606">
        <f>'d1'!E40-d1М!E40</f>
        <v>0</v>
      </c>
      <c r="F40" s="606">
        <f>'d1'!F40-d1М!F40</f>
        <v>0</v>
      </c>
      <c r="G40" s="105"/>
    </row>
    <row r="41" spans="1:7" ht="16.5" thickTop="1" thickBot="1" x14ac:dyDescent="0.3">
      <c r="A41" s="607">
        <v>18010000</v>
      </c>
      <c r="B41" s="615" t="s">
        <v>68</v>
      </c>
      <c r="C41" s="606">
        <f>'d1'!C41-d1М!C41</f>
        <v>16900000</v>
      </c>
      <c r="D41" s="606">
        <f>'d1'!D41-d1М!D41</f>
        <v>16900000</v>
      </c>
      <c r="E41" s="606">
        <f>'d1'!E41-d1М!E41</f>
        <v>0</v>
      </c>
      <c r="F41" s="606">
        <f>'d1'!F41-d1М!F41</f>
        <v>0</v>
      </c>
      <c r="G41" s="105"/>
    </row>
    <row r="42" spans="1:7" ht="52.5" thickTop="1" thickBot="1" x14ac:dyDescent="0.3">
      <c r="A42" s="610">
        <v>18010100</v>
      </c>
      <c r="B42" s="613" t="s">
        <v>69</v>
      </c>
      <c r="C42" s="606">
        <f>'d1'!C42-d1М!C42</f>
        <v>0</v>
      </c>
      <c r="D42" s="606">
        <f>'d1'!D42-d1М!D42</f>
        <v>0</v>
      </c>
      <c r="E42" s="606">
        <f>'d1'!E42-d1М!E42</f>
        <v>0</v>
      </c>
      <c r="F42" s="606">
        <f>'d1'!F42-d1М!F42</f>
        <v>0</v>
      </c>
      <c r="G42" s="105"/>
    </row>
    <row r="43" spans="1:7" ht="52.5" thickTop="1" thickBot="1" x14ac:dyDescent="0.3">
      <c r="A43" s="610">
        <v>18010200</v>
      </c>
      <c r="B43" s="613" t="s">
        <v>70</v>
      </c>
      <c r="C43" s="606">
        <f>'d1'!C43-d1М!C43</f>
        <v>3900000</v>
      </c>
      <c r="D43" s="606">
        <f>'d1'!D43-d1М!D43</f>
        <v>3900000</v>
      </c>
      <c r="E43" s="606">
        <f>'d1'!E43-d1М!E43</f>
        <v>0</v>
      </c>
      <c r="F43" s="606">
        <f>'d1'!F43-d1М!F43</f>
        <v>0</v>
      </c>
      <c r="G43" s="105"/>
    </row>
    <row r="44" spans="1:7" ht="52.5" thickTop="1" thickBot="1" x14ac:dyDescent="0.3">
      <c r="A44" s="610">
        <v>18010300</v>
      </c>
      <c r="B44" s="613" t="s">
        <v>71</v>
      </c>
      <c r="C44" s="606">
        <f>'d1'!C44-d1М!C44</f>
        <v>7500000</v>
      </c>
      <c r="D44" s="606">
        <f>'d1'!D44-d1М!D44</f>
        <v>7500000</v>
      </c>
      <c r="E44" s="606">
        <f>'d1'!E44-d1М!E44</f>
        <v>0</v>
      </c>
      <c r="F44" s="606">
        <f>'d1'!F44-d1М!F44</f>
        <v>0</v>
      </c>
      <c r="G44" s="105"/>
    </row>
    <row r="45" spans="1:7" ht="52.5" thickTop="1" thickBot="1" x14ac:dyDescent="0.3">
      <c r="A45" s="610">
        <v>18010400</v>
      </c>
      <c r="B45" s="613" t="s">
        <v>72</v>
      </c>
      <c r="C45" s="606">
        <f>'d1'!C45-d1М!C45</f>
        <v>5500000</v>
      </c>
      <c r="D45" s="606">
        <f>'d1'!D45-d1М!D45</f>
        <v>5500000</v>
      </c>
      <c r="E45" s="606">
        <f>'d1'!E45-d1М!E45</f>
        <v>0</v>
      </c>
      <c r="F45" s="606">
        <f>'d1'!F45-d1М!F45</f>
        <v>0</v>
      </c>
      <c r="G45" s="105"/>
    </row>
    <row r="46" spans="1:7" ht="16.5" thickTop="1" thickBot="1" x14ac:dyDescent="0.3">
      <c r="A46" s="610">
        <v>18010500</v>
      </c>
      <c r="B46" s="613" t="s">
        <v>73</v>
      </c>
      <c r="C46" s="606">
        <f>'d1'!C46-d1М!C46</f>
        <v>0</v>
      </c>
      <c r="D46" s="606">
        <f>'d1'!D46-d1М!D46</f>
        <v>0</v>
      </c>
      <c r="E46" s="606">
        <f>'d1'!E46-d1М!E46</f>
        <v>0</v>
      </c>
      <c r="F46" s="606">
        <f>'d1'!F46-d1М!F46</f>
        <v>0</v>
      </c>
      <c r="G46" s="105"/>
    </row>
    <row r="47" spans="1:7" ht="16.5" thickTop="1" thickBot="1" x14ac:dyDescent="0.3">
      <c r="A47" s="610">
        <v>18010600</v>
      </c>
      <c r="B47" s="613" t="s">
        <v>74</v>
      </c>
      <c r="C47" s="606">
        <f>'d1'!C47-d1М!C47</f>
        <v>0</v>
      </c>
      <c r="D47" s="606">
        <f>'d1'!D47-d1М!D47</f>
        <v>0</v>
      </c>
      <c r="E47" s="606">
        <f>'d1'!E47-d1М!E47</f>
        <v>0</v>
      </c>
      <c r="F47" s="606">
        <f>'d1'!F47-d1М!F47</f>
        <v>0</v>
      </c>
      <c r="G47" s="105"/>
    </row>
    <row r="48" spans="1:7" ht="16.5" thickTop="1" thickBot="1" x14ac:dyDescent="0.3">
      <c r="A48" s="610">
        <v>18010700</v>
      </c>
      <c r="B48" s="613" t="s">
        <v>75</v>
      </c>
      <c r="C48" s="606">
        <f>'d1'!C48-d1М!C48</f>
        <v>0</v>
      </c>
      <c r="D48" s="606">
        <f>'d1'!D48-d1М!D48</f>
        <v>0</v>
      </c>
      <c r="E48" s="606">
        <f>'d1'!E48-d1М!E48</f>
        <v>0</v>
      </c>
      <c r="F48" s="606">
        <f>'d1'!F48-d1М!F48</f>
        <v>0</v>
      </c>
      <c r="G48" s="105"/>
    </row>
    <row r="49" spans="1:7" ht="16.5" thickTop="1" thickBot="1" x14ac:dyDescent="0.3">
      <c r="A49" s="610">
        <v>18010900</v>
      </c>
      <c r="B49" s="613" t="s">
        <v>76</v>
      </c>
      <c r="C49" s="606">
        <f>'d1'!C49-d1М!C49</f>
        <v>0</v>
      </c>
      <c r="D49" s="606">
        <f>'d1'!D49-d1М!D49</f>
        <v>0</v>
      </c>
      <c r="E49" s="606">
        <f>'d1'!E49-d1М!E49</f>
        <v>0</v>
      </c>
      <c r="F49" s="606">
        <f>'d1'!F49-d1М!F49</f>
        <v>0</v>
      </c>
      <c r="G49" s="105"/>
    </row>
    <row r="50" spans="1:7" ht="15.75" thickTop="1" thickBot="1" x14ac:dyDescent="0.25">
      <c r="A50" s="610">
        <v>18011000</v>
      </c>
      <c r="B50" s="613" t="s">
        <v>77</v>
      </c>
      <c r="C50" s="606">
        <f>'d1'!C50-d1М!C50</f>
        <v>0</v>
      </c>
      <c r="D50" s="606">
        <f>'d1'!D50-d1М!D50</f>
        <v>0</v>
      </c>
      <c r="E50" s="606">
        <f>'d1'!E50-d1М!E50</f>
        <v>0</v>
      </c>
      <c r="F50" s="606">
        <f>'d1'!F50-d1М!F50</f>
        <v>0</v>
      </c>
      <c r="G50" s="106"/>
    </row>
    <row r="51" spans="1:7" ht="16.5" thickTop="1" thickBot="1" x14ac:dyDescent="0.3">
      <c r="A51" s="610">
        <v>18011100</v>
      </c>
      <c r="B51" s="613" t="s">
        <v>78</v>
      </c>
      <c r="C51" s="606">
        <f>'d1'!C51-d1М!C51</f>
        <v>0</v>
      </c>
      <c r="D51" s="606">
        <f>'d1'!D51-d1М!D51</f>
        <v>0</v>
      </c>
      <c r="E51" s="606">
        <f>'d1'!E51-d1М!E51</f>
        <v>0</v>
      </c>
      <c r="F51" s="606">
        <f>'d1'!F51-d1М!F51</f>
        <v>0</v>
      </c>
      <c r="G51" s="105"/>
    </row>
    <row r="52" spans="1:7" ht="28.5" thickTop="1" thickBot="1" x14ac:dyDescent="0.3">
      <c r="A52" s="607">
        <v>18020000</v>
      </c>
      <c r="B52" s="615" t="s">
        <v>1157</v>
      </c>
      <c r="C52" s="606">
        <f>'d1'!C52-d1М!C52</f>
        <v>0</v>
      </c>
      <c r="D52" s="606">
        <f>'d1'!D52-d1М!D52</f>
        <v>0</v>
      </c>
      <c r="E52" s="606">
        <f>'d1'!E52-d1М!E52</f>
        <v>0</v>
      </c>
      <c r="F52" s="606">
        <f>'d1'!F52-d1М!F52</f>
        <v>0</v>
      </c>
      <c r="G52" s="105"/>
    </row>
    <row r="53" spans="1:7" ht="27" thickTop="1" thickBot="1" x14ac:dyDescent="0.3">
      <c r="A53" s="610">
        <v>180201000</v>
      </c>
      <c r="B53" s="613" t="s">
        <v>1158</v>
      </c>
      <c r="C53" s="606">
        <f>'d1'!C53-d1М!C53</f>
        <v>0</v>
      </c>
      <c r="D53" s="606">
        <f>'d1'!D53-d1М!D53</f>
        <v>0</v>
      </c>
      <c r="E53" s="606">
        <f>'d1'!E53-d1М!E53</f>
        <v>0</v>
      </c>
      <c r="F53" s="606">
        <f>'d1'!F53-d1М!F53</f>
        <v>0</v>
      </c>
      <c r="G53" s="105"/>
    </row>
    <row r="54" spans="1:7" ht="16.5" thickTop="1" thickBot="1" x14ac:dyDescent="0.3">
      <c r="A54" s="607">
        <v>18030000</v>
      </c>
      <c r="B54" s="615" t="s">
        <v>79</v>
      </c>
      <c r="C54" s="606">
        <f>'d1'!C54-d1М!C54</f>
        <v>0</v>
      </c>
      <c r="D54" s="606">
        <f>'d1'!D54-d1М!D54</f>
        <v>0</v>
      </c>
      <c r="E54" s="606">
        <f>'d1'!E54-d1М!E54</f>
        <v>0</v>
      </c>
      <c r="F54" s="606">
        <f>'d1'!F54-d1М!F54</f>
        <v>0</v>
      </c>
      <c r="G54" s="105"/>
    </row>
    <row r="55" spans="1:7" ht="27" thickTop="1" thickBot="1" x14ac:dyDescent="0.3">
      <c r="A55" s="610">
        <v>18030100</v>
      </c>
      <c r="B55" s="613" t="s">
        <v>80</v>
      </c>
      <c r="C55" s="606">
        <f>'d1'!C55-d1М!C55</f>
        <v>0</v>
      </c>
      <c r="D55" s="606">
        <f>'d1'!D55-d1М!D55</f>
        <v>0</v>
      </c>
      <c r="E55" s="606">
        <f>'d1'!E55-d1М!E55</f>
        <v>0</v>
      </c>
      <c r="F55" s="606">
        <f>'d1'!F55-d1М!F55</f>
        <v>0</v>
      </c>
      <c r="G55" s="105"/>
    </row>
    <row r="56" spans="1:7" ht="27" thickTop="1" thickBot="1" x14ac:dyDescent="0.3">
      <c r="A56" s="610">
        <v>18030200</v>
      </c>
      <c r="B56" s="613" t="s">
        <v>81</v>
      </c>
      <c r="C56" s="606">
        <f>'d1'!C56-d1М!C56</f>
        <v>0</v>
      </c>
      <c r="D56" s="606">
        <f>'d1'!D56-d1М!D56</f>
        <v>0</v>
      </c>
      <c r="E56" s="606">
        <f>'d1'!E56-d1М!E56</f>
        <v>0</v>
      </c>
      <c r="F56" s="606">
        <f>'d1'!F56-d1М!F56</f>
        <v>0</v>
      </c>
      <c r="G56" s="105"/>
    </row>
    <row r="57" spans="1:7" ht="16.5" thickTop="1" thickBot="1" x14ac:dyDescent="0.3">
      <c r="A57" s="607">
        <v>18050000</v>
      </c>
      <c r="B57" s="615" t="s">
        <v>82</v>
      </c>
      <c r="C57" s="606">
        <f>'d1'!C57-d1М!C57</f>
        <v>35000000</v>
      </c>
      <c r="D57" s="606">
        <f>'d1'!D57-d1М!D57</f>
        <v>35000000</v>
      </c>
      <c r="E57" s="606">
        <f>'d1'!E57-d1М!E57</f>
        <v>0</v>
      </c>
      <c r="F57" s="606">
        <f>'d1'!F57-d1М!F57</f>
        <v>0</v>
      </c>
      <c r="G57" s="105"/>
    </row>
    <row r="58" spans="1:7" ht="16.5" thickTop="1" thickBot="1" x14ac:dyDescent="0.3">
      <c r="A58" s="610">
        <v>18050300</v>
      </c>
      <c r="B58" s="611" t="s">
        <v>1039</v>
      </c>
      <c r="C58" s="606">
        <f>'d1'!C58-d1М!C58</f>
        <v>0</v>
      </c>
      <c r="D58" s="606">
        <f>'d1'!D58-d1М!D58</f>
        <v>0</v>
      </c>
      <c r="E58" s="606">
        <f>'d1'!E58-d1М!E58</f>
        <v>0</v>
      </c>
      <c r="F58" s="606">
        <f>'d1'!F58-d1М!F58</f>
        <v>0</v>
      </c>
      <c r="G58" s="105"/>
    </row>
    <row r="59" spans="1:7" ht="15.75" thickTop="1" thickBot="1" x14ac:dyDescent="0.25">
      <c r="A59" s="610">
        <v>18050400</v>
      </c>
      <c r="B59" s="613" t="s">
        <v>83</v>
      </c>
      <c r="C59" s="606">
        <f>'d1'!C59-d1М!C59</f>
        <v>35000000</v>
      </c>
      <c r="D59" s="606">
        <f>'d1'!D59-d1М!D59</f>
        <v>35000000</v>
      </c>
      <c r="E59" s="606">
        <f>'d1'!E59-d1М!E59</f>
        <v>0</v>
      </c>
      <c r="F59" s="606">
        <f>'d1'!F59-d1М!F59</f>
        <v>0</v>
      </c>
      <c r="G59" s="106"/>
    </row>
    <row r="60" spans="1:7" ht="65.25" thickTop="1" thickBot="1" x14ac:dyDescent="0.25">
      <c r="A60" s="610">
        <v>18050500</v>
      </c>
      <c r="B60" s="613" t="s">
        <v>539</v>
      </c>
      <c r="C60" s="606">
        <f>'d1'!C60-d1М!C60</f>
        <v>0</v>
      </c>
      <c r="D60" s="606">
        <f>'d1'!D60-d1М!D60</f>
        <v>0</v>
      </c>
      <c r="E60" s="606">
        <f>'d1'!E60-d1М!E60</f>
        <v>0</v>
      </c>
      <c r="F60" s="606">
        <f>'d1'!F60-d1М!F60</f>
        <v>0</v>
      </c>
      <c r="G60" s="106"/>
    </row>
    <row r="61" spans="1:7" ht="31.7" customHeight="1" thickTop="1" thickBot="1" x14ac:dyDescent="0.25">
      <c r="A61" s="604">
        <v>19000000</v>
      </c>
      <c r="B61" s="618" t="s">
        <v>532</v>
      </c>
      <c r="C61" s="606">
        <f>'d1'!C61-d1М!C61</f>
        <v>0</v>
      </c>
      <c r="D61" s="606">
        <f>'d1'!D61-d1М!D61</f>
        <v>0</v>
      </c>
      <c r="E61" s="606">
        <f>'d1'!E61-d1М!E61</f>
        <v>0</v>
      </c>
      <c r="F61" s="606">
        <f>'d1'!F61-d1М!F61</f>
        <v>0</v>
      </c>
      <c r="G61" s="106"/>
    </row>
    <row r="62" spans="1:7" ht="16.5" thickTop="1" thickBot="1" x14ac:dyDescent="0.3">
      <c r="A62" s="607">
        <v>1901000</v>
      </c>
      <c r="B62" s="608" t="s">
        <v>84</v>
      </c>
      <c r="C62" s="606">
        <f>'d1'!C62-d1М!C62</f>
        <v>0</v>
      </c>
      <c r="D62" s="606">
        <f>'d1'!D62-d1М!D62</f>
        <v>0</v>
      </c>
      <c r="E62" s="606">
        <f>'d1'!E62-d1М!E62</f>
        <v>0</v>
      </c>
      <c r="F62" s="606">
        <f>'d1'!F62-d1М!F62</f>
        <v>0</v>
      </c>
      <c r="G62" s="105"/>
    </row>
    <row r="63" spans="1:7" ht="52.5" thickTop="1" thickBot="1" x14ac:dyDescent="0.3">
      <c r="A63" s="610">
        <v>19010100</v>
      </c>
      <c r="B63" s="611" t="s">
        <v>533</v>
      </c>
      <c r="C63" s="606">
        <f>'d1'!C63-d1М!C63</f>
        <v>0</v>
      </c>
      <c r="D63" s="606">
        <f>'d1'!D63-d1М!D63</f>
        <v>0</v>
      </c>
      <c r="E63" s="606">
        <f>'d1'!E63-d1М!E63</f>
        <v>0</v>
      </c>
      <c r="F63" s="606">
        <f>'d1'!F63-d1М!F63</f>
        <v>0</v>
      </c>
      <c r="G63" s="105"/>
    </row>
    <row r="64" spans="1:7" ht="27" thickTop="1" thickBot="1" x14ac:dyDescent="0.25">
      <c r="A64" s="610">
        <v>19010200</v>
      </c>
      <c r="B64" s="611" t="s">
        <v>1273</v>
      </c>
      <c r="C64" s="606">
        <f>'d1'!C64-d1М!C64</f>
        <v>0</v>
      </c>
      <c r="D64" s="606">
        <f>'d1'!D64-d1М!D64</f>
        <v>0</v>
      </c>
      <c r="E64" s="606">
        <f>'d1'!E64-d1М!E64</f>
        <v>0</v>
      </c>
      <c r="F64" s="606">
        <f>'d1'!F64-d1М!F64</f>
        <v>0</v>
      </c>
      <c r="G64" s="108"/>
    </row>
    <row r="65" spans="1:7" ht="52.5" thickTop="1" thickBot="1" x14ac:dyDescent="0.3">
      <c r="A65" s="610">
        <v>19010300</v>
      </c>
      <c r="B65" s="611" t="s">
        <v>1274</v>
      </c>
      <c r="C65" s="606">
        <f>'d1'!C65-d1М!C65</f>
        <v>0</v>
      </c>
      <c r="D65" s="606">
        <f>'d1'!D65-d1М!D65</f>
        <v>0</v>
      </c>
      <c r="E65" s="606">
        <f>'d1'!E65-d1М!E65</f>
        <v>0</v>
      </c>
      <c r="F65" s="606">
        <f>'d1'!F65-d1М!F65</f>
        <v>0</v>
      </c>
      <c r="G65" s="105"/>
    </row>
    <row r="66" spans="1:7" ht="30" customHeight="1" thickTop="1" thickBot="1" x14ac:dyDescent="0.3">
      <c r="A66" s="712">
        <v>20000000</v>
      </c>
      <c r="B66" s="712" t="s">
        <v>85</v>
      </c>
      <c r="C66" s="713">
        <f t="shared" si="0"/>
        <v>15600000</v>
      </c>
      <c r="D66" s="713">
        <f>SUM(D67,D77,D88,D93)+D87</f>
        <v>14400000</v>
      </c>
      <c r="E66" s="713">
        <f>SUM(E67,E77,E88,E93)+E87</f>
        <v>1200000</v>
      </c>
      <c r="F66" s="713">
        <f>SUM(F67,F77,F88,F93)+F87</f>
        <v>1200000</v>
      </c>
      <c r="G66" s="105"/>
    </row>
    <row r="67" spans="1:7" ht="27" thickTop="1" thickBot="1" x14ac:dyDescent="0.3">
      <c r="A67" s="604">
        <v>21000000</v>
      </c>
      <c r="B67" s="604" t="s">
        <v>534</v>
      </c>
      <c r="C67" s="606">
        <f>'d1'!C67-d1М!C67</f>
        <v>0</v>
      </c>
      <c r="D67" s="606">
        <f>'d1'!D67-d1М!D67</f>
        <v>0</v>
      </c>
      <c r="E67" s="606">
        <f>'d1'!E67-d1М!E67</f>
        <v>0</v>
      </c>
      <c r="F67" s="606">
        <f>'d1'!F67-d1М!F67</f>
        <v>0</v>
      </c>
      <c r="G67" s="105"/>
    </row>
    <row r="68" spans="1:7" ht="55.5" thickTop="1" thickBot="1" x14ac:dyDescent="0.3">
      <c r="A68" s="607">
        <v>21010000</v>
      </c>
      <c r="B68" s="615" t="s">
        <v>535</v>
      </c>
      <c r="C68" s="606">
        <f>'d1'!C68-d1М!C68</f>
        <v>0</v>
      </c>
      <c r="D68" s="606">
        <f>'d1'!D68-d1М!D68</f>
        <v>0</v>
      </c>
      <c r="E68" s="606">
        <f>'d1'!E68-d1М!E68</f>
        <v>0</v>
      </c>
      <c r="F68" s="606">
        <f>'d1'!F68-d1М!F68</f>
        <v>0</v>
      </c>
      <c r="G68" s="105"/>
    </row>
    <row r="69" spans="1:7" ht="52.5" thickTop="1" thickBot="1" x14ac:dyDescent="0.3">
      <c r="A69" s="610">
        <v>21010300</v>
      </c>
      <c r="B69" s="613" t="s">
        <v>1400</v>
      </c>
      <c r="C69" s="606">
        <f>'d1'!C69-d1М!C69</f>
        <v>0</v>
      </c>
      <c r="D69" s="606">
        <f>'d1'!D69-d1М!D69</f>
        <v>0</v>
      </c>
      <c r="E69" s="606">
        <f>'d1'!E69-d1М!E69</f>
        <v>0</v>
      </c>
      <c r="F69" s="606">
        <f>'d1'!F69-d1М!F69</f>
        <v>0</v>
      </c>
      <c r="G69" s="105"/>
    </row>
    <row r="70" spans="1:7" ht="28.5" thickTop="1" thickBot="1" x14ac:dyDescent="0.3">
      <c r="A70" s="607">
        <v>21050000</v>
      </c>
      <c r="B70" s="615" t="s">
        <v>86</v>
      </c>
      <c r="C70" s="606">
        <f>'d1'!C70-d1М!C70</f>
        <v>0</v>
      </c>
      <c r="D70" s="606">
        <f>'d1'!D70-d1М!D70</f>
        <v>0</v>
      </c>
      <c r="E70" s="606">
        <f>'d1'!E70-d1М!E70</f>
        <v>0</v>
      </c>
      <c r="F70" s="606">
        <f>'d1'!F70-d1М!F70</f>
        <v>0</v>
      </c>
      <c r="G70" s="105"/>
    </row>
    <row r="71" spans="1:7" ht="15" thickTop="1" thickBot="1" x14ac:dyDescent="0.25">
      <c r="A71" s="607">
        <v>21080000</v>
      </c>
      <c r="B71" s="615" t="s">
        <v>1040</v>
      </c>
      <c r="C71" s="606">
        <f>'d1'!C71-d1М!C71</f>
        <v>0</v>
      </c>
      <c r="D71" s="606">
        <f>'d1'!D71-d1М!D71</f>
        <v>0</v>
      </c>
      <c r="E71" s="606">
        <f>'d1'!E71-d1М!E71</f>
        <v>0</v>
      </c>
      <c r="F71" s="606">
        <f>'d1'!F71-d1М!F71</f>
        <v>0</v>
      </c>
      <c r="G71" s="108"/>
    </row>
    <row r="72" spans="1:7" ht="16.5" thickTop="1" thickBot="1" x14ac:dyDescent="0.3">
      <c r="A72" s="610">
        <v>21081100</v>
      </c>
      <c r="B72" s="619" t="s">
        <v>87</v>
      </c>
      <c r="C72" s="606">
        <f>'d1'!C72-d1М!C72</f>
        <v>0</v>
      </c>
      <c r="D72" s="606">
        <f>'d1'!D72-d1М!D72</f>
        <v>0</v>
      </c>
      <c r="E72" s="606">
        <f>'d1'!E72-d1М!E72</f>
        <v>0</v>
      </c>
      <c r="F72" s="606">
        <f>'d1'!F72-d1М!F72</f>
        <v>0</v>
      </c>
      <c r="G72" s="105"/>
    </row>
    <row r="73" spans="1:7" ht="90.75" thickTop="1" thickBot="1" x14ac:dyDescent="0.3">
      <c r="A73" s="610">
        <v>21081500</v>
      </c>
      <c r="B73" s="611" t="s">
        <v>1289</v>
      </c>
      <c r="C73" s="606">
        <f>'d1'!C73-d1М!C73</f>
        <v>0</v>
      </c>
      <c r="D73" s="606">
        <f>'d1'!D73-d1М!D73</f>
        <v>0</v>
      </c>
      <c r="E73" s="606">
        <f>'d1'!E73-d1М!E73</f>
        <v>0</v>
      </c>
      <c r="F73" s="606">
        <f>'d1'!F73-d1М!F73</f>
        <v>0</v>
      </c>
      <c r="G73" s="105"/>
    </row>
    <row r="74" spans="1:7" ht="16.5" thickTop="1" thickBot="1" x14ac:dyDescent="0.3">
      <c r="A74" s="610">
        <v>21081700</v>
      </c>
      <c r="B74" s="611" t="s">
        <v>374</v>
      </c>
      <c r="C74" s="606">
        <f>'d1'!C74-d1М!C74</f>
        <v>0</v>
      </c>
      <c r="D74" s="606">
        <f>'d1'!D74-d1М!D74</f>
        <v>0</v>
      </c>
      <c r="E74" s="606">
        <f>'d1'!E74-d1М!E74</f>
        <v>0</v>
      </c>
      <c r="F74" s="606">
        <f>'d1'!F74-d1М!F74</f>
        <v>0</v>
      </c>
      <c r="G74" s="109"/>
    </row>
    <row r="75" spans="1:7" ht="52.5" thickTop="1" thickBot="1" x14ac:dyDescent="0.3">
      <c r="A75" s="610">
        <v>21081800</v>
      </c>
      <c r="B75" s="611" t="s">
        <v>1537</v>
      </c>
      <c r="C75" s="606">
        <f>'d1'!C75-d1М!C75</f>
        <v>0</v>
      </c>
      <c r="D75" s="606">
        <f>'d1'!D75-d1М!D75</f>
        <v>0</v>
      </c>
      <c r="E75" s="606">
        <f>'d1'!E75-d1М!E75</f>
        <v>0</v>
      </c>
      <c r="F75" s="606">
        <f>'d1'!F75-d1М!F75</f>
        <v>0</v>
      </c>
      <c r="G75" s="109"/>
    </row>
    <row r="76" spans="1:7" ht="78" thickTop="1" thickBot="1" x14ac:dyDescent="0.3">
      <c r="A76" s="610">
        <v>21082400</v>
      </c>
      <c r="B76" s="611" t="s">
        <v>1538</v>
      </c>
      <c r="C76" s="606">
        <f>'d1'!C76-d1М!C76</f>
        <v>0</v>
      </c>
      <c r="D76" s="606">
        <f>'d1'!D76-d1М!D76</f>
        <v>0</v>
      </c>
      <c r="E76" s="606">
        <f>'d1'!E76-d1М!E76</f>
        <v>0</v>
      </c>
      <c r="F76" s="606">
        <f>'d1'!F76-d1М!F76</f>
        <v>0</v>
      </c>
      <c r="G76" s="109"/>
    </row>
    <row r="77" spans="1:7" ht="27" thickTop="1" thickBot="1" x14ac:dyDescent="0.3">
      <c r="A77" s="604">
        <v>22000000</v>
      </c>
      <c r="B77" s="604" t="s">
        <v>88</v>
      </c>
      <c r="C77" s="606">
        <f>'d1'!C77-d1М!C77</f>
        <v>14400000</v>
      </c>
      <c r="D77" s="606">
        <f>'d1'!D77-d1М!D77</f>
        <v>14400000</v>
      </c>
      <c r="E77" s="606">
        <f>'d1'!E77-d1М!E77</f>
        <v>0</v>
      </c>
      <c r="F77" s="606">
        <f>'d1'!F77-d1М!F77</f>
        <v>0</v>
      </c>
      <c r="G77" s="105"/>
    </row>
    <row r="78" spans="1:7" ht="24.75" customHeight="1" thickTop="1" thickBot="1" x14ac:dyDescent="0.3">
      <c r="A78" s="607">
        <v>22010000</v>
      </c>
      <c r="B78" s="608" t="s">
        <v>536</v>
      </c>
      <c r="C78" s="606">
        <f>'d1'!C78-d1М!C78</f>
        <v>14400000</v>
      </c>
      <c r="D78" s="606">
        <f>'d1'!D78-d1М!D78</f>
        <v>14400000</v>
      </c>
      <c r="E78" s="606">
        <f>'d1'!E78-d1М!E78</f>
        <v>0</v>
      </c>
      <c r="F78" s="606">
        <f>'d1'!F78-d1М!F78</f>
        <v>0</v>
      </c>
      <c r="G78" s="105"/>
    </row>
    <row r="79" spans="1:7" ht="39.75" thickTop="1" thickBot="1" x14ac:dyDescent="0.3">
      <c r="A79" s="610">
        <v>22010300</v>
      </c>
      <c r="B79" s="611" t="s">
        <v>147</v>
      </c>
      <c r="C79" s="606">
        <f>'d1'!C79-d1М!C79</f>
        <v>0</v>
      </c>
      <c r="D79" s="606">
        <f>'d1'!D79-d1М!D79</f>
        <v>0</v>
      </c>
      <c r="E79" s="606">
        <f>'d1'!E79-d1М!E79</f>
        <v>0</v>
      </c>
      <c r="F79" s="606">
        <f>'d1'!F79-d1М!F79</f>
        <v>0</v>
      </c>
      <c r="G79" s="105"/>
    </row>
    <row r="80" spans="1:7" ht="16.5" thickTop="1" thickBot="1" x14ac:dyDescent="0.3">
      <c r="A80" s="610">
        <v>22012500</v>
      </c>
      <c r="B80" s="611" t="s">
        <v>90</v>
      </c>
      <c r="C80" s="606">
        <f>'d1'!C80-d1М!C80</f>
        <v>14400000</v>
      </c>
      <c r="D80" s="606">
        <f>'d1'!D80-d1М!D80</f>
        <v>14400000</v>
      </c>
      <c r="E80" s="606">
        <f>'d1'!E80-d1М!E80</f>
        <v>0</v>
      </c>
      <c r="F80" s="606">
        <f>'d1'!F80-d1М!F80</f>
        <v>0</v>
      </c>
      <c r="G80" s="105"/>
    </row>
    <row r="81" spans="1:7" ht="27" thickTop="1" thickBot="1" x14ac:dyDescent="0.3">
      <c r="A81" s="610">
        <v>22012600</v>
      </c>
      <c r="B81" s="611" t="s">
        <v>89</v>
      </c>
      <c r="C81" s="606">
        <f>'d1'!C81-d1М!C81</f>
        <v>0</v>
      </c>
      <c r="D81" s="606">
        <f>'d1'!D81-d1М!D81</f>
        <v>0</v>
      </c>
      <c r="E81" s="606">
        <f>'d1'!E81-d1М!E81</f>
        <v>0</v>
      </c>
      <c r="F81" s="606">
        <f>'d1'!F81-d1М!F81</f>
        <v>0</v>
      </c>
      <c r="G81" s="105"/>
    </row>
    <row r="82" spans="1:7" ht="42" thickTop="1" thickBot="1" x14ac:dyDescent="0.3">
      <c r="A82" s="607">
        <v>2208000</v>
      </c>
      <c r="B82" s="608" t="s">
        <v>537</v>
      </c>
      <c r="C82" s="606">
        <f>'d1'!C82-d1М!C82</f>
        <v>0</v>
      </c>
      <c r="D82" s="606">
        <f>'d1'!D82-d1М!D82</f>
        <v>0</v>
      </c>
      <c r="E82" s="606">
        <f>'d1'!E82-d1М!E82</f>
        <v>0</v>
      </c>
      <c r="F82" s="606">
        <f>'d1'!F82-d1М!F82</f>
        <v>0</v>
      </c>
      <c r="G82" s="105"/>
    </row>
    <row r="83" spans="1:7" ht="52.5" thickTop="1" thickBot="1" x14ac:dyDescent="0.3">
      <c r="A83" s="610">
        <v>22080400</v>
      </c>
      <c r="B83" s="619" t="s">
        <v>91</v>
      </c>
      <c r="C83" s="606">
        <f>'d1'!C83-d1М!C83</f>
        <v>0</v>
      </c>
      <c r="D83" s="606">
        <f>'d1'!D83-d1М!D83</f>
        <v>0</v>
      </c>
      <c r="E83" s="606">
        <f>'d1'!E83-d1М!E83</f>
        <v>0</v>
      </c>
      <c r="F83" s="606">
        <f>'d1'!F83-d1М!F83</f>
        <v>0</v>
      </c>
      <c r="G83" s="105"/>
    </row>
    <row r="84" spans="1:7" ht="16.5" thickTop="1" thickBot="1" x14ac:dyDescent="0.3">
      <c r="A84" s="607">
        <v>22090000</v>
      </c>
      <c r="B84" s="620" t="s">
        <v>92</v>
      </c>
      <c r="C84" s="606">
        <f>'d1'!C84-d1М!C84</f>
        <v>0</v>
      </c>
      <c r="D84" s="606">
        <f>'d1'!D84-d1М!D84</f>
        <v>0</v>
      </c>
      <c r="E84" s="606">
        <f>'d1'!E84-d1М!E84</f>
        <v>0</v>
      </c>
      <c r="F84" s="606">
        <f>'d1'!F84-d1М!F84</f>
        <v>0</v>
      </c>
      <c r="G84" s="105"/>
    </row>
    <row r="85" spans="1:7" ht="52.5" thickTop="1" thickBot="1" x14ac:dyDescent="0.3">
      <c r="A85" s="610">
        <v>22090100</v>
      </c>
      <c r="B85" s="613" t="s">
        <v>93</v>
      </c>
      <c r="C85" s="606">
        <f>'d1'!C85-d1М!C85</f>
        <v>0</v>
      </c>
      <c r="D85" s="606">
        <f>'d1'!D85-d1М!D85</f>
        <v>0</v>
      </c>
      <c r="E85" s="606">
        <f>'d1'!E85-d1М!E85</f>
        <v>0</v>
      </c>
      <c r="F85" s="606">
        <f>'d1'!F85-d1М!F85</f>
        <v>0</v>
      </c>
      <c r="G85" s="105"/>
    </row>
    <row r="86" spans="1:7" ht="39.75" thickTop="1" thickBot="1" x14ac:dyDescent="0.25">
      <c r="A86" s="610">
        <v>22090400</v>
      </c>
      <c r="B86" s="613" t="s">
        <v>94</v>
      </c>
      <c r="C86" s="606">
        <f>'d1'!C86-d1М!C86</f>
        <v>0</v>
      </c>
      <c r="D86" s="606">
        <f>'d1'!D86-d1М!D86</f>
        <v>0</v>
      </c>
      <c r="E86" s="606">
        <f>'d1'!E86-d1М!E86</f>
        <v>0</v>
      </c>
      <c r="F86" s="606">
        <f>'d1'!F86-d1М!F86</f>
        <v>0</v>
      </c>
      <c r="G86" s="107"/>
    </row>
    <row r="87" spans="1:7" ht="78" thickTop="1" thickBot="1" x14ac:dyDescent="0.25">
      <c r="A87" s="604">
        <v>22130000</v>
      </c>
      <c r="B87" s="621" t="s">
        <v>1539</v>
      </c>
      <c r="C87" s="606">
        <f>'d1'!C87-d1М!C87</f>
        <v>0</v>
      </c>
      <c r="D87" s="606">
        <f>'d1'!D87-d1М!D87</f>
        <v>0</v>
      </c>
      <c r="E87" s="606">
        <f>'d1'!E87-d1М!E87</f>
        <v>0</v>
      </c>
      <c r="F87" s="606">
        <f>'d1'!F87-d1М!F87</f>
        <v>0</v>
      </c>
      <c r="G87" s="107"/>
    </row>
    <row r="88" spans="1:7" ht="20.25" customHeight="1" thickTop="1" thickBot="1" x14ac:dyDescent="0.3">
      <c r="A88" s="604">
        <v>24000000</v>
      </c>
      <c r="B88" s="621" t="s">
        <v>95</v>
      </c>
      <c r="C88" s="606">
        <f>'d1'!C88-d1М!C88</f>
        <v>1200000</v>
      </c>
      <c r="D88" s="606">
        <f>'d1'!D88-d1М!D88</f>
        <v>0</v>
      </c>
      <c r="E88" s="606">
        <f>'d1'!E88-d1М!E88</f>
        <v>1200000</v>
      </c>
      <c r="F88" s="606">
        <f>'d1'!F88-d1М!F88</f>
        <v>1200000</v>
      </c>
      <c r="G88" s="105"/>
    </row>
    <row r="89" spans="1:7" ht="16.5" thickTop="1" thickBot="1" x14ac:dyDescent="0.3">
      <c r="A89" s="610">
        <v>24060300</v>
      </c>
      <c r="B89" s="611" t="s">
        <v>96</v>
      </c>
      <c r="C89" s="606">
        <f>'d1'!C89-d1М!C89</f>
        <v>0</v>
      </c>
      <c r="D89" s="606">
        <f>'d1'!D89-d1М!D89</f>
        <v>0</v>
      </c>
      <c r="E89" s="606">
        <f>'d1'!E89-d1М!E89</f>
        <v>0</v>
      </c>
      <c r="F89" s="606">
        <f>'d1'!F89-d1М!F89</f>
        <v>0</v>
      </c>
      <c r="G89" s="105"/>
    </row>
    <row r="90" spans="1:7" ht="65.25" thickTop="1" thickBot="1" x14ac:dyDescent="0.3">
      <c r="A90" s="610">
        <v>24062200</v>
      </c>
      <c r="B90" s="611" t="s">
        <v>375</v>
      </c>
      <c r="C90" s="606">
        <f>'d1'!C90-d1М!C90</f>
        <v>0</v>
      </c>
      <c r="D90" s="606">
        <f>'d1'!D90-d1М!D90</f>
        <v>0</v>
      </c>
      <c r="E90" s="606">
        <f>'d1'!E90-d1М!E90</f>
        <v>0</v>
      </c>
      <c r="F90" s="606">
        <f>'d1'!F90-d1М!F90</f>
        <v>0</v>
      </c>
      <c r="G90" s="105"/>
    </row>
    <row r="91" spans="1:7" ht="39.75" thickTop="1" thickBot="1" x14ac:dyDescent="0.3">
      <c r="A91" s="610">
        <v>24110700</v>
      </c>
      <c r="B91" s="622" t="s">
        <v>589</v>
      </c>
      <c r="C91" s="606">
        <f>'d1'!C91-d1М!C91</f>
        <v>0</v>
      </c>
      <c r="D91" s="606">
        <f>'d1'!D91-d1М!D91</f>
        <v>0</v>
      </c>
      <c r="E91" s="606">
        <f>'d1'!E91-d1М!E91</f>
        <v>0</v>
      </c>
      <c r="F91" s="606">
        <f>'d1'!F91-d1М!F91</f>
        <v>0</v>
      </c>
      <c r="G91" s="105"/>
    </row>
    <row r="92" spans="1:7" ht="27" thickTop="1" thickBot="1" x14ac:dyDescent="0.25">
      <c r="A92" s="610">
        <v>24170000</v>
      </c>
      <c r="B92" s="613" t="s">
        <v>97</v>
      </c>
      <c r="C92" s="606">
        <f>'d1'!C92-d1М!C92</f>
        <v>1200000</v>
      </c>
      <c r="D92" s="606">
        <f>'d1'!D92-d1М!D92</f>
        <v>0</v>
      </c>
      <c r="E92" s="606">
        <f>'d1'!E92-d1М!E92</f>
        <v>1200000</v>
      </c>
      <c r="F92" s="606">
        <f>'d1'!F92-d1М!F92</f>
        <v>1200000</v>
      </c>
      <c r="G92" s="106"/>
    </row>
    <row r="93" spans="1:7" ht="16.5" thickTop="1" thickBot="1" x14ac:dyDescent="0.3">
      <c r="A93" s="604">
        <v>25000000</v>
      </c>
      <c r="B93" s="623" t="s">
        <v>98</v>
      </c>
      <c r="C93" s="606">
        <f>'d1'!C93-d1М!C93</f>
        <v>0</v>
      </c>
      <c r="D93" s="606">
        <f>'d1'!D93-d1М!D93</f>
        <v>0</v>
      </c>
      <c r="E93" s="606">
        <f>'d1'!E93-d1М!E93</f>
        <v>0</v>
      </c>
      <c r="F93" s="606">
        <f>'d1'!F93-d1М!F93</f>
        <v>0</v>
      </c>
      <c r="G93" s="105"/>
    </row>
    <row r="94" spans="1:7" ht="42" thickTop="1" thickBot="1" x14ac:dyDescent="0.3">
      <c r="A94" s="607">
        <v>25010000</v>
      </c>
      <c r="B94" s="615" t="s">
        <v>99</v>
      </c>
      <c r="C94" s="606">
        <f>'d1'!C94-d1М!C94</f>
        <v>0</v>
      </c>
      <c r="D94" s="606">
        <f>'d1'!D94-d1М!D94</f>
        <v>0</v>
      </c>
      <c r="E94" s="606">
        <f>'d1'!E94-d1М!E94</f>
        <v>0</v>
      </c>
      <c r="F94" s="606">
        <f>'d1'!F94-d1М!F94</f>
        <v>0</v>
      </c>
      <c r="G94" s="105"/>
    </row>
    <row r="95" spans="1:7" ht="27" thickTop="1" thickBot="1" x14ac:dyDescent="0.3">
      <c r="A95" s="610">
        <v>25010100</v>
      </c>
      <c r="B95" s="613" t="s">
        <v>100</v>
      </c>
      <c r="C95" s="606">
        <f>'d1'!C95-d1М!C95</f>
        <v>-19240</v>
      </c>
      <c r="D95" s="606">
        <f>'d1'!D95-d1М!D95</f>
        <v>0</v>
      </c>
      <c r="E95" s="606">
        <f>'d1'!E95-d1М!E95</f>
        <v>-19240</v>
      </c>
      <c r="F95" s="606">
        <f>'d1'!F95-d1М!F95</f>
        <v>0</v>
      </c>
      <c r="G95" s="105"/>
    </row>
    <row r="96" spans="1:7" ht="27" thickTop="1" thickBot="1" x14ac:dyDescent="0.3">
      <c r="A96" s="610">
        <v>25010200</v>
      </c>
      <c r="B96" s="613" t="s">
        <v>101</v>
      </c>
      <c r="C96" s="606">
        <f>'d1'!C96-d1М!C96</f>
        <v>0</v>
      </c>
      <c r="D96" s="606">
        <f>'d1'!D96-d1М!D96</f>
        <v>0</v>
      </c>
      <c r="E96" s="606">
        <f>'d1'!E96-d1М!E96</f>
        <v>0</v>
      </c>
      <c r="F96" s="606">
        <f>'d1'!F96-d1М!F96</f>
        <v>0</v>
      </c>
      <c r="G96" s="105"/>
    </row>
    <row r="97" spans="1:7" ht="16.5" thickTop="1" thickBot="1" x14ac:dyDescent="0.3">
      <c r="A97" s="610">
        <v>25010300</v>
      </c>
      <c r="B97" s="613" t="s">
        <v>102</v>
      </c>
      <c r="C97" s="606">
        <f>'d1'!C97-d1М!C97</f>
        <v>25240</v>
      </c>
      <c r="D97" s="606">
        <f>'d1'!D97-d1М!D97</f>
        <v>0</v>
      </c>
      <c r="E97" s="606">
        <f>'d1'!E97-d1М!E97</f>
        <v>25240</v>
      </c>
      <c r="F97" s="606">
        <f>'d1'!F97-d1М!F97</f>
        <v>0</v>
      </c>
      <c r="G97" s="105"/>
    </row>
    <row r="98" spans="1:7" ht="39.75" thickTop="1" thickBot="1" x14ac:dyDescent="0.3">
      <c r="A98" s="610">
        <v>25010400</v>
      </c>
      <c r="B98" s="613" t="s">
        <v>103</v>
      </c>
      <c r="C98" s="606">
        <f>'d1'!C98-d1М!C98</f>
        <v>-6000</v>
      </c>
      <c r="D98" s="606">
        <f>'d1'!D98-d1М!D98</f>
        <v>0</v>
      </c>
      <c r="E98" s="606">
        <f>'d1'!E98-d1М!E98</f>
        <v>-6000</v>
      </c>
      <c r="F98" s="606">
        <f>'d1'!F98-d1М!F98</f>
        <v>0</v>
      </c>
      <c r="G98" s="105"/>
    </row>
    <row r="99" spans="1:7" ht="24.75" customHeight="1" thickTop="1" thickBot="1" x14ac:dyDescent="0.25">
      <c r="A99" s="712">
        <v>30000000</v>
      </c>
      <c r="B99" s="712" t="s">
        <v>104</v>
      </c>
      <c r="C99" s="713">
        <f>SUM(D99,E99)</f>
        <v>9500000</v>
      </c>
      <c r="D99" s="713">
        <f>SUM(D100)+D104</f>
        <v>0</v>
      </c>
      <c r="E99" s="713">
        <f>SUM(E100)+E104</f>
        <v>9500000</v>
      </c>
      <c r="F99" s="713">
        <f>SUM(F100)+F104</f>
        <v>9500000</v>
      </c>
      <c r="G99" s="107"/>
    </row>
    <row r="100" spans="1:7" ht="27" customHeight="1" thickTop="1" thickBot="1" x14ac:dyDescent="0.3">
      <c r="A100" s="604">
        <v>31000000</v>
      </c>
      <c r="B100" s="604" t="s">
        <v>105</v>
      </c>
      <c r="C100" s="606">
        <f>'d1'!C100-d1М!C100</f>
        <v>9500000</v>
      </c>
      <c r="D100" s="606">
        <f>'d1'!D100-d1М!D100</f>
        <v>0</v>
      </c>
      <c r="E100" s="606">
        <f>'d1'!E100-d1М!E100</f>
        <v>9500000</v>
      </c>
      <c r="F100" s="606">
        <f>'d1'!F100-d1М!F100</f>
        <v>9500000</v>
      </c>
      <c r="G100" s="105"/>
    </row>
    <row r="101" spans="1:7" ht="82.5" thickTop="1" thickBot="1" x14ac:dyDescent="0.3">
      <c r="A101" s="607">
        <v>3101000</v>
      </c>
      <c r="B101" s="608" t="s">
        <v>538</v>
      </c>
      <c r="C101" s="606">
        <f>'d1'!C101-d1М!C101</f>
        <v>0</v>
      </c>
      <c r="D101" s="606">
        <f>'d1'!D101-d1М!D101</f>
        <v>0</v>
      </c>
      <c r="E101" s="606">
        <f>'d1'!E101-d1М!E101</f>
        <v>0</v>
      </c>
      <c r="F101" s="606">
        <f>'d1'!F101-d1М!F101</f>
        <v>0</v>
      </c>
      <c r="G101" s="105"/>
    </row>
    <row r="102" spans="1:7" ht="78" thickTop="1" thickBot="1" x14ac:dyDescent="0.3">
      <c r="A102" s="610">
        <v>31010200</v>
      </c>
      <c r="B102" s="613" t="s">
        <v>106</v>
      </c>
      <c r="C102" s="606">
        <f>'d1'!C102-d1М!C102</f>
        <v>0</v>
      </c>
      <c r="D102" s="606">
        <f>'d1'!D102-d1М!D102</f>
        <v>0</v>
      </c>
      <c r="E102" s="606">
        <f>'d1'!E102-d1М!E102</f>
        <v>0</v>
      </c>
      <c r="F102" s="606">
        <f>'d1'!F102-d1М!F102</f>
        <v>0</v>
      </c>
      <c r="G102" s="105"/>
    </row>
    <row r="103" spans="1:7" ht="55.5" thickTop="1" thickBot="1" x14ac:dyDescent="0.3">
      <c r="A103" s="607">
        <v>31030000</v>
      </c>
      <c r="B103" s="615" t="s">
        <v>107</v>
      </c>
      <c r="C103" s="606">
        <f>'d1'!C103-d1М!C103</f>
        <v>9500000</v>
      </c>
      <c r="D103" s="606">
        <f>'d1'!D103-d1М!D103</f>
        <v>0</v>
      </c>
      <c r="E103" s="606">
        <f>'d1'!E103-d1М!E103</f>
        <v>9500000</v>
      </c>
      <c r="F103" s="606">
        <f>'d1'!F103-d1М!F103</f>
        <v>9500000</v>
      </c>
      <c r="G103" s="105"/>
    </row>
    <row r="104" spans="1:7" ht="27" thickTop="1" thickBot="1" x14ac:dyDescent="0.3">
      <c r="A104" s="604">
        <v>33000000</v>
      </c>
      <c r="B104" s="604" t="s">
        <v>108</v>
      </c>
      <c r="C104" s="606">
        <f>'d1'!C104-d1М!C104</f>
        <v>0</v>
      </c>
      <c r="D104" s="606">
        <f>'d1'!D104-d1М!D104</f>
        <v>0</v>
      </c>
      <c r="E104" s="606">
        <f>'d1'!E104-d1М!E104</f>
        <v>0</v>
      </c>
      <c r="F104" s="606">
        <f>'d1'!F104-d1М!F104</f>
        <v>0</v>
      </c>
      <c r="G104" s="105"/>
    </row>
    <row r="105" spans="1:7" ht="16.5" thickTop="1" thickBot="1" x14ac:dyDescent="0.3">
      <c r="A105" s="607">
        <v>33010000</v>
      </c>
      <c r="B105" s="608" t="s">
        <v>109</v>
      </c>
      <c r="C105" s="606">
        <f>'d1'!C105-d1М!C105</f>
        <v>0</v>
      </c>
      <c r="D105" s="606">
        <f>'d1'!D105-d1М!D105</f>
        <v>0</v>
      </c>
      <c r="E105" s="606">
        <f>'d1'!E105-d1М!E105</f>
        <v>0</v>
      </c>
      <c r="F105" s="606">
        <f>'d1'!F105-d1М!F105</f>
        <v>0</v>
      </c>
      <c r="G105" s="105"/>
    </row>
    <row r="106" spans="1:7" ht="52.5" thickTop="1" thickBot="1" x14ac:dyDescent="0.3">
      <c r="A106" s="610">
        <v>33010100</v>
      </c>
      <c r="B106" s="613" t="s">
        <v>343</v>
      </c>
      <c r="C106" s="606">
        <f>'d1'!C106-d1М!C106</f>
        <v>0</v>
      </c>
      <c r="D106" s="606">
        <f>'d1'!D106-d1М!D106</f>
        <v>0</v>
      </c>
      <c r="E106" s="606">
        <f>'d1'!E106-d1М!E106</f>
        <v>0</v>
      </c>
      <c r="F106" s="606">
        <f>'d1'!F106-d1М!F106</f>
        <v>0</v>
      </c>
      <c r="G106" s="105"/>
    </row>
    <row r="107" spans="1:7" ht="52.5" thickTop="1" thickBot="1" x14ac:dyDescent="0.3">
      <c r="A107" s="610">
        <v>33010200</v>
      </c>
      <c r="B107" s="613" t="s">
        <v>110</v>
      </c>
      <c r="C107" s="606">
        <f>'d1'!C107-d1М!C107</f>
        <v>0</v>
      </c>
      <c r="D107" s="606">
        <f>'d1'!D107-d1М!D107</f>
        <v>0</v>
      </c>
      <c r="E107" s="606">
        <f>'d1'!E107-d1М!E107</f>
        <v>0</v>
      </c>
      <c r="F107" s="606">
        <f>'d1'!F107-d1М!F107</f>
        <v>0</v>
      </c>
      <c r="G107" s="105"/>
    </row>
    <row r="108" spans="1:7" ht="65.25" hidden="1" thickTop="1" thickBot="1" x14ac:dyDescent="0.3">
      <c r="A108" s="373">
        <v>33010500</v>
      </c>
      <c r="B108" s="376" t="s">
        <v>1401</v>
      </c>
      <c r="C108" s="371">
        <f>SUM(D108,E108)</f>
        <v>0</v>
      </c>
      <c r="D108" s="375"/>
      <c r="E108" s="375">
        <v>0</v>
      </c>
      <c r="F108" s="375">
        <v>0</v>
      </c>
      <c r="G108" s="105"/>
    </row>
    <row r="109" spans="1:7" ht="27" customHeight="1" thickTop="1" thickBot="1" x14ac:dyDescent="0.3">
      <c r="A109" s="712">
        <v>50000000</v>
      </c>
      <c r="B109" s="712" t="s">
        <v>487</v>
      </c>
      <c r="C109" s="713">
        <f>SUM(D109,E109)</f>
        <v>0</v>
      </c>
      <c r="D109" s="713">
        <f>SUM(D110)</f>
        <v>0</v>
      </c>
      <c r="E109" s="713">
        <f>SUM(E110)</f>
        <v>0</v>
      </c>
      <c r="F109" s="713">
        <f>SUM(F110)</f>
        <v>0</v>
      </c>
      <c r="G109" s="105"/>
    </row>
    <row r="110" spans="1:7" ht="52.5" thickTop="1" thickBot="1" x14ac:dyDescent="0.3">
      <c r="A110" s="604">
        <v>50110000</v>
      </c>
      <c r="B110" s="618" t="s">
        <v>111</v>
      </c>
      <c r="C110" s="606">
        <f>'d1'!C110-d1М!C110</f>
        <v>0</v>
      </c>
      <c r="D110" s="606">
        <f>'d1'!D110-d1М!D110</f>
        <v>0</v>
      </c>
      <c r="E110" s="606">
        <f>'d1'!E110-d1М!E110</f>
        <v>0</v>
      </c>
      <c r="F110" s="606">
        <f>'d1'!F110-d1М!F110</f>
        <v>0</v>
      </c>
      <c r="G110" s="105"/>
    </row>
    <row r="111" spans="1:7" ht="45.75" customHeight="1" thickTop="1" thickBot="1" x14ac:dyDescent="0.25">
      <c r="A111" s="624"/>
      <c r="B111" s="625" t="s">
        <v>488</v>
      </c>
      <c r="C111" s="626">
        <f t="shared" ref="C111" si="1">SUM(D111,E111)</f>
        <v>169552665</v>
      </c>
      <c r="D111" s="626">
        <f>D109+D99+D66+D15</f>
        <v>158852665</v>
      </c>
      <c r="E111" s="626">
        <f>E109+E99+E66+E15</f>
        <v>10700000</v>
      </c>
      <c r="F111" s="626">
        <f>F109+F99+F66+F15</f>
        <v>10700000</v>
      </c>
      <c r="G111" s="106"/>
    </row>
    <row r="112" spans="1:7" ht="34.5" customHeight="1" thickTop="1" thickBot="1" x14ac:dyDescent="0.25">
      <c r="A112" s="712">
        <v>40000000</v>
      </c>
      <c r="B112" s="712" t="s">
        <v>427</v>
      </c>
      <c r="C112" s="713">
        <f>SUM(D112,E112)</f>
        <v>8649900</v>
      </c>
      <c r="D112" s="713">
        <f>SUM(D118,D115,D113)</f>
        <v>8649900</v>
      </c>
      <c r="E112" s="713">
        <f>SUM(E118,E115,E113)</f>
        <v>0</v>
      </c>
      <c r="F112" s="713">
        <f>SUM(F118,F115,F113)</f>
        <v>0</v>
      </c>
      <c r="G112" s="106"/>
    </row>
    <row r="113" spans="1:7" ht="34.5" hidden="1" customHeight="1" thickTop="1" thickBot="1" x14ac:dyDescent="0.25">
      <c r="A113" s="370">
        <v>41020000</v>
      </c>
      <c r="B113" s="377" t="s">
        <v>1338</v>
      </c>
      <c r="C113" s="371">
        <f t="shared" ref="C113:C114" si="2">SUM(D113,E113)</f>
        <v>0</v>
      </c>
      <c r="D113" s="371">
        <f>SUM(D114)</f>
        <v>0</v>
      </c>
      <c r="E113" s="371"/>
      <c r="F113" s="371"/>
      <c r="G113" s="106"/>
    </row>
    <row r="114" spans="1:7" ht="103.5" hidden="1" thickTop="1" thickBot="1" x14ac:dyDescent="0.25">
      <c r="A114" s="373">
        <v>41021400</v>
      </c>
      <c r="B114" s="376" t="s">
        <v>1345</v>
      </c>
      <c r="C114" s="371">
        <f t="shared" si="2"/>
        <v>0</v>
      </c>
      <c r="D114" s="375">
        <v>0</v>
      </c>
      <c r="E114" s="371"/>
      <c r="F114" s="371"/>
      <c r="G114" s="106"/>
    </row>
    <row r="115" spans="1:7" ht="27" thickTop="1" thickBot="1" x14ac:dyDescent="0.25">
      <c r="A115" s="604">
        <v>41040000</v>
      </c>
      <c r="B115" s="614" t="s">
        <v>344</v>
      </c>
      <c r="C115" s="606">
        <f>'d1'!C115-d1М!C115</f>
        <v>0</v>
      </c>
      <c r="D115" s="606">
        <f>'d1'!D115-d1М!D115</f>
        <v>0</v>
      </c>
      <c r="E115" s="606">
        <f>'d1'!E115-d1М!E115</f>
        <v>0</v>
      </c>
      <c r="F115" s="606">
        <f>'d1'!F115-d1М!F115</f>
        <v>0</v>
      </c>
      <c r="G115" s="106"/>
    </row>
    <row r="116" spans="1:7" ht="66" customHeight="1" thickTop="1" thickBot="1" x14ac:dyDescent="0.25">
      <c r="A116" s="610">
        <v>41040200</v>
      </c>
      <c r="B116" s="613" t="s">
        <v>1159</v>
      </c>
      <c r="C116" s="606">
        <f>'d1'!C116-d1М!C116</f>
        <v>0</v>
      </c>
      <c r="D116" s="606">
        <f>'d1'!D116-d1М!D116</f>
        <v>0</v>
      </c>
      <c r="E116" s="606">
        <f>'d1'!E116-d1М!E116</f>
        <v>0</v>
      </c>
      <c r="F116" s="606">
        <f>'d1'!F116-d1М!F116</f>
        <v>0</v>
      </c>
      <c r="G116" s="106"/>
    </row>
    <row r="117" spans="1:7" ht="15.75" thickTop="1" thickBot="1" x14ac:dyDescent="0.25">
      <c r="A117" s="610">
        <v>41040400</v>
      </c>
      <c r="B117" s="613" t="s">
        <v>1217</v>
      </c>
      <c r="C117" s="606">
        <f>'d1'!C117-d1М!C117</f>
        <v>0</v>
      </c>
      <c r="D117" s="606">
        <f>'d1'!D117-d1М!D117</f>
        <v>0</v>
      </c>
      <c r="E117" s="606">
        <f>'d1'!E117-d1М!E117</f>
        <v>0</v>
      </c>
      <c r="F117" s="606">
        <f>'d1'!F117-d1М!F117</f>
        <v>0</v>
      </c>
      <c r="G117" s="106"/>
    </row>
    <row r="118" spans="1:7" s="598" customFormat="1" ht="15.75" thickTop="1" thickBot="1" x14ac:dyDescent="0.25">
      <c r="A118" s="604">
        <v>41000000</v>
      </c>
      <c r="B118" s="604" t="s">
        <v>112</v>
      </c>
      <c r="C118" s="606">
        <f>'d1'!C118-d1М!C118</f>
        <v>8649900</v>
      </c>
      <c r="D118" s="606">
        <f>'d1'!D118-d1М!D118</f>
        <v>8649900</v>
      </c>
      <c r="E118" s="606">
        <f>'d1'!E118-d1М!E118</f>
        <v>0</v>
      </c>
      <c r="F118" s="606">
        <f>'d1'!F118-d1М!F118</f>
        <v>0</v>
      </c>
      <c r="G118" s="629"/>
    </row>
    <row r="119" spans="1:7" s="598" customFormat="1" ht="27" thickTop="1" thickBot="1" x14ac:dyDescent="0.3">
      <c r="A119" s="604">
        <v>41030000</v>
      </c>
      <c r="B119" s="623" t="s">
        <v>438</v>
      </c>
      <c r="C119" s="606">
        <f>'d1'!C119-d1М!C119</f>
        <v>8649900</v>
      </c>
      <c r="D119" s="606">
        <f>'d1'!D119-d1М!D119</f>
        <v>8649900</v>
      </c>
      <c r="E119" s="606">
        <f>'d1'!E119-d1М!E119</f>
        <v>0</v>
      </c>
      <c r="F119" s="606">
        <f>'d1'!F119-d1М!F119</f>
        <v>0</v>
      </c>
      <c r="G119" s="605"/>
    </row>
    <row r="120" spans="1:7" ht="52.5" hidden="1" thickTop="1" thickBot="1" x14ac:dyDescent="0.3">
      <c r="A120" s="373">
        <v>41032300</v>
      </c>
      <c r="B120" s="374" t="s">
        <v>982</v>
      </c>
      <c r="C120" s="606">
        <f>'d1'!C120-d1М!C120</f>
        <v>0</v>
      </c>
      <c r="D120" s="606">
        <f>'d1'!D120-d1М!D120</f>
        <v>0</v>
      </c>
      <c r="E120" s="606">
        <f>'d1'!E120-d1М!E120</f>
        <v>0</v>
      </c>
      <c r="F120" s="606">
        <f>'d1'!F120-d1М!F120</f>
        <v>0</v>
      </c>
      <c r="G120" s="105"/>
    </row>
    <row r="121" spans="1:7" ht="52.5" thickTop="1" thickBot="1" x14ac:dyDescent="0.3">
      <c r="A121" s="714">
        <v>41033800</v>
      </c>
      <c r="B121" s="715" t="s">
        <v>1042</v>
      </c>
      <c r="C121" s="606">
        <f>'d1'!C121-d1М!C121</f>
        <v>8649900</v>
      </c>
      <c r="D121" s="606">
        <f>'d1'!D121-d1М!D121</f>
        <v>8649900</v>
      </c>
      <c r="E121" s="606">
        <f>'d1'!E121-d1М!E121</f>
        <v>0</v>
      </c>
      <c r="F121" s="606">
        <f>'d1'!F121-d1М!F121</f>
        <v>0</v>
      </c>
      <c r="G121" s="105"/>
    </row>
    <row r="122" spans="1:7" ht="27" thickTop="1" thickBot="1" x14ac:dyDescent="0.3">
      <c r="A122" s="610">
        <v>41033900</v>
      </c>
      <c r="B122" s="611" t="s">
        <v>113</v>
      </c>
      <c r="C122" s="606">
        <f>'d1'!C122-d1М!C122</f>
        <v>0</v>
      </c>
      <c r="D122" s="606">
        <f>'d1'!D122-d1М!D122</f>
        <v>0</v>
      </c>
      <c r="E122" s="606">
        <f>'d1'!E122-d1М!E122</f>
        <v>0</v>
      </c>
      <c r="F122" s="606">
        <f>'d1'!F122-d1М!F122</f>
        <v>0</v>
      </c>
      <c r="G122" s="105"/>
    </row>
    <row r="123" spans="1:7" ht="52.5" hidden="1" thickTop="1" thickBot="1" x14ac:dyDescent="0.3">
      <c r="A123" s="373">
        <v>41034500</v>
      </c>
      <c r="B123" s="374" t="s">
        <v>1043</v>
      </c>
      <c r="C123" s="606">
        <f>'d1'!C123-d1М!C123</f>
        <v>0</v>
      </c>
      <c r="D123" s="606">
        <f>'d1'!D123-d1М!D123</f>
        <v>0</v>
      </c>
      <c r="E123" s="606">
        <f>'d1'!E123-d1М!E123</f>
        <v>0</v>
      </c>
      <c r="F123" s="606">
        <f>'d1'!F123-d1М!F123</f>
        <v>0</v>
      </c>
      <c r="G123" s="105"/>
    </row>
    <row r="124" spans="1:7" ht="52.5" hidden="1" thickTop="1" thickBot="1" x14ac:dyDescent="0.3">
      <c r="A124" s="373">
        <v>41035500</v>
      </c>
      <c r="B124" s="374" t="s">
        <v>984</v>
      </c>
      <c r="C124" s="606">
        <f>'d1'!C124-d1М!C124</f>
        <v>0</v>
      </c>
      <c r="D124" s="606">
        <f>'d1'!D124-d1М!D124</f>
        <v>0</v>
      </c>
      <c r="E124" s="606">
        <f>'d1'!E124-d1М!E124</f>
        <v>0</v>
      </c>
      <c r="F124" s="606">
        <f>'d1'!F124-d1М!F124</f>
        <v>0</v>
      </c>
      <c r="G124" s="105"/>
    </row>
    <row r="125" spans="1:7" ht="65.25" hidden="1" thickTop="1" thickBot="1" x14ac:dyDescent="0.3">
      <c r="A125" s="373">
        <v>41035600</v>
      </c>
      <c r="B125" s="374" t="s">
        <v>1008</v>
      </c>
      <c r="C125" s="606">
        <f>'d1'!C125-d1М!C125</f>
        <v>0</v>
      </c>
      <c r="D125" s="606">
        <f>'d1'!D125-d1М!D125</f>
        <v>0</v>
      </c>
      <c r="E125" s="606">
        <f>'d1'!E125-d1М!E125</f>
        <v>0</v>
      </c>
      <c r="F125" s="606">
        <f>'d1'!F125-d1М!F125</f>
        <v>0</v>
      </c>
      <c r="G125" s="105"/>
    </row>
    <row r="126" spans="1:7" ht="39.75" hidden="1" thickTop="1" thickBot="1" x14ac:dyDescent="0.3">
      <c r="A126" s="373">
        <v>41035700</v>
      </c>
      <c r="B126" s="374" t="s">
        <v>974</v>
      </c>
      <c r="C126" s="606">
        <f>'d1'!C126-d1М!C126</f>
        <v>0</v>
      </c>
      <c r="D126" s="606">
        <f>'d1'!D126-d1М!D126</f>
        <v>0</v>
      </c>
      <c r="E126" s="606">
        <f>'d1'!E126-d1М!E126</f>
        <v>0</v>
      </c>
      <c r="F126" s="606">
        <f>'d1'!F126-d1М!F126</f>
        <v>0</v>
      </c>
      <c r="G126" s="105"/>
    </row>
    <row r="127" spans="1:7" ht="27" thickTop="1" thickBot="1" x14ac:dyDescent="0.3">
      <c r="A127" s="604">
        <v>41050000</v>
      </c>
      <c r="B127" s="623" t="s">
        <v>473</v>
      </c>
      <c r="C127" s="606">
        <f>'d1'!C127-d1М!C127</f>
        <v>0</v>
      </c>
      <c r="D127" s="606">
        <f>'d1'!D127-d1М!D127</f>
        <v>0</v>
      </c>
      <c r="E127" s="606">
        <f>'d1'!E127-d1М!E127</f>
        <v>0</v>
      </c>
      <c r="F127" s="606">
        <f>'d1'!F127-d1М!F127</f>
        <v>0</v>
      </c>
      <c r="G127" s="105"/>
    </row>
    <row r="128" spans="1:7" ht="307.5" hidden="1" thickTop="1" thickBot="1" x14ac:dyDescent="0.3">
      <c r="A128" s="373">
        <v>41050400</v>
      </c>
      <c r="B128" s="374" t="s">
        <v>1424</v>
      </c>
      <c r="C128" s="606">
        <f>'d1'!C128-d1М!C128</f>
        <v>0</v>
      </c>
      <c r="D128" s="606">
        <f>'d1'!D128-d1М!D128</f>
        <v>0</v>
      </c>
      <c r="E128" s="606">
        <f>'d1'!E128-d1М!E128</f>
        <v>0</v>
      </c>
      <c r="F128" s="606">
        <f>'d1'!F128-d1М!F128</f>
        <v>0</v>
      </c>
      <c r="G128" s="105"/>
    </row>
    <row r="129" spans="1:7" ht="218.25" hidden="1" thickTop="1" thickBot="1" x14ac:dyDescent="0.3">
      <c r="A129" s="373">
        <v>41050500</v>
      </c>
      <c r="B129" s="374" t="s">
        <v>1044</v>
      </c>
      <c r="C129" s="606">
        <f>'d1'!C129-d1М!C129</f>
        <v>0</v>
      </c>
      <c r="D129" s="606">
        <f>'d1'!D129-d1М!D129</f>
        <v>0</v>
      </c>
      <c r="E129" s="606">
        <f>'d1'!E129-d1М!E129</f>
        <v>0</v>
      </c>
      <c r="F129" s="606">
        <f>'d1'!F129-d1М!F129</f>
        <v>0</v>
      </c>
      <c r="G129" s="105"/>
    </row>
    <row r="130" spans="1:7" ht="320.25" hidden="1" thickTop="1" thickBot="1" x14ac:dyDescent="0.3">
      <c r="A130" s="373">
        <v>41050600</v>
      </c>
      <c r="B130" s="374" t="s">
        <v>1425</v>
      </c>
      <c r="C130" s="606">
        <f>'d1'!C130-d1М!C130</f>
        <v>0</v>
      </c>
      <c r="D130" s="606">
        <f>'d1'!D130-d1М!D130</f>
        <v>0</v>
      </c>
      <c r="E130" s="606">
        <f>'d1'!E130-d1М!E130</f>
        <v>0</v>
      </c>
      <c r="F130" s="606">
        <f>'d1'!F130-d1М!F130</f>
        <v>0</v>
      </c>
      <c r="G130" s="105"/>
    </row>
    <row r="131" spans="1:7" ht="116.25" hidden="1" thickTop="1" thickBot="1" x14ac:dyDescent="0.3">
      <c r="A131" s="379">
        <v>41050900</v>
      </c>
      <c r="B131" s="380" t="s">
        <v>1045</v>
      </c>
      <c r="C131" s="606">
        <f>'d1'!C131-d1М!C131</f>
        <v>0</v>
      </c>
      <c r="D131" s="606">
        <f>'d1'!D131-d1М!D131</f>
        <v>0</v>
      </c>
      <c r="E131" s="606">
        <f>'d1'!E131-d1М!E131</f>
        <v>0</v>
      </c>
      <c r="F131" s="606">
        <f>'d1'!F131-d1М!F131</f>
        <v>0</v>
      </c>
      <c r="G131" s="105"/>
    </row>
    <row r="132" spans="1:7" ht="39.75" thickTop="1" thickBot="1" x14ac:dyDescent="0.3">
      <c r="A132" s="610">
        <v>41051000</v>
      </c>
      <c r="B132" s="611" t="s">
        <v>474</v>
      </c>
      <c r="C132" s="606">
        <f>'d1'!C132-d1М!C132</f>
        <v>0</v>
      </c>
      <c r="D132" s="606">
        <f>'d1'!D132-d1М!D132</f>
        <v>0</v>
      </c>
      <c r="E132" s="606">
        <f>'d1'!E132-d1М!E132</f>
        <v>0</v>
      </c>
      <c r="F132" s="606">
        <f>'d1'!F132-d1М!F132</f>
        <v>0</v>
      </c>
      <c r="G132" s="105"/>
    </row>
    <row r="133" spans="1:7" ht="39.75" thickTop="1" thickBot="1" x14ac:dyDescent="0.3">
      <c r="A133" s="610">
        <v>41051100</v>
      </c>
      <c r="B133" s="611" t="s">
        <v>1591</v>
      </c>
      <c r="C133" s="606">
        <f>'d1'!C133-d1М!C133</f>
        <v>0</v>
      </c>
      <c r="D133" s="606">
        <f>'d1'!D133-d1М!D133</f>
        <v>0</v>
      </c>
      <c r="E133" s="606">
        <f>'d1'!E133-d1М!E133</f>
        <v>0</v>
      </c>
      <c r="F133" s="606">
        <f>'d1'!F133-d1М!F133</f>
        <v>0</v>
      </c>
      <c r="G133" s="105"/>
    </row>
    <row r="134" spans="1:7" ht="52.5" thickTop="1" thickBot="1" x14ac:dyDescent="0.3">
      <c r="A134" s="610">
        <v>41051200</v>
      </c>
      <c r="B134" s="611" t="s">
        <v>1291</v>
      </c>
      <c r="C134" s="606">
        <f>'d1'!C134-d1М!C134</f>
        <v>0</v>
      </c>
      <c r="D134" s="606">
        <f>'d1'!D134-d1М!D134</f>
        <v>0</v>
      </c>
      <c r="E134" s="606">
        <f>'d1'!E134-d1М!E134</f>
        <v>0</v>
      </c>
      <c r="F134" s="606">
        <f>'d1'!F134-d1М!F134</f>
        <v>0</v>
      </c>
      <c r="G134" s="105"/>
    </row>
    <row r="135" spans="1:7" ht="65.25" hidden="1" thickTop="1" thickBot="1" x14ac:dyDescent="0.3">
      <c r="A135" s="379">
        <v>41051400</v>
      </c>
      <c r="B135" s="380" t="s">
        <v>987</v>
      </c>
      <c r="C135" s="606">
        <f>'d1'!C135-d1М!C135</f>
        <v>0</v>
      </c>
      <c r="D135" s="606">
        <f>'d1'!D135-d1М!D135</f>
        <v>0</v>
      </c>
      <c r="E135" s="606">
        <f>'d1'!E135-d1М!E135</f>
        <v>0</v>
      </c>
      <c r="F135" s="606">
        <f>'d1'!F135-d1М!F135</f>
        <v>0</v>
      </c>
      <c r="G135" s="105"/>
    </row>
    <row r="136" spans="1:7" ht="65.25" thickTop="1" thickBot="1" x14ac:dyDescent="0.3">
      <c r="A136" s="610">
        <v>41051700</v>
      </c>
      <c r="B136" s="611" t="s">
        <v>945</v>
      </c>
      <c r="C136" s="606">
        <f>'d1'!C136-d1М!C136</f>
        <v>0</v>
      </c>
      <c r="D136" s="606">
        <f>'d1'!D136-d1М!D136</f>
        <v>0</v>
      </c>
      <c r="E136" s="606">
        <f>'d1'!E136-d1М!E136</f>
        <v>0</v>
      </c>
      <c r="F136" s="606">
        <f>'d1'!F136-d1М!F136</f>
        <v>0</v>
      </c>
      <c r="G136" s="105"/>
    </row>
    <row r="137" spans="1:7" ht="90.75" hidden="1" thickTop="1" thickBot="1" x14ac:dyDescent="0.3">
      <c r="A137" s="379">
        <v>41056600</v>
      </c>
      <c r="B137" s="380" t="s">
        <v>1027</v>
      </c>
      <c r="C137" s="606">
        <f>'d1'!C137-d1М!C137</f>
        <v>0</v>
      </c>
      <c r="D137" s="606">
        <f>'d1'!D137-d1М!D137</f>
        <v>0</v>
      </c>
      <c r="E137" s="606">
        <f>'d1'!E137-d1М!E137</f>
        <v>0</v>
      </c>
      <c r="F137" s="606">
        <f>'d1'!F137-d1М!F137</f>
        <v>0</v>
      </c>
      <c r="G137" s="105"/>
    </row>
    <row r="138" spans="1:7" ht="52.5" hidden="1" thickTop="1" thickBot="1" x14ac:dyDescent="0.25">
      <c r="A138" s="379">
        <v>41055000</v>
      </c>
      <c r="B138" s="380" t="s">
        <v>1046</v>
      </c>
      <c r="C138" s="606">
        <f>'d1'!C138-d1М!C138</f>
        <v>0</v>
      </c>
      <c r="D138" s="606">
        <f>'d1'!D138-d1М!D138</f>
        <v>0</v>
      </c>
      <c r="E138" s="606">
        <f>'d1'!E138-d1М!E138</f>
        <v>0</v>
      </c>
      <c r="F138" s="606">
        <f>'d1'!F138-d1М!F138</f>
        <v>0</v>
      </c>
      <c r="G138" s="106"/>
    </row>
    <row r="139" spans="1:7" ht="27" hidden="1" thickTop="1" thickBot="1" x14ac:dyDescent="0.25">
      <c r="A139" s="379">
        <v>41053600</v>
      </c>
      <c r="B139" s="380" t="s">
        <v>947</v>
      </c>
      <c r="C139" s="606">
        <f>'d1'!C139-d1М!C139</f>
        <v>0</v>
      </c>
      <c r="D139" s="606">
        <f>'d1'!D139-d1М!D139</f>
        <v>0</v>
      </c>
      <c r="E139" s="606">
        <f>'d1'!E139-d1М!E139</f>
        <v>0</v>
      </c>
      <c r="F139" s="606">
        <f>'d1'!F139-d1М!F139</f>
        <v>0</v>
      </c>
      <c r="G139" s="106"/>
    </row>
    <row r="140" spans="1:7" ht="205.5" hidden="1" thickTop="1" thickBot="1" x14ac:dyDescent="0.25">
      <c r="A140" s="379">
        <v>41054200</v>
      </c>
      <c r="B140" s="380" t="s">
        <v>1047</v>
      </c>
      <c r="C140" s="606">
        <f>'d1'!C140-d1М!C140</f>
        <v>0</v>
      </c>
      <c r="D140" s="606">
        <f>'d1'!D140-d1М!D140</f>
        <v>0</v>
      </c>
      <c r="E140" s="606">
        <f>'d1'!E140-d1М!E140</f>
        <v>0</v>
      </c>
      <c r="F140" s="606">
        <f>'d1'!F140-d1М!F140</f>
        <v>0</v>
      </c>
      <c r="G140" s="106"/>
    </row>
    <row r="141" spans="1:7" ht="27" thickTop="1" thickBot="1" x14ac:dyDescent="0.25">
      <c r="A141" s="610">
        <v>41053900</v>
      </c>
      <c r="B141" s="611" t="s">
        <v>901</v>
      </c>
      <c r="C141" s="606">
        <f>'d1'!C141-d1М!C141</f>
        <v>0</v>
      </c>
      <c r="D141" s="606">
        <f>'d1'!D141-d1М!D141</f>
        <v>0</v>
      </c>
      <c r="E141" s="606">
        <f>'d1'!E141-d1М!E141</f>
        <v>0</v>
      </c>
      <c r="F141" s="606">
        <f>'d1'!F141-d1М!F141</f>
        <v>0</v>
      </c>
      <c r="G141" s="106"/>
    </row>
    <row r="142" spans="1:7" ht="15.75" hidden="1" thickTop="1" thickBot="1" x14ac:dyDescent="0.25">
      <c r="A142" s="610"/>
      <c r="B142" s="627" t="s">
        <v>948</v>
      </c>
      <c r="C142" s="606">
        <f>'d1'!C142-d1М!C142</f>
        <v>0</v>
      </c>
      <c r="D142" s="606">
        <f>'d1'!D142-d1М!D142</f>
        <v>0</v>
      </c>
      <c r="E142" s="606">
        <f>'d1'!E142-d1М!E142</f>
        <v>0</v>
      </c>
      <c r="F142" s="606">
        <f>'d1'!F142-d1М!F142</f>
        <v>0</v>
      </c>
      <c r="G142" s="106"/>
    </row>
    <row r="143" spans="1:7" ht="39.75" thickTop="1" thickBot="1" x14ac:dyDescent="0.25">
      <c r="A143" s="610"/>
      <c r="B143" s="627" t="s">
        <v>902</v>
      </c>
      <c r="C143" s="606">
        <f>'d1'!C143-d1М!C143</f>
        <v>0</v>
      </c>
      <c r="D143" s="606">
        <f>'d1'!D143-d1М!D143</f>
        <v>0</v>
      </c>
      <c r="E143" s="606">
        <f>'d1'!E143-d1М!E143</f>
        <v>0</v>
      </c>
      <c r="F143" s="606">
        <f>'d1'!F143-d1М!F143</f>
        <v>0</v>
      </c>
      <c r="G143" s="106"/>
    </row>
    <row r="144" spans="1:7" ht="52.5" thickTop="1" thickBot="1" x14ac:dyDescent="0.25">
      <c r="A144" s="610"/>
      <c r="B144" s="627" t="s">
        <v>903</v>
      </c>
      <c r="C144" s="606">
        <f>'d1'!C144-d1М!C144</f>
        <v>0</v>
      </c>
      <c r="D144" s="606">
        <f>'d1'!D144-d1М!D144</f>
        <v>0</v>
      </c>
      <c r="E144" s="606">
        <f>'d1'!E144-d1М!E144</f>
        <v>0</v>
      </c>
      <c r="F144" s="606">
        <f>'d1'!F144-d1М!F144</f>
        <v>0</v>
      </c>
      <c r="G144" s="106"/>
    </row>
    <row r="145" spans="1:10" ht="27" thickTop="1" thickBot="1" x14ac:dyDescent="0.25">
      <c r="A145" s="610"/>
      <c r="B145" s="627" t="s">
        <v>904</v>
      </c>
      <c r="C145" s="606">
        <f>'d1'!C145-d1М!C145</f>
        <v>0</v>
      </c>
      <c r="D145" s="606">
        <f>'d1'!D145-d1М!D145</f>
        <v>0</v>
      </c>
      <c r="E145" s="606">
        <f>'d1'!E145-d1М!E145</f>
        <v>0</v>
      </c>
      <c r="F145" s="606">
        <f>'d1'!F145-d1М!F145</f>
        <v>0</v>
      </c>
      <c r="G145" s="106"/>
    </row>
    <row r="146" spans="1:10" ht="39.75" hidden="1" thickTop="1" thickBot="1" x14ac:dyDescent="0.25">
      <c r="A146" s="379"/>
      <c r="B146" s="383" t="s">
        <v>1085</v>
      </c>
      <c r="C146" s="606">
        <f>'d1'!C146-d1М!C146</f>
        <v>0</v>
      </c>
      <c r="D146" s="606">
        <f>'d1'!D146-d1М!D146</f>
        <v>0</v>
      </c>
      <c r="E146" s="606">
        <f>'d1'!E146-d1М!E146</f>
        <v>0</v>
      </c>
      <c r="F146" s="606">
        <f>'d1'!F146-d1М!F146</f>
        <v>0</v>
      </c>
      <c r="G146" s="106"/>
    </row>
    <row r="147" spans="1:10" ht="27" hidden="1" thickTop="1" thickBot="1" x14ac:dyDescent="0.25">
      <c r="A147" s="379"/>
      <c r="B147" s="383" t="s">
        <v>1086</v>
      </c>
      <c r="C147" s="606">
        <f>'d1'!C147-d1М!C147</f>
        <v>0</v>
      </c>
      <c r="D147" s="606">
        <f>'d1'!D147-d1М!D147</f>
        <v>0</v>
      </c>
      <c r="E147" s="606">
        <f>'d1'!E147-d1М!E147</f>
        <v>0</v>
      </c>
      <c r="F147" s="606">
        <f>'d1'!F147-d1М!F147</f>
        <v>0</v>
      </c>
      <c r="G147" s="106"/>
    </row>
    <row r="148" spans="1:10" ht="65.25" thickTop="1" thickBot="1" x14ac:dyDescent="0.25">
      <c r="A148" s="610">
        <v>41057700</v>
      </c>
      <c r="B148" s="611" t="s">
        <v>1377</v>
      </c>
      <c r="C148" s="606">
        <f>'d1'!C148-d1М!C148</f>
        <v>0</v>
      </c>
      <c r="D148" s="606">
        <f>'d1'!D148-d1М!D148</f>
        <v>0</v>
      </c>
      <c r="E148" s="606">
        <f>'d1'!E148-d1М!E148</f>
        <v>0</v>
      </c>
      <c r="F148" s="606">
        <f>'d1'!F148-d1М!F148</f>
        <v>0</v>
      </c>
      <c r="G148" s="106"/>
    </row>
    <row r="149" spans="1:10" ht="52.5" hidden="1" thickTop="1" thickBot="1" x14ac:dyDescent="0.25">
      <c r="A149" s="373">
        <v>41059000</v>
      </c>
      <c r="B149" s="374" t="s">
        <v>1402</v>
      </c>
      <c r="C149" s="371">
        <f>SUM(D149,E149)</f>
        <v>0</v>
      </c>
      <c r="D149" s="375">
        <v>0</v>
      </c>
      <c r="E149" s="375"/>
      <c r="F149" s="375"/>
      <c r="G149" s="106"/>
    </row>
    <row r="150" spans="1:10" ht="33.75" customHeight="1" thickTop="1" thickBot="1" x14ac:dyDescent="0.3">
      <c r="A150" s="624"/>
      <c r="B150" s="625" t="s">
        <v>1038</v>
      </c>
      <c r="C150" s="626">
        <f>SUM(D150,E150)</f>
        <v>178202565</v>
      </c>
      <c r="D150" s="626">
        <f>SUM(D111,D112)</f>
        <v>167502565</v>
      </c>
      <c r="E150" s="626">
        <f>SUM(E111,E112)</f>
        <v>10700000</v>
      </c>
      <c r="F150" s="626">
        <f>SUM(F111,F112)</f>
        <v>10700000</v>
      </c>
      <c r="G150" s="719" t="b">
        <f>C150=C145+C144+C143+C122+C116+C110+C103+C102+C98+C97+C96+C95+C92+C91+C90+C89+C86+C85+C83+C81+C80+C79+C74+C73+C72+C70+C69+C65+C64+C63+C60+C59+C58+C56+C55+C51+C50+C49+C48+C47+C46+C45+C44+C43+C42+C38+C36+C33+C31+C29+C25+C21+C20+C19+C18+C107+C106+C39+C53+C134+C132+C114+C148+C117+C149+C108+C130+C128+C129+C136+C87+C28+C23+C22+C76+C75+C133+C121</f>
        <v>1</v>
      </c>
      <c r="H150" s="719" t="b">
        <f>D150=D145+D144+D143+D122+D116+D110+D103+D102+D98+D97+D96+D95+D92+D91+D90+D89+D86+D85+D83+D81+D80+D79+D74+D73+D72+D70+D69+D65+D64+D63+D60+D59+D58+D56+D55+D51+D50+D49+D48+D47+D46+D45+D44+D43+D42+D38+D36+D33+D31+D29+D25+D21+D20+D19+D18+D107+D106+D39+D53+D134+D132+D114+D148+D117+D149+D108+D130+D128+D129+D136+D87+D28+D23+D22+D76+D75+D133+D121</f>
        <v>1</v>
      </c>
      <c r="I150" s="719" t="b">
        <f>E150=E145+E144+E143+E122+E116+E110+E103+E102+E98+E97+E96+E95+E92+E91+E90+E89+E86+E85+E83+E81+E80+E79+E74+E73+E72+E70+E69+E65+E64+E63+E60+E59+E58+E56+E55+E51+E50+E49+E48+E47+E46+E45+E44+E43+E42+E38+E36+E33+E31+E29+E25+E21+E20+E19+E18+E107+E106+E39+E53+E134+E132+E114+E148+E117+E149+E108+E130+E128+E129+E136+E87+E28+E23+E22+E76+E75+E133+E121</f>
        <v>1</v>
      </c>
      <c r="J150" s="719" t="b">
        <f>F150=F145+F144+F143+F122+F116+F110+F103+F102+F98+F97+F96+F95+F92+F91+F90+F89+F86+F85+F83+F81+F80+F79+F74+F73+F72+F70+F69+F65+F64+F63+F60+F59+F58+F56+F55+F51+F50+F49+F48+F47+F46+F45+F44+F43+F42+F38+F36+F33+F31+F29+F25+F21+F20+F19+F18+F107+F106+F39+F53+F134+F132+F114+F148+F117+F149+F108+F130+F128+F129+F136+F87+F28+F23+F22+F76+F75+F133+F121</f>
        <v>1</v>
      </c>
    </row>
    <row r="151" spans="1:10" ht="16.5" thickTop="1" x14ac:dyDescent="0.25">
      <c r="B151" s="112"/>
      <c r="G151" s="719" t="b">
        <f>(((4196633892-'d2'!C37-'d2'!C22)+129600000)+1158900+4436136.01+7672111)+178202565=C150</f>
        <v>0</v>
      </c>
    </row>
    <row r="152" spans="1:10" ht="15.75" x14ac:dyDescent="0.2">
      <c r="B152" s="365" t="s">
        <v>1480</v>
      </c>
      <c r="C152"/>
      <c r="D152"/>
      <c r="E152" s="366" t="s">
        <v>1481</v>
      </c>
      <c r="F152" s="114"/>
    </row>
    <row r="153" spans="1:10" ht="15.75" hidden="1" x14ac:dyDescent="0.2">
      <c r="B153" s="365" t="s">
        <v>1445</v>
      </c>
      <c r="C153"/>
      <c r="D153"/>
      <c r="E153" s="366" t="s">
        <v>1446</v>
      </c>
      <c r="F153" s="114"/>
    </row>
    <row r="154" spans="1:10" ht="15.75" x14ac:dyDescent="0.25">
      <c r="B154" s="1"/>
      <c r="C154" s="598"/>
      <c r="D154" s="598"/>
      <c r="E154" s="1"/>
    </row>
    <row r="155" spans="1:10" ht="15.75" x14ac:dyDescent="0.25">
      <c r="A155" s="115"/>
      <c r="B155" s="472" t="s">
        <v>523</v>
      </c>
      <c r="C155" s="1"/>
      <c r="D155" s="1"/>
      <c r="E155" s="1" t="s">
        <v>1346</v>
      </c>
      <c r="F155" s="115"/>
    </row>
    <row r="158" spans="1:10" x14ac:dyDescent="0.2">
      <c r="C158" s="113"/>
      <c r="D158" s="113"/>
      <c r="E158" s="113"/>
      <c r="F158" s="113"/>
    </row>
  </sheetData>
  <mergeCells count="13">
    <mergeCell ref="A6:F6"/>
    <mergeCell ref="D1:G1"/>
    <mergeCell ref="D2:G2"/>
    <mergeCell ref="D3:G3"/>
    <mergeCell ref="A4:E4"/>
    <mergeCell ref="A5:F5"/>
    <mergeCell ref="A8:F8"/>
    <mergeCell ref="A9:F9"/>
    <mergeCell ref="A12:A13"/>
    <mergeCell ref="B12:B13"/>
    <mergeCell ref="C12:C13"/>
    <mergeCell ref="D12:D13"/>
    <mergeCell ref="E12:F12"/>
  </mergeCells>
  <hyperlinks>
    <hyperlink ref="B100" location="_ftn1" display="_ftn1"/>
    <hyperlink ref="B99" location="_ftn1" display="_ftn1"/>
    <hyperlink ref="B86" location="_ftn1" display="_ftn1"/>
    <hyperlink ref="B20" location="_ftn1" display="_ftn1"/>
    <hyperlink ref="B19" location="_ftn1" display="_ftn1"/>
    <hyperlink ref="B64" location="_ftn1" display="_ftn1"/>
    <hyperlink ref="B104" location="_ftn1" display="_ftn1"/>
    <hyperlink ref="B105" location="_ftn1" display="_ftn1"/>
    <hyperlink ref="B72" location="_ftn1" display="_ftn1"/>
  </hyperlinks>
  <printOptions horizontalCentered="1"/>
  <pageMargins left="0.35433070866141736" right="0.15748031496062992" top="0.59055118110236227" bottom="0.51181102362204722" header="0.51181102362204722" footer="0.51181102362204722"/>
  <pageSetup paperSize="9" scale="87" fitToHeight="0" orientation="portrait" verticalDpi="4294967295" r:id="rId1"/>
  <headerFooter alignWithMargins="0"/>
  <rowBreaks count="1" manualBreakCount="1">
    <brk id="106" max="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99"/>
  </sheetPr>
  <dimension ref="A1:T451"/>
  <sheetViews>
    <sheetView view="pageBreakPreview" zoomScale="30" zoomScaleNormal="25" zoomScaleSheetLayoutView="30" zoomScalePageLayoutView="10" workbookViewId="0">
      <pane ySplit="14" topLeftCell="A362" activePane="bottomLeft" state="frozen"/>
      <selection activeCell="A151" sqref="A151:XFD151"/>
      <selection pane="bottomLeft" activeCell="A151" sqref="A151:XFD151"/>
    </sheetView>
  </sheetViews>
  <sheetFormatPr defaultColWidth="9.140625" defaultRowHeight="12.75" x14ac:dyDescent="0.2"/>
  <cols>
    <col min="1" max="1" width="48" style="18" customWidth="1"/>
    <col min="2" max="2" width="52.5703125" style="18" customWidth="1"/>
    <col min="3" max="3" width="65.7109375" style="18" customWidth="1"/>
    <col min="4" max="4" width="256.140625" style="18" customWidth="1"/>
    <col min="5" max="5" width="66.42578125" style="57" customWidth="1"/>
    <col min="6" max="6" width="62.5703125" style="18" customWidth="1"/>
    <col min="7" max="7" width="59.7109375" style="18" customWidth="1"/>
    <col min="8" max="8" width="53.140625" style="18" customWidth="1"/>
    <col min="9" max="9" width="41.85546875" style="18" customWidth="1"/>
    <col min="10" max="10" width="50.5703125" style="57" customWidth="1"/>
    <col min="11" max="11" width="52.5703125" style="57" customWidth="1"/>
    <col min="12" max="12" width="56.140625" style="18" customWidth="1"/>
    <col min="13" max="13" width="54.85546875" style="18" customWidth="1"/>
    <col min="14" max="14" width="51" style="18" customWidth="1"/>
    <col min="15" max="15" width="56.140625" style="18" bestFit="1" customWidth="1"/>
    <col min="16" max="16" width="86.28515625" style="57" customWidth="1"/>
    <col min="17" max="17" width="52.140625" style="81" customWidth="1"/>
    <col min="18" max="18" width="33.85546875" style="20" customWidth="1"/>
    <col min="19" max="19" width="40.140625" style="21" bestFit="1" customWidth="1"/>
    <col min="20" max="20" width="43.5703125" style="21" bestFit="1" customWidth="1"/>
    <col min="21" max="16384" width="9.140625" style="21"/>
  </cols>
  <sheetData>
    <row r="1" spans="1:18" ht="45.75" x14ac:dyDescent="0.2">
      <c r="A1" s="75"/>
      <c r="B1" s="75"/>
      <c r="C1" s="75"/>
      <c r="D1" s="76"/>
      <c r="E1" s="77"/>
      <c r="F1" s="78"/>
      <c r="G1" s="77"/>
      <c r="H1" s="77"/>
      <c r="I1" s="77"/>
      <c r="J1" s="77"/>
      <c r="K1" s="77"/>
      <c r="L1" s="77"/>
      <c r="M1" s="77"/>
      <c r="N1" s="806" t="s">
        <v>493</v>
      </c>
      <c r="O1" s="807"/>
      <c r="P1" s="807"/>
      <c r="Q1" s="807"/>
    </row>
    <row r="2" spans="1:18" ht="45.75" x14ac:dyDescent="0.2">
      <c r="A2" s="76"/>
      <c r="B2" s="76"/>
      <c r="C2" s="76"/>
      <c r="D2" s="76"/>
      <c r="E2" s="77"/>
      <c r="F2" s="78"/>
      <c r="G2" s="77"/>
      <c r="H2" s="77"/>
      <c r="I2" s="77"/>
      <c r="J2" s="77"/>
      <c r="K2" s="77"/>
      <c r="L2" s="77"/>
      <c r="M2" s="77"/>
      <c r="N2" s="806" t="s">
        <v>1583</v>
      </c>
      <c r="O2" s="808"/>
      <c r="P2" s="808"/>
      <c r="Q2" s="808"/>
    </row>
    <row r="3" spans="1:18" ht="40.700000000000003" customHeight="1" x14ac:dyDescent="0.2">
      <c r="A3" s="76"/>
      <c r="B3" s="76"/>
      <c r="C3" s="76"/>
      <c r="D3" s="76"/>
      <c r="E3" s="77"/>
      <c r="F3" s="78"/>
      <c r="G3" s="77"/>
      <c r="H3" s="77"/>
      <c r="I3" s="77"/>
      <c r="J3" s="77"/>
      <c r="K3" s="77"/>
      <c r="L3" s="77"/>
      <c r="M3" s="77"/>
      <c r="N3" s="77"/>
      <c r="O3" s="806"/>
      <c r="P3" s="809"/>
      <c r="Q3" s="80"/>
    </row>
    <row r="4" spans="1:18" ht="45.75" hidden="1" x14ac:dyDescent="0.2">
      <c r="A4" s="76"/>
      <c r="B4" s="76"/>
      <c r="C4" s="76"/>
      <c r="D4" s="76"/>
      <c r="E4" s="77"/>
      <c r="F4" s="78"/>
      <c r="G4" s="77"/>
      <c r="H4" s="77"/>
      <c r="I4" s="77"/>
      <c r="J4" s="77"/>
      <c r="K4" s="77"/>
      <c r="L4" s="77"/>
      <c r="M4" s="77"/>
      <c r="N4" s="77"/>
      <c r="O4" s="76"/>
      <c r="P4" s="78"/>
      <c r="Q4" s="80"/>
    </row>
    <row r="5" spans="1:18" ht="45" x14ac:dyDescent="0.2">
      <c r="A5" s="810" t="s">
        <v>565</v>
      </c>
      <c r="B5" s="810"/>
      <c r="C5" s="810"/>
      <c r="D5" s="810"/>
      <c r="E5" s="810"/>
      <c r="F5" s="810"/>
      <c r="G5" s="810"/>
      <c r="H5" s="810"/>
      <c r="I5" s="810"/>
      <c r="J5" s="810"/>
      <c r="K5" s="810"/>
      <c r="L5" s="810"/>
      <c r="M5" s="810"/>
      <c r="N5" s="810"/>
      <c r="O5" s="810"/>
      <c r="P5" s="810"/>
      <c r="Q5" s="80"/>
    </row>
    <row r="6" spans="1:18" ht="45" x14ac:dyDescent="0.2">
      <c r="A6" s="810" t="s">
        <v>1498</v>
      </c>
      <c r="B6" s="810"/>
      <c r="C6" s="810"/>
      <c r="D6" s="810"/>
      <c r="E6" s="810"/>
      <c r="F6" s="810"/>
      <c r="G6" s="810"/>
      <c r="H6" s="810"/>
      <c r="I6" s="810"/>
      <c r="J6" s="810"/>
      <c r="K6" s="810"/>
      <c r="L6" s="810"/>
      <c r="M6" s="810"/>
      <c r="N6" s="810"/>
      <c r="O6" s="810"/>
      <c r="P6" s="810"/>
      <c r="Q6" s="80"/>
    </row>
    <row r="7" spans="1:18" ht="45" x14ac:dyDescent="0.2">
      <c r="A7" s="77"/>
      <c r="B7" s="77"/>
      <c r="C7" s="77"/>
      <c r="D7" s="77"/>
      <c r="E7" s="77"/>
      <c r="F7" s="77"/>
      <c r="G7" s="77"/>
      <c r="H7" s="77"/>
      <c r="I7" s="77"/>
      <c r="J7" s="77"/>
      <c r="K7" s="77"/>
      <c r="L7" s="77"/>
      <c r="M7" s="77"/>
      <c r="N7" s="77"/>
      <c r="O7" s="77"/>
      <c r="P7" s="77"/>
      <c r="Q7" s="80"/>
    </row>
    <row r="8" spans="1:18" ht="45.75" x14ac:dyDescent="0.65">
      <c r="A8" s="811">
        <v>2256400000</v>
      </c>
      <c r="B8" s="812"/>
      <c r="C8" s="77"/>
      <c r="D8" s="398"/>
      <c r="E8" s="398"/>
      <c r="F8" s="398"/>
      <c r="G8" s="398"/>
      <c r="H8" s="398"/>
      <c r="I8" s="398"/>
      <c r="J8" s="398"/>
      <c r="K8" s="398"/>
      <c r="L8" s="398"/>
      <c r="M8" s="398"/>
      <c r="N8" s="398"/>
      <c r="O8" s="398"/>
      <c r="P8" s="398"/>
      <c r="Q8" s="13"/>
    </row>
    <row r="9" spans="1:18" ht="45.75" x14ac:dyDescent="0.2">
      <c r="A9" s="816" t="s">
        <v>490</v>
      </c>
      <c r="B9" s="817"/>
      <c r="C9" s="77"/>
      <c r="D9" s="398"/>
      <c r="E9" s="398"/>
      <c r="F9" s="398"/>
      <c r="G9" s="398"/>
      <c r="H9" s="398"/>
      <c r="I9" s="398"/>
      <c r="J9" s="398"/>
      <c r="K9" s="398"/>
      <c r="L9" s="398"/>
      <c r="M9" s="398"/>
      <c r="N9" s="398"/>
      <c r="O9" s="398"/>
      <c r="P9" s="398"/>
      <c r="Q9" s="13"/>
    </row>
    <row r="10" spans="1:18" ht="53.45" customHeight="1" thickBot="1" x14ac:dyDescent="0.25">
      <c r="A10" s="77"/>
      <c r="B10" s="77"/>
      <c r="C10" s="77"/>
      <c r="D10" s="398"/>
      <c r="E10" s="398"/>
      <c r="F10" s="399"/>
      <c r="G10" s="398"/>
      <c r="H10" s="398"/>
      <c r="I10" s="398"/>
      <c r="J10" s="398"/>
      <c r="K10" s="398"/>
      <c r="L10" s="398"/>
      <c r="M10" s="398"/>
      <c r="N10" s="398"/>
      <c r="O10" s="398"/>
      <c r="P10" s="316" t="s">
        <v>404</v>
      </c>
      <c r="Q10" s="13"/>
    </row>
    <row r="11" spans="1:18" ht="62.45" customHeight="1" thickTop="1" thickBot="1" x14ac:dyDescent="0.25">
      <c r="A11" s="815" t="s">
        <v>491</v>
      </c>
      <c r="B11" s="815" t="s">
        <v>492</v>
      </c>
      <c r="C11" s="815" t="s">
        <v>390</v>
      </c>
      <c r="D11" s="815" t="s">
        <v>573</v>
      </c>
      <c r="E11" s="813" t="s">
        <v>12</v>
      </c>
      <c r="F11" s="813"/>
      <c r="G11" s="813"/>
      <c r="H11" s="813"/>
      <c r="I11" s="813"/>
      <c r="J11" s="813" t="s">
        <v>52</v>
      </c>
      <c r="K11" s="813"/>
      <c r="L11" s="813"/>
      <c r="M11" s="813"/>
      <c r="N11" s="813"/>
      <c r="O11" s="814"/>
      <c r="P11" s="813" t="s">
        <v>11</v>
      </c>
      <c r="Q11" s="20"/>
    </row>
    <row r="12" spans="1:18" ht="96" customHeight="1" thickTop="1" thickBot="1" x14ac:dyDescent="0.25">
      <c r="A12" s="813"/>
      <c r="B12" s="818"/>
      <c r="C12" s="818"/>
      <c r="D12" s="813"/>
      <c r="E12" s="815" t="s">
        <v>384</v>
      </c>
      <c r="F12" s="815" t="s">
        <v>53</v>
      </c>
      <c r="G12" s="815" t="s">
        <v>13</v>
      </c>
      <c r="H12" s="815"/>
      <c r="I12" s="815" t="s">
        <v>55</v>
      </c>
      <c r="J12" s="815" t="s">
        <v>384</v>
      </c>
      <c r="K12" s="815" t="s">
        <v>385</v>
      </c>
      <c r="L12" s="815" t="s">
        <v>53</v>
      </c>
      <c r="M12" s="815" t="s">
        <v>13</v>
      </c>
      <c r="N12" s="815"/>
      <c r="O12" s="815" t="s">
        <v>55</v>
      </c>
      <c r="P12" s="813"/>
      <c r="Q12" s="20"/>
    </row>
    <row r="13" spans="1:18" ht="328.7" customHeight="1" thickTop="1" thickBot="1" x14ac:dyDescent="0.25">
      <c r="A13" s="818"/>
      <c r="B13" s="818"/>
      <c r="C13" s="818"/>
      <c r="D13" s="818"/>
      <c r="E13" s="815"/>
      <c r="F13" s="815"/>
      <c r="G13" s="317" t="s">
        <v>54</v>
      </c>
      <c r="H13" s="317" t="s">
        <v>15</v>
      </c>
      <c r="I13" s="815"/>
      <c r="J13" s="815"/>
      <c r="K13" s="815"/>
      <c r="L13" s="815"/>
      <c r="M13" s="317" t="s">
        <v>54</v>
      </c>
      <c r="N13" s="317" t="s">
        <v>15</v>
      </c>
      <c r="O13" s="815"/>
      <c r="P13" s="813"/>
      <c r="Q13" s="20"/>
    </row>
    <row r="14" spans="1:18" s="24" customFormat="1" ht="47.25" thickTop="1" thickBot="1" x14ac:dyDescent="0.25">
      <c r="A14" s="311" t="s">
        <v>2</v>
      </c>
      <c r="B14" s="311" t="s">
        <v>3</v>
      </c>
      <c r="C14" s="311" t="s">
        <v>14</v>
      </c>
      <c r="D14" s="311" t="s">
        <v>5</v>
      </c>
      <c r="E14" s="311" t="s">
        <v>392</v>
      </c>
      <c r="F14" s="311" t="s">
        <v>393</v>
      </c>
      <c r="G14" s="311" t="s">
        <v>394</v>
      </c>
      <c r="H14" s="311" t="s">
        <v>395</v>
      </c>
      <c r="I14" s="311" t="s">
        <v>396</v>
      </c>
      <c r="J14" s="311" t="s">
        <v>397</v>
      </c>
      <c r="K14" s="311" t="s">
        <v>398</v>
      </c>
      <c r="L14" s="311" t="s">
        <v>399</v>
      </c>
      <c r="M14" s="311" t="s">
        <v>400</v>
      </c>
      <c r="N14" s="311" t="s">
        <v>401</v>
      </c>
      <c r="O14" s="311" t="s">
        <v>402</v>
      </c>
      <c r="P14" s="311" t="s">
        <v>403</v>
      </c>
      <c r="Q14" s="126"/>
      <c r="R14" s="23"/>
    </row>
    <row r="15" spans="1:18" s="24" customFormat="1" ht="46.5" thickTop="1" thickBot="1" x14ac:dyDescent="0.25">
      <c r="A15" s="478" t="s">
        <v>148</v>
      </c>
      <c r="B15" s="478"/>
      <c r="C15" s="478"/>
      <c r="D15" s="479" t="s">
        <v>150</v>
      </c>
      <c r="E15" s="502">
        <f>E16</f>
        <v>371081899.13999999</v>
      </c>
      <c r="F15" s="480">
        <f t="shared" ref="F15:N15" si="0">F16</f>
        <v>371081899.13999999</v>
      </c>
      <c r="G15" s="480">
        <f t="shared" si="0"/>
        <v>95820900</v>
      </c>
      <c r="H15" s="480">
        <f t="shared" si="0"/>
        <v>6241293</v>
      </c>
      <c r="I15" s="480">
        <f t="shared" si="0"/>
        <v>0</v>
      </c>
      <c r="J15" s="502">
        <f t="shared" si="0"/>
        <v>232553381.86000001</v>
      </c>
      <c r="K15" s="480">
        <f t="shared" si="0"/>
        <v>227337581.86000001</v>
      </c>
      <c r="L15" s="480">
        <f t="shared" si="0"/>
        <v>4350400</v>
      </c>
      <c r="M15" s="480">
        <f t="shared" si="0"/>
        <v>0</v>
      </c>
      <c r="N15" s="480">
        <f t="shared" si="0"/>
        <v>0</v>
      </c>
      <c r="O15" s="502">
        <f>O16</f>
        <v>228202981.86000001</v>
      </c>
      <c r="P15" s="480">
        <f t="shared" ref="P15" si="1">P16</f>
        <v>603635281</v>
      </c>
      <c r="Q15" s="25"/>
      <c r="R15" s="25"/>
    </row>
    <row r="16" spans="1:18" s="24" customFormat="1" ht="91.5" thickTop="1" thickBot="1" x14ac:dyDescent="0.25">
      <c r="A16" s="481" t="s">
        <v>149</v>
      </c>
      <c r="B16" s="481"/>
      <c r="C16" s="481"/>
      <c r="D16" s="482" t="s">
        <v>151</v>
      </c>
      <c r="E16" s="483">
        <f>E17+E22+E33+E39</f>
        <v>371081899.13999999</v>
      </c>
      <c r="F16" s="483">
        <f>F17+F22+F33+F39</f>
        <v>371081899.13999999</v>
      </c>
      <c r="G16" s="483">
        <f>G17+G22+G33+G39</f>
        <v>95820900</v>
      </c>
      <c r="H16" s="483">
        <f>H17+H22+H33+H39</f>
        <v>6241293</v>
      </c>
      <c r="I16" s="483">
        <f>I17+I22+I33+I39</f>
        <v>0</v>
      </c>
      <c r="J16" s="483">
        <f>L16+O16</f>
        <v>232553381.86000001</v>
      </c>
      <c r="K16" s="483">
        <f>K17+K22+K33+K39</f>
        <v>227337581.86000001</v>
      </c>
      <c r="L16" s="483">
        <f>L17+L22+L33+L39</f>
        <v>4350400</v>
      </c>
      <c r="M16" s="483">
        <f>M17+M22+M33+M39</f>
        <v>0</v>
      </c>
      <c r="N16" s="483">
        <f>N17+N22+N33+N39</f>
        <v>0</v>
      </c>
      <c r="O16" s="483">
        <f>O17+O22+O33+O39</f>
        <v>228202981.86000001</v>
      </c>
      <c r="P16" s="483">
        <f>E16+J16</f>
        <v>603635281</v>
      </c>
      <c r="Q16" s="565" t="b">
        <f>P16=P18+P21+P24+P28+P30+P32+P35+P36+P38+P41+P42+P43</f>
        <v>1</v>
      </c>
      <c r="R16" s="26"/>
    </row>
    <row r="17" spans="1:18" s="28" customFormat="1" ht="47.25" thickTop="1" thickBot="1" x14ac:dyDescent="0.25">
      <c r="A17" s="311" t="s">
        <v>683</v>
      </c>
      <c r="B17" s="311" t="s">
        <v>684</v>
      </c>
      <c r="C17" s="311"/>
      <c r="D17" s="311" t="s">
        <v>685</v>
      </c>
      <c r="E17" s="328">
        <f>SUM(E18:E21)</f>
        <v>215825046</v>
      </c>
      <c r="F17" s="328">
        <f>SUM(F18:F21)</f>
        <v>215825046</v>
      </c>
      <c r="G17" s="328">
        <f t="shared" ref="G17:P17" si="2">SUM(G18:G21)</f>
        <v>95820900</v>
      </c>
      <c r="H17" s="328">
        <f t="shared" si="2"/>
        <v>6241293</v>
      </c>
      <c r="I17" s="328">
        <f t="shared" si="2"/>
        <v>0</v>
      </c>
      <c r="J17" s="328">
        <f t="shared" si="2"/>
        <v>435000</v>
      </c>
      <c r="K17" s="328">
        <f t="shared" si="2"/>
        <v>435000</v>
      </c>
      <c r="L17" s="328">
        <f t="shared" si="2"/>
        <v>0</v>
      </c>
      <c r="M17" s="328">
        <f t="shared" si="2"/>
        <v>0</v>
      </c>
      <c r="N17" s="328">
        <f t="shared" si="2"/>
        <v>0</v>
      </c>
      <c r="O17" s="328">
        <f t="shared" si="2"/>
        <v>435000</v>
      </c>
      <c r="P17" s="328">
        <f t="shared" si="2"/>
        <v>216260046</v>
      </c>
      <c r="Q17" s="31"/>
      <c r="R17" s="27"/>
    </row>
    <row r="18" spans="1:18" ht="138.75" thickTop="1" thickBot="1" x14ac:dyDescent="0.25">
      <c r="A18" s="103" t="s">
        <v>232</v>
      </c>
      <c r="B18" s="103" t="s">
        <v>233</v>
      </c>
      <c r="C18" s="103" t="s">
        <v>234</v>
      </c>
      <c r="D18" s="103" t="s">
        <v>231</v>
      </c>
      <c r="E18" s="328">
        <f t="shared" ref="E18:E43" si="3">F18</f>
        <v>130683646</v>
      </c>
      <c r="F18" s="326">
        <v>130683646</v>
      </c>
      <c r="G18" s="326">
        <v>95820900</v>
      </c>
      <c r="H18" s="326">
        <f>3417000+111000+2275293+350000+88000</f>
        <v>6241293</v>
      </c>
      <c r="I18" s="326"/>
      <c r="J18" s="328">
        <f t="shared" ref="J18:J28" si="4">L18+O18</f>
        <v>435000</v>
      </c>
      <c r="K18" s="326">
        <f>(0)+435000</f>
        <v>435000</v>
      </c>
      <c r="L18" s="458"/>
      <c r="M18" s="564"/>
      <c r="N18" s="564"/>
      <c r="O18" s="459">
        <f t="shared" ref="O18:O28" si="5">K18</f>
        <v>435000</v>
      </c>
      <c r="P18" s="328">
        <f>+J18+E18</f>
        <v>131118646</v>
      </c>
      <c r="Q18" s="133"/>
      <c r="R18" s="29"/>
    </row>
    <row r="19" spans="1:18" ht="93" hidden="1" thickTop="1" thickBot="1" x14ac:dyDescent="0.25">
      <c r="A19" s="128" t="s">
        <v>584</v>
      </c>
      <c r="B19" s="128" t="s">
        <v>236</v>
      </c>
      <c r="C19" s="128" t="s">
        <v>234</v>
      </c>
      <c r="D19" s="128" t="s">
        <v>235</v>
      </c>
      <c r="E19" s="127">
        <f t="shared" si="3"/>
        <v>0</v>
      </c>
      <c r="F19" s="129"/>
      <c r="G19" s="129"/>
      <c r="H19" s="129"/>
      <c r="I19" s="129"/>
      <c r="J19" s="127">
        <f t="shared" si="4"/>
        <v>0</v>
      </c>
      <c r="K19" s="129"/>
      <c r="L19" s="130"/>
      <c r="M19" s="131"/>
      <c r="N19" s="131"/>
      <c r="O19" s="132">
        <f t="shared" si="5"/>
        <v>0</v>
      </c>
      <c r="P19" s="127">
        <f>+J19+E19</f>
        <v>0</v>
      </c>
      <c r="Q19" s="133"/>
      <c r="R19" s="29"/>
    </row>
    <row r="20" spans="1:18" ht="93" hidden="1" thickTop="1" thickBot="1" x14ac:dyDescent="0.25">
      <c r="A20" s="128" t="s">
        <v>624</v>
      </c>
      <c r="B20" s="128" t="s">
        <v>362</v>
      </c>
      <c r="C20" s="128" t="s">
        <v>625</v>
      </c>
      <c r="D20" s="128" t="s">
        <v>626</v>
      </c>
      <c r="E20" s="127">
        <f t="shared" si="3"/>
        <v>0</v>
      </c>
      <c r="F20" s="129">
        <v>0</v>
      </c>
      <c r="G20" s="129"/>
      <c r="H20" s="129"/>
      <c r="I20" s="129"/>
      <c r="J20" s="127">
        <f t="shared" si="4"/>
        <v>0</v>
      </c>
      <c r="K20" s="129"/>
      <c r="L20" s="130"/>
      <c r="M20" s="131"/>
      <c r="N20" s="131"/>
      <c r="O20" s="132">
        <f t="shared" si="5"/>
        <v>0</v>
      </c>
      <c r="P20" s="127">
        <f>+J20+E20</f>
        <v>0</v>
      </c>
      <c r="Q20" s="133"/>
      <c r="R20" s="30"/>
    </row>
    <row r="21" spans="1:18" ht="48" thickTop="1" thickBot="1" x14ac:dyDescent="0.25">
      <c r="A21" s="103" t="s">
        <v>247</v>
      </c>
      <c r="B21" s="103" t="s">
        <v>43</v>
      </c>
      <c r="C21" s="103" t="s">
        <v>42</v>
      </c>
      <c r="D21" s="103" t="s">
        <v>248</v>
      </c>
      <c r="E21" s="328">
        <f t="shared" si="3"/>
        <v>85141400</v>
      </c>
      <c r="F21" s="462">
        <f>(105141400+20000000-10000000+32000000-67690000+1000000-2000000+30000000)-23310000</f>
        <v>85141400</v>
      </c>
      <c r="G21" s="462"/>
      <c r="H21" s="462"/>
      <c r="I21" s="462"/>
      <c r="J21" s="328">
        <f t="shared" si="4"/>
        <v>0</v>
      </c>
      <c r="K21" s="462"/>
      <c r="L21" s="462"/>
      <c r="M21" s="462"/>
      <c r="N21" s="462"/>
      <c r="O21" s="459">
        <f t="shared" si="5"/>
        <v>0</v>
      </c>
      <c r="P21" s="328">
        <f>E21+J21</f>
        <v>85141400</v>
      </c>
      <c r="Q21" s="133"/>
      <c r="R21" s="30"/>
    </row>
    <row r="22" spans="1:18" s="28" customFormat="1" ht="47.25" thickTop="1" thickBot="1" x14ac:dyDescent="0.3">
      <c r="A22" s="311" t="s">
        <v>747</v>
      </c>
      <c r="B22" s="311" t="s">
        <v>748</v>
      </c>
      <c r="C22" s="311"/>
      <c r="D22" s="311" t="s">
        <v>749</v>
      </c>
      <c r="E22" s="328">
        <f t="shared" ref="E22:P22" si="6">SUM(E23:E32)-E23-E26-E29</f>
        <v>7574335</v>
      </c>
      <c r="F22" s="328">
        <f t="shared" si="6"/>
        <v>7574335</v>
      </c>
      <c r="G22" s="328">
        <f t="shared" si="6"/>
        <v>0</v>
      </c>
      <c r="H22" s="328">
        <f t="shared" si="6"/>
        <v>0</v>
      </c>
      <c r="I22" s="328">
        <f t="shared" si="6"/>
        <v>0</v>
      </c>
      <c r="J22" s="328">
        <f t="shared" si="6"/>
        <v>5215800</v>
      </c>
      <c r="K22" s="328">
        <f t="shared" si="6"/>
        <v>0</v>
      </c>
      <c r="L22" s="328">
        <f t="shared" si="6"/>
        <v>4350400</v>
      </c>
      <c r="M22" s="328">
        <f t="shared" si="6"/>
        <v>0</v>
      </c>
      <c r="N22" s="328">
        <f t="shared" si="6"/>
        <v>0</v>
      </c>
      <c r="O22" s="328">
        <f t="shared" si="6"/>
        <v>865400</v>
      </c>
      <c r="P22" s="328">
        <f t="shared" si="6"/>
        <v>12790135</v>
      </c>
      <c r="Q22" s="135"/>
      <c r="R22" s="31"/>
    </row>
    <row r="23" spans="1:18" s="33" customFormat="1" ht="47.25" thickTop="1" thickBot="1" x14ac:dyDescent="0.25">
      <c r="A23" s="313" t="s">
        <v>686</v>
      </c>
      <c r="B23" s="313" t="s">
        <v>687</v>
      </c>
      <c r="C23" s="313"/>
      <c r="D23" s="313" t="s">
        <v>688</v>
      </c>
      <c r="E23" s="315">
        <f t="shared" ref="E23:P23" si="7">SUM(E24:E25)</f>
        <v>4883000</v>
      </c>
      <c r="F23" s="315">
        <f t="shared" si="7"/>
        <v>4883000</v>
      </c>
      <c r="G23" s="315">
        <f t="shared" si="7"/>
        <v>0</v>
      </c>
      <c r="H23" s="315">
        <f t="shared" si="7"/>
        <v>0</v>
      </c>
      <c r="I23" s="315">
        <f t="shared" si="7"/>
        <v>0</v>
      </c>
      <c r="J23" s="315">
        <f t="shared" si="7"/>
        <v>0</v>
      </c>
      <c r="K23" s="315">
        <f t="shared" si="7"/>
        <v>0</v>
      </c>
      <c r="L23" s="315">
        <f t="shared" si="7"/>
        <v>0</v>
      </c>
      <c r="M23" s="315">
        <f t="shared" si="7"/>
        <v>0</v>
      </c>
      <c r="N23" s="315">
        <f t="shared" si="7"/>
        <v>0</v>
      </c>
      <c r="O23" s="315">
        <f t="shared" si="7"/>
        <v>0</v>
      </c>
      <c r="P23" s="315">
        <f t="shared" si="7"/>
        <v>4883000</v>
      </c>
      <c r="Q23" s="138"/>
      <c r="R23" s="32"/>
    </row>
    <row r="24" spans="1:18" ht="48" thickTop="1" thickBot="1" x14ac:dyDescent="0.25">
      <c r="A24" s="103" t="s">
        <v>238</v>
      </c>
      <c r="B24" s="103" t="s">
        <v>239</v>
      </c>
      <c r="C24" s="103" t="s">
        <v>240</v>
      </c>
      <c r="D24" s="103" t="s">
        <v>237</v>
      </c>
      <c r="E24" s="328">
        <f t="shared" si="3"/>
        <v>4883000</v>
      </c>
      <c r="F24" s="462">
        <v>4883000</v>
      </c>
      <c r="G24" s="462"/>
      <c r="H24" s="462"/>
      <c r="I24" s="462"/>
      <c r="J24" s="328">
        <f t="shared" si="4"/>
        <v>0</v>
      </c>
      <c r="K24" s="462"/>
      <c r="L24" s="462"/>
      <c r="M24" s="462"/>
      <c r="N24" s="462"/>
      <c r="O24" s="459">
        <f t="shared" si="5"/>
        <v>0</v>
      </c>
      <c r="P24" s="328">
        <f>+J24+E24</f>
        <v>4883000</v>
      </c>
      <c r="Q24" s="133"/>
      <c r="R24" s="29"/>
    </row>
    <row r="25" spans="1:18" ht="93" hidden="1" thickTop="1" thickBot="1" x14ac:dyDescent="0.25">
      <c r="A25" s="41" t="s">
        <v>976</v>
      </c>
      <c r="B25" s="41" t="s">
        <v>977</v>
      </c>
      <c r="C25" s="41" t="s">
        <v>240</v>
      </c>
      <c r="D25" s="41" t="s">
        <v>978</v>
      </c>
      <c r="E25" s="127">
        <f t="shared" si="3"/>
        <v>0</v>
      </c>
      <c r="F25" s="134">
        <v>0</v>
      </c>
      <c r="G25" s="134"/>
      <c r="H25" s="134"/>
      <c r="I25" s="134"/>
      <c r="J25" s="127">
        <f t="shared" si="4"/>
        <v>0</v>
      </c>
      <c r="K25" s="43"/>
      <c r="L25" s="43"/>
      <c r="M25" s="43"/>
      <c r="N25" s="43"/>
      <c r="O25" s="44"/>
      <c r="P25" s="42">
        <f>+J25+E25</f>
        <v>0</v>
      </c>
      <c r="Q25" s="133"/>
      <c r="R25" s="29"/>
    </row>
    <row r="26" spans="1:18" ht="47.25" thickTop="1" thickBot="1" x14ac:dyDescent="0.25">
      <c r="A26" s="313" t="s">
        <v>690</v>
      </c>
      <c r="B26" s="313" t="s">
        <v>691</v>
      </c>
      <c r="C26" s="313"/>
      <c r="D26" s="313" t="s">
        <v>689</v>
      </c>
      <c r="E26" s="315">
        <f>SUM(E28)+E29+E27</f>
        <v>2691335</v>
      </c>
      <c r="F26" s="315">
        <f t="shared" ref="F26:P26" si="8">SUM(F28)+F29+F27</f>
        <v>2691335</v>
      </c>
      <c r="G26" s="315">
        <f t="shared" si="8"/>
        <v>0</v>
      </c>
      <c r="H26" s="315">
        <f t="shared" si="8"/>
        <v>0</v>
      </c>
      <c r="I26" s="315">
        <f t="shared" si="8"/>
        <v>0</v>
      </c>
      <c r="J26" s="315">
        <f t="shared" si="8"/>
        <v>5215800</v>
      </c>
      <c r="K26" s="315">
        <f t="shared" si="8"/>
        <v>0</v>
      </c>
      <c r="L26" s="315">
        <f t="shared" si="8"/>
        <v>4350400</v>
      </c>
      <c r="M26" s="315">
        <f t="shared" si="8"/>
        <v>0</v>
      </c>
      <c r="N26" s="315">
        <f t="shared" si="8"/>
        <v>0</v>
      </c>
      <c r="O26" s="315">
        <f t="shared" si="8"/>
        <v>865400</v>
      </c>
      <c r="P26" s="315">
        <f t="shared" si="8"/>
        <v>7907135</v>
      </c>
      <c r="Q26" s="139"/>
      <c r="R26" s="34"/>
    </row>
    <row r="27" spans="1:18" ht="48" hidden="1" thickTop="1" thickBot="1" x14ac:dyDescent="0.25">
      <c r="A27" s="103" t="s">
        <v>1404</v>
      </c>
      <c r="B27" s="103" t="s">
        <v>212</v>
      </c>
      <c r="C27" s="103" t="s">
        <v>213</v>
      </c>
      <c r="D27" s="103" t="s">
        <v>41</v>
      </c>
      <c r="E27" s="328">
        <f t="shared" si="3"/>
        <v>0</v>
      </c>
      <c r="F27" s="462"/>
      <c r="G27" s="462"/>
      <c r="H27" s="462"/>
      <c r="I27" s="462"/>
      <c r="J27" s="328">
        <f t="shared" si="4"/>
        <v>0</v>
      </c>
      <c r="K27" s="462"/>
      <c r="L27" s="462"/>
      <c r="M27" s="462"/>
      <c r="N27" s="462"/>
      <c r="O27" s="459">
        <f t="shared" si="5"/>
        <v>0</v>
      </c>
      <c r="P27" s="328">
        <f>+J27+E27</f>
        <v>0</v>
      </c>
      <c r="Q27" s="139"/>
      <c r="R27" s="34"/>
    </row>
    <row r="28" spans="1:18" ht="48" thickTop="1" thickBot="1" x14ac:dyDescent="0.25">
      <c r="A28" s="103" t="s">
        <v>299</v>
      </c>
      <c r="B28" s="103" t="s">
        <v>300</v>
      </c>
      <c r="C28" s="103" t="s">
        <v>170</v>
      </c>
      <c r="D28" s="103" t="s">
        <v>442</v>
      </c>
      <c r="E28" s="328">
        <f t="shared" si="3"/>
        <v>329335</v>
      </c>
      <c r="F28" s="462">
        <v>329335</v>
      </c>
      <c r="G28" s="462"/>
      <c r="H28" s="462"/>
      <c r="I28" s="462"/>
      <c r="J28" s="328">
        <f t="shared" si="4"/>
        <v>0</v>
      </c>
      <c r="K28" s="462"/>
      <c r="L28" s="462"/>
      <c r="M28" s="462"/>
      <c r="N28" s="462"/>
      <c r="O28" s="459">
        <f t="shared" si="5"/>
        <v>0</v>
      </c>
      <c r="P28" s="328">
        <f>+J28+E28</f>
        <v>329335</v>
      </c>
      <c r="Q28" s="133"/>
      <c r="R28" s="30"/>
    </row>
    <row r="29" spans="1:18" ht="48" thickTop="1" thickBot="1" x14ac:dyDescent="0.25">
      <c r="A29" s="329" t="s">
        <v>693</v>
      </c>
      <c r="B29" s="329" t="s">
        <v>694</v>
      </c>
      <c r="C29" s="329"/>
      <c r="D29" s="566" t="s">
        <v>692</v>
      </c>
      <c r="E29" s="325">
        <f>SUM(E30:E32)</f>
        <v>2362000</v>
      </c>
      <c r="F29" s="325">
        <f t="shared" ref="F29:O29" si="9">SUM(F30:F32)</f>
        <v>2362000</v>
      </c>
      <c r="G29" s="325">
        <f t="shared" si="9"/>
        <v>0</v>
      </c>
      <c r="H29" s="325">
        <f t="shared" si="9"/>
        <v>0</v>
      </c>
      <c r="I29" s="325">
        <f t="shared" si="9"/>
        <v>0</v>
      </c>
      <c r="J29" s="325">
        <f t="shared" si="9"/>
        <v>5215800</v>
      </c>
      <c r="K29" s="325">
        <f t="shared" si="9"/>
        <v>0</v>
      </c>
      <c r="L29" s="325">
        <f t="shared" si="9"/>
        <v>4350400</v>
      </c>
      <c r="M29" s="325">
        <f t="shared" si="9"/>
        <v>0</v>
      </c>
      <c r="N29" s="325">
        <f t="shared" si="9"/>
        <v>0</v>
      </c>
      <c r="O29" s="325">
        <f t="shared" si="9"/>
        <v>865400</v>
      </c>
      <c r="P29" s="325">
        <f>E29+J29</f>
        <v>7577800</v>
      </c>
      <c r="Q29" s="139"/>
      <c r="R29" s="35"/>
    </row>
    <row r="30" spans="1:18" s="33" customFormat="1" ht="247.5" customHeight="1" thickTop="1" thickBot="1" x14ac:dyDescent="0.7">
      <c r="A30" s="796" t="s">
        <v>339</v>
      </c>
      <c r="B30" s="796" t="s">
        <v>338</v>
      </c>
      <c r="C30" s="796" t="s">
        <v>170</v>
      </c>
      <c r="D30" s="567" t="s">
        <v>440</v>
      </c>
      <c r="E30" s="826">
        <f t="shared" si="3"/>
        <v>0</v>
      </c>
      <c r="F30" s="801"/>
      <c r="G30" s="801"/>
      <c r="H30" s="801"/>
      <c r="I30" s="801"/>
      <c r="J30" s="827">
        <f>L30+O30</f>
        <v>5215800</v>
      </c>
      <c r="K30" s="801"/>
      <c r="L30" s="801">
        <f>2604400+176000+570000+1000000</f>
        <v>4350400</v>
      </c>
      <c r="M30" s="801"/>
      <c r="N30" s="801"/>
      <c r="O30" s="822">
        <v>865400</v>
      </c>
      <c r="P30" s="824">
        <f>E30+J30</f>
        <v>5215800</v>
      </c>
      <c r="Q30" s="142"/>
      <c r="R30" s="36"/>
    </row>
    <row r="31" spans="1:18" s="33" customFormat="1" ht="130.5" customHeight="1" thickTop="1" thickBot="1" x14ac:dyDescent="0.25">
      <c r="A31" s="804"/>
      <c r="B31" s="803"/>
      <c r="C31" s="804"/>
      <c r="D31" s="568" t="s">
        <v>441</v>
      </c>
      <c r="E31" s="804"/>
      <c r="F31" s="802"/>
      <c r="G31" s="802"/>
      <c r="H31" s="802"/>
      <c r="I31" s="802"/>
      <c r="J31" s="828"/>
      <c r="K31" s="802"/>
      <c r="L31" s="802"/>
      <c r="M31" s="802"/>
      <c r="N31" s="802"/>
      <c r="O31" s="823"/>
      <c r="P31" s="825"/>
      <c r="Q31" s="36"/>
      <c r="R31" s="36"/>
    </row>
    <row r="32" spans="1:18" s="33" customFormat="1" ht="48" thickTop="1" thickBot="1" x14ac:dyDescent="0.25">
      <c r="A32" s="103" t="s">
        <v>914</v>
      </c>
      <c r="B32" s="103" t="s">
        <v>257</v>
      </c>
      <c r="C32" s="103" t="s">
        <v>170</v>
      </c>
      <c r="D32" s="103" t="s">
        <v>255</v>
      </c>
      <c r="E32" s="328">
        <f>F32</f>
        <v>2362000</v>
      </c>
      <c r="F32" s="462">
        <v>2362000</v>
      </c>
      <c r="G32" s="462"/>
      <c r="H32" s="462"/>
      <c r="I32" s="462"/>
      <c r="J32" s="328">
        <f>L32+O32</f>
        <v>0</v>
      </c>
      <c r="K32" s="462"/>
      <c r="L32" s="462"/>
      <c r="M32" s="462"/>
      <c r="N32" s="462"/>
      <c r="O32" s="459"/>
      <c r="P32" s="328">
        <f>E32+J32</f>
        <v>2362000</v>
      </c>
      <c r="Q32" s="36"/>
      <c r="R32" s="36"/>
    </row>
    <row r="33" spans="1:18" s="33" customFormat="1" ht="46.5" customHeight="1" thickTop="1" thickBot="1" x14ac:dyDescent="0.25">
      <c r="A33" s="311" t="s">
        <v>695</v>
      </c>
      <c r="B33" s="311" t="s">
        <v>696</v>
      </c>
      <c r="C33" s="311"/>
      <c r="D33" s="311" t="s">
        <v>697</v>
      </c>
      <c r="E33" s="328">
        <f t="shared" ref="E33:P33" si="10">E37+E34</f>
        <v>45062000</v>
      </c>
      <c r="F33" s="328">
        <f t="shared" si="10"/>
        <v>45062000</v>
      </c>
      <c r="G33" s="328">
        <f t="shared" si="10"/>
        <v>0</v>
      </c>
      <c r="H33" s="328">
        <f t="shared" si="10"/>
        <v>0</v>
      </c>
      <c r="I33" s="328">
        <f t="shared" si="10"/>
        <v>0</v>
      </c>
      <c r="J33" s="328">
        <f t="shared" si="10"/>
        <v>100500000</v>
      </c>
      <c r="K33" s="328">
        <f t="shared" si="10"/>
        <v>100500000</v>
      </c>
      <c r="L33" s="328">
        <f t="shared" si="10"/>
        <v>0</v>
      </c>
      <c r="M33" s="328">
        <f t="shared" si="10"/>
        <v>0</v>
      </c>
      <c r="N33" s="328">
        <f t="shared" si="10"/>
        <v>0</v>
      </c>
      <c r="O33" s="328">
        <f t="shared" si="10"/>
        <v>100500000</v>
      </c>
      <c r="P33" s="328">
        <f t="shared" si="10"/>
        <v>145562000</v>
      </c>
      <c r="Q33" s="36"/>
      <c r="R33" s="36"/>
    </row>
    <row r="34" spans="1:18" s="33" customFormat="1" ht="103.5" customHeight="1" thickTop="1" thickBot="1" x14ac:dyDescent="0.25">
      <c r="A34" s="313" t="s">
        <v>1185</v>
      </c>
      <c r="B34" s="313" t="s">
        <v>1186</v>
      </c>
      <c r="C34" s="313"/>
      <c r="D34" s="313" t="s">
        <v>1184</v>
      </c>
      <c r="E34" s="315">
        <f t="shared" ref="E34:P34" si="11">SUM(E35:E36)</f>
        <v>34862000</v>
      </c>
      <c r="F34" s="315">
        <f t="shared" si="11"/>
        <v>34862000</v>
      </c>
      <c r="G34" s="315">
        <f t="shared" si="11"/>
        <v>0</v>
      </c>
      <c r="H34" s="315">
        <f t="shared" si="11"/>
        <v>0</v>
      </c>
      <c r="I34" s="315">
        <f t="shared" si="11"/>
        <v>0</v>
      </c>
      <c r="J34" s="315">
        <f t="shared" si="11"/>
        <v>100500000</v>
      </c>
      <c r="K34" s="315">
        <f t="shared" si="11"/>
        <v>100500000</v>
      </c>
      <c r="L34" s="315">
        <f t="shared" si="11"/>
        <v>0</v>
      </c>
      <c r="M34" s="315">
        <f t="shared" si="11"/>
        <v>0</v>
      </c>
      <c r="N34" s="315">
        <f t="shared" si="11"/>
        <v>0</v>
      </c>
      <c r="O34" s="315">
        <f t="shared" si="11"/>
        <v>100500000</v>
      </c>
      <c r="P34" s="315">
        <f t="shared" si="11"/>
        <v>135362000</v>
      </c>
      <c r="Q34" s="36"/>
      <c r="R34" s="36"/>
    </row>
    <row r="35" spans="1:18" s="33" customFormat="1" ht="103.5" customHeight="1" thickTop="1" thickBot="1" x14ac:dyDescent="0.25">
      <c r="A35" s="103" t="s">
        <v>1212</v>
      </c>
      <c r="B35" s="103" t="s">
        <v>1213</v>
      </c>
      <c r="C35" s="103" t="s">
        <v>1188</v>
      </c>
      <c r="D35" s="103" t="s">
        <v>1214</v>
      </c>
      <c r="E35" s="328">
        <f>F35</f>
        <v>26000000</v>
      </c>
      <c r="F35" s="462">
        <f>5000000+3000000+8000000+10000000</f>
        <v>26000000</v>
      </c>
      <c r="G35" s="462"/>
      <c r="H35" s="462"/>
      <c r="I35" s="462"/>
      <c r="J35" s="328">
        <f>L35+O35</f>
        <v>100500000</v>
      </c>
      <c r="K35" s="462">
        <f>(25000000+15000000)+60500000</f>
        <v>100500000</v>
      </c>
      <c r="L35" s="462"/>
      <c r="M35" s="462"/>
      <c r="N35" s="462"/>
      <c r="O35" s="459">
        <f>K35</f>
        <v>100500000</v>
      </c>
      <c r="P35" s="328">
        <f>E35+J35</f>
        <v>126500000</v>
      </c>
      <c r="Q35" s="36"/>
      <c r="R35" s="36"/>
    </row>
    <row r="36" spans="1:18" s="33" customFormat="1" ht="48" thickTop="1" thickBot="1" x14ac:dyDescent="0.25">
      <c r="A36" s="103" t="s">
        <v>1189</v>
      </c>
      <c r="B36" s="103" t="s">
        <v>1190</v>
      </c>
      <c r="C36" s="103" t="s">
        <v>1188</v>
      </c>
      <c r="D36" s="103" t="s">
        <v>1187</v>
      </c>
      <c r="E36" s="328">
        <f>F36</f>
        <v>8862000</v>
      </c>
      <c r="F36" s="462">
        <v>8862000</v>
      </c>
      <c r="G36" s="462"/>
      <c r="H36" s="462"/>
      <c r="I36" s="462"/>
      <c r="J36" s="328">
        <f>L36+O36</f>
        <v>0</v>
      </c>
      <c r="K36" s="462">
        <v>0</v>
      </c>
      <c r="L36" s="462"/>
      <c r="M36" s="462"/>
      <c r="N36" s="462"/>
      <c r="O36" s="459">
        <f>K36</f>
        <v>0</v>
      </c>
      <c r="P36" s="328">
        <f>E36+J36</f>
        <v>8862000</v>
      </c>
      <c r="Q36" s="36"/>
      <c r="R36" s="36"/>
    </row>
    <row r="37" spans="1:18" s="33" customFormat="1" ht="47.25" thickTop="1" thickBot="1" x14ac:dyDescent="0.25">
      <c r="A37" s="313" t="s">
        <v>698</v>
      </c>
      <c r="B37" s="313" t="s">
        <v>699</v>
      </c>
      <c r="C37" s="313"/>
      <c r="D37" s="313" t="s">
        <v>700</v>
      </c>
      <c r="E37" s="315">
        <f>SUM(E38)</f>
        <v>10200000</v>
      </c>
      <c r="F37" s="315">
        <f t="shared" ref="F37:P37" si="12">SUM(F38)</f>
        <v>10200000</v>
      </c>
      <c r="G37" s="315">
        <f t="shared" si="12"/>
        <v>0</v>
      </c>
      <c r="H37" s="315">
        <f t="shared" si="12"/>
        <v>0</v>
      </c>
      <c r="I37" s="315">
        <f t="shared" si="12"/>
        <v>0</v>
      </c>
      <c r="J37" s="315">
        <f t="shared" si="12"/>
        <v>0</v>
      </c>
      <c r="K37" s="315">
        <f t="shared" si="12"/>
        <v>0</v>
      </c>
      <c r="L37" s="315">
        <f t="shared" si="12"/>
        <v>0</v>
      </c>
      <c r="M37" s="315">
        <f t="shared" si="12"/>
        <v>0</v>
      </c>
      <c r="N37" s="315">
        <f t="shared" si="12"/>
        <v>0</v>
      </c>
      <c r="O37" s="315">
        <f t="shared" si="12"/>
        <v>0</v>
      </c>
      <c r="P37" s="315">
        <f t="shared" si="12"/>
        <v>10200000</v>
      </c>
      <c r="Q37" s="36"/>
    </row>
    <row r="38" spans="1:18" ht="48" thickTop="1" thickBot="1" x14ac:dyDescent="0.25">
      <c r="A38" s="103" t="s">
        <v>241</v>
      </c>
      <c r="B38" s="103" t="s">
        <v>242</v>
      </c>
      <c r="C38" s="103" t="s">
        <v>243</v>
      </c>
      <c r="D38" s="103" t="s">
        <v>244</v>
      </c>
      <c r="E38" s="328">
        <f>F38</f>
        <v>10200000</v>
      </c>
      <c r="F38" s="462">
        <v>10200000</v>
      </c>
      <c r="G38" s="462"/>
      <c r="H38" s="462"/>
      <c r="I38" s="462"/>
      <c r="J38" s="328">
        <f>L38+O38</f>
        <v>0</v>
      </c>
      <c r="K38" s="462">
        <v>0</v>
      </c>
      <c r="L38" s="462"/>
      <c r="M38" s="462"/>
      <c r="N38" s="462"/>
      <c r="O38" s="459">
        <f>K38</f>
        <v>0</v>
      </c>
      <c r="P38" s="328">
        <f>E38+J38</f>
        <v>10200000</v>
      </c>
      <c r="Q38" s="20"/>
    </row>
    <row r="39" spans="1:18" ht="47.25" thickTop="1" thickBot="1" x14ac:dyDescent="0.25">
      <c r="A39" s="311" t="s">
        <v>701</v>
      </c>
      <c r="B39" s="311" t="s">
        <v>702</v>
      </c>
      <c r="C39" s="311"/>
      <c r="D39" s="311" t="s">
        <v>703</v>
      </c>
      <c r="E39" s="328">
        <f>E40+E43</f>
        <v>102620518.14</v>
      </c>
      <c r="F39" s="328">
        <f t="shared" ref="F39:P39" si="13">F40+F43</f>
        <v>102620518.14</v>
      </c>
      <c r="G39" s="328">
        <f t="shared" si="13"/>
        <v>0</v>
      </c>
      <c r="H39" s="328">
        <f t="shared" si="13"/>
        <v>0</v>
      </c>
      <c r="I39" s="328">
        <f t="shared" si="13"/>
        <v>0</v>
      </c>
      <c r="J39" s="328">
        <f t="shared" si="13"/>
        <v>126402581.86</v>
      </c>
      <c r="K39" s="328">
        <f t="shared" si="13"/>
        <v>126402581.86</v>
      </c>
      <c r="L39" s="328">
        <f t="shared" si="13"/>
        <v>0</v>
      </c>
      <c r="M39" s="328">
        <f t="shared" si="13"/>
        <v>0</v>
      </c>
      <c r="N39" s="328">
        <f t="shared" si="13"/>
        <v>0</v>
      </c>
      <c r="O39" s="328">
        <f t="shared" si="13"/>
        <v>126402581.86</v>
      </c>
      <c r="P39" s="328">
        <f t="shared" si="13"/>
        <v>229023100</v>
      </c>
      <c r="Q39" s="20"/>
    </row>
    <row r="40" spans="1:18" s="33" customFormat="1" ht="91.5" thickTop="1" thickBot="1" x14ac:dyDescent="0.25">
      <c r="A40" s="313" t="s">
        <v>704</v>
      </c>
      <c r="B40" s="313" t="s">
        <v>705</v>
      </c>
      <c r="C40" s="313"/>
      <c r="D40" s="313" t="s">
        <v>706</v>
      </c>
      <c r="E40" s="315">
        <f>SUM(E41:E42)</f>
        <v>1333600</v>
      </c>
      <c r="F40" s="315">
        <f t="shared" ref="F40:P40" si="14">SUM(F41:F42)</f>
        <v>1333600</v>
      </c>
      <c r="G40" s="315">
        <f t="shared" si="14"/>
        <v>0</v>
      </c>
      <c r="H40" s="315">
        <f t="shared" si="14"/>
        <v>0</v>
      </c>
      <c r="I40" s="315">
        <f t="shared" si="14"/>
        <v>0</v>
      </c>
      <c r="J40" s="315">
        <f t="shared" si="14"/>
        <v>0</v>
      </c>
      <c r="K40" s="315">
        <f t="shared" si="14"/>
        <v>0</v>
      </c>
      <c r="L40" s="315">
        <f t="shared" si="14"/>
        <v>0</v>
      </c>
      <c r="M40" s="315">
        <f t="shared" si="14"/>
        <v>0</v>
      </c>
      <c r="N40" s="315">
        <f t="shared" si="14"/>
        <v>0</v>
      </c>
      <c r="O40" s="315">
        <f t="shared" si="14"/>
        <v>0</v>
      </c>
      <c r="P40" s="315">
        <f t="shared" si="14"/>
        <v>1333600</v>
      </c>
      <c r="Q40" s="36"/>
      <c r="R40" s="36"/>
    </row>
    <row r="41" spans="1:18" ht="138.75" thickTop="1" thickBot="1" x14ac:dyDescent="0.25">
      <c r="A41" s="103" t="s">
        <v>245</v>
      </c>
      <c r="B41" s="103" t="s">
        <v>246</v>
      </c>
      <c r="C41" s="103" t="s">
        <v>43</v>
      </c>
      <c r="D41" s="103" t="s">
        <v>443</v>
      </c>
      <c r="E41" s="328">
        <f t="shared" si="3"/>
        <v>1178000</v>
      </c>
      <c r="F41" s="462">
        <v>1178000</v>
      </c>
      <c r="G41" s="462"/>
      <c r="H41" s="462"/>
      <c r="I41" s="462"/>
      <c r="J41" s="328">
        <f>L41+O41</f>
        <v>0</v>
      </c>
      <c r="K41" s="462"/>
      <c r="L41" s="462"/>
      <c r="M41" s="462"/>
      <c r="N41" s="462"/>
      <c r="O41" s="459">
        <f>K41</f>
        <v>0</v>
      </c>
      <c r="P41" s="328">
        <f>E41+J41</f>
        <v>1178000</v>
      </c>
      <c r="Q41" s="20"/>
    </row>
    <row r="42" spans="1:18" ht="48" thickTop="1" thickBot="1" x14ac:dyDescent="0.25">
      <c r="A42" s="103" t="s">
        <v>575</v>
      </c>
      <c r="B42" s="103" t="s">
        <v>363</v>
      </c>
      <c r="C42" s="103" t="s">
        <v>43</v>
      </c>
      <c r="D42" s="103" t="s">
        <v>364</v>
      </c>
      <c r="E42" s="328">
        <f t="shared" si="3"/>
        <v>155600</v>
      </c>
      <c r="F42" s="462">
        <v>155600</v>
      </c>
      <c r="G42" s="462"/>
      <c r="H42" s="462"/>
      <c r="I42" s="462"/>
      <c r="J42" s="328">
        <f>L42+O42</f>
        <v>0</v>
      </c>
      <c r="K42" s="462">
        <f>(1000000)-1000000</f>
        <v>0</v>
      </c>
      <c r="L42" s="462"/>
      <c r="M42" s="462"/>
      <c r="N42" s="462"/>
      <c r="O42" s="459">
        <f>K42</f>
        <v>0</v>
      </c>
      <c r="P42" s="328">
        <f>E42+J42</f>
        <v>155600</v>
      </c>
      <c r="Q42" s="20"/>
    </row>
    <row r="43" spans="1:18" ht="91.5" thickTop="1" thickBot="1" x14ac:dyDescent="0.25">
      <c r="A43" s="313" t="s">
        <v>513</v>
      </c>
      <c r="B43" s="313" t="s">
        <v>514</v>
      </c>
      <c r="C43" s="313" t="s">
        <v>43</v>
      </c>
      <c r="D43" s="313" t="s">
        <v>515</v>
      </c>
      <c r="E43" s="315">
        <f t="shared" si="3"/>
        <v>101286918.14</v>
      </c>
      <c r="F43" s="315">
        <f>(40873318.14-300000+2000000)+58713600</f>
        <v>101286918.14</v>
      </c>
      <c r="G43" s="137"/>
      <c r="H43" s="137"/>
      <c r="I43" s="137"/>
      <c r="J43" s="315">
        <f>L43+O43</f>
        <v>126402581.86</v>
      </c>
      <c r="K43" s="462">
        <f>(26816681.86-700000)+100285900</f>
        <v>126402581.86</v>
      </c>
      <c r="L43" s="315"/>
      <c r="M43" s="315"/>
      <c r="N43" s="315"/>
      <c r="O43" s="315">
        <f>K43</f>
        <v>126402581.86</v>
      </c>
      <c r="P43" s="315">
        <f>E43+J43</f>
        <v>227689500</v>
      </c>
      <c r="Q43" s="20"/>
      <c r="R43" s="26"/>
    </row>
    <row r="44" spans="1:18" ht="177.75" customHeight="1" thickTop="1" thickBot="1" x14ac:dyDescent="0.25">
      <c r="A44" s="478" t="s">
        <v>152</v>
      </c>
      <c r="B44" s="478"/>
      <c r="C44" s="478"/>
      <c r="D44" s="479" t="s">
        <v>0</v>
      </c>
      <c r="E44" s="502">
        <f>E45</f>
        <v>2201191612.2399998</v>
      </c>
      <c r="F44" s="480">
        <f t="shared" ref="F44" si="15">F45</f>
        <v>2201191612.2399998</v>
      </c>
      <c r="G44" s="480">
        <f>G45</f>
        <v>1492316729.3899999</v>
      </c>
      <c r="H44" s="480">
        <f>H45</f>
        <v>170645348</v>
      </c>
      <c r="I44" s="480">
        <f t="shared" ref="I44" si="16">I45</f>
        <v>0</v>
      </c>
      <c r="J44" s="502">
        <f>J45</f>
        <v>296291588.87</v>
      </c>
      <c r="K44" s="480">
        <f>K45</f>
        <v>85788299.719999999</v>
      </c>
      <c r="L44" s="480">
        <f>L45</f>
        <v>206351947.15000001</v>
      </c>
      <c r="M44" s="480">
        <f t="shared" ref="M44" si="17">M45</f>
        <v>53944610</v>
      </c>
      <c r="N44" s="480">
        <f>N45</f>
        <v>17336870</v>
      </c>
      <c r="O44" s="502">
        <f>O45</f>
        <v>89939641.719999999</v>
      </c>
      <c r="P44" s="480">
        <f t="shared" ref="P44" si="18">P45</f>
        <v>2497483201.1099997</v>
      </c>
      <c r="Q44" s="20"/>
    </row>
    <row r="45" spans="1:18" ht="159" customHeight="1" thickTop="1" thickBot="1" x14ac:dyDescent="0.25">
      <c r="A45" s="481" t="s">
        <v>153</v>
      </c>
      <c r="B45" s="481"/>
      <c r="C45" s="481"/>
      <c r="D45" s="482" t="s">
        <v>1</v>
      </c>
      <c r="E45" s="483">
        <f>E46+E89+E101+E92+E98</f>
        <v>2201191612.2399998</v>
      </c>
      <c r="F45" s="483">
        <f>F46+F89+F101+F92+F98</f>
        <v>2201191612.2399998</v>
      </c>
      <c r="G45" s="483">
        <f>G46+G89+G101+G92+G98</f>
        <v>1492316729.3899999</v>
      </c>
      <c r="H45" s="483">
        <f>H46+H89+H101+H92+H98</f>
        <v>170645348</v>
      </c>
      <c r="I45" s="483">
        <f>I46+I89+I101+I92+I98</f>
        <v>0</v>
      </c>
      <c r="J45" s="483">
        <f>L45+O45</f>
        <v>296291588.87</v>
      </c>
      <c r="K45" s="483">
        <f>K46+K89+K101+K92+K98</f>
        <v>85788299.719999999</v>
      </c>
      <c r="L45" s="483">
        <f>L46+L89+L101+L92+L98</f>
        <v>206351947.15000001</v>
      </c>
      <c r="M45" s="483">
        <f>M46+M89+M101+M92+M98</f>
        <v>53944610</v>
      </c>
      <c r="N45" s="483">
        <f>N46+N89+N101+N92+N98</f>
        <v>17336870</v>
      </c>
      <c r="O45" s="483">
        <f>O46+O89+O101+O92+O98</f>
        <v>89939641.719999999</v>
      </c>
      <c r="P45" s="483">
        <f>E45+J45</f>
        <v>2497483201.1099997</v>
      </c>
      <c r="Q45" s="565" t="b">
        <f>P45=P47+P49+P50+P51+P53+P54+P57+P59+P60+P62+P63+P65+P66+P67+P81+P90+P91+P95+P97+P56+P87+P88</f>
        <v>1</v>
      </c>
      <c r="R45" s="26"/>
    </row>
    <row r="46" spans="1:18" ht="47.25" thickTop="1" thickBot="1" x14ac:dyDescent="0.25">
      <c r="A46" s="311" t="s">
        <v>707</v>
      </c>
      <c r="B46" s="311" t="s">
        <v>708</v>
      </c>
      <c r="C46" s="311"/>
      <c r="D46" s="311" t="s">
        <v>709</v>
      </c>
      <c r="E46" s="328">
        <f>E47+E48+E52+E57+E58+E61+E64+E67+E68+E75+E55+E76+E71+E77+E80+E83+E86</f>
        <v>2198717012.2399998</v>
      </c>
      <c r="F46" s="328">
        <f t="shared" ref="F46:P46" si="19">F47+F48+F52+F57+F58+F61+F64+F67+F68+F75+F55+F76+F71+F77+F80+F83+F86</f>
        <v>2198717012.2399998</v>
      </c>
      <c r="G46" s="328">
        <f t="shared" si="19"/>
        <v>1492316729.3899999</v>
      </c>
      <c r="H46" s="328">
        <f t="shared" si="19"/>
        <v>170054748</v>
      </c>
      <c r="I46" s="328">
        <f t="shared" si="19"/>
        <v>0</v>
      </c>
      <c r="J46" s="328">
        <f t="shared" si="19"/>
        <v>246575384.49000001</v>
      </c>
      <c r="K46" s="328">
        <f t="shared" si="19"/>
        <v>36072095.340000004</v>
      </c>
      <c r="L46" s="328">
        <f t="shared" si="19"/>
        <v>206351947.15000001</v>
      </c>
      <c r="M46" s="328">
        <f t="shared" si="19"/>
        <v>53944610</v>
      </c>
      <c r="N46" s="328">
        <f t="shared" si="19"/>
        <v>17336870</v>
      </c>
      <c r="O46" s="328">
        <f t="shared" si="19"/>
        <v>40223437.340000004</v>
      </c>
      <c r="P46" s="328">
        <f t="shared" si="19"/>
        <v>2445292396.73</v>
      </c>
      <c r="Q46" s="30"/>
      <c r="R46" s="26"/>
    </row>
    <row r="47" spans="1:18" ht="99" customHeight="1" thickTop="1" thickBot="1" x14ac:dyDescent="0.6">
      <c r="A47" s="103" t="s">
        <v>198</v>
      </c>
      <c r="B47" s="103" t="s">
        <v>199</v>
      </c>
      <c r="C47" s="103" t="s">
        <v>201</v>
      </c>
      <c r="D47" s="103" t="s">
        <v>202</v>
      </c>
      <c r="E47" s="328">
        <f>F47</f>
        <v>596656836</v>
      </c>
      <c r="F47" s="462">
        <f>(518100000+6834000+121810+46482400+5516000+34247960+1883491+20029153+1410722+1453964+1539752+121850+3930+500000+95000+100000+300000-5000000-45500000-36876000)+44459370+694434-60000+199000</f>
        <v>596656836</v>
      </c>
      <c r="G47" s="462">
        <f>(424700000-45500000)+20333842</f>
        <v>399533842</v>
      </c>
      <c r="H47" s="462">
        <f>34247960+1883491+20029153+1410722+1453964+1539752</f>
        <v>60565042</v>
      </c>
      <c r="I47" s="462"/>
      <c r="J47" s="328">
        <f t="shared" ref="J47:J70" si="20">L47+O47</f>
        <v>96246670</v>
      </c>
      <c r="K47" s="462">
        <f>(500000)+60000</f>
        <v>560000</v>
      </c>
      <c r="L47" s="462">
        <f>94139890</f>
        <v>94139890</v>
      </c>
      <c r="M47" s="462">
        <v>17927390</v>
      </c>
      <c r="N47" s="462">
        <v>4628330</v>
      </c>
      <c r="O47" s="459">
        <f>K47+1546780</f>
        <v>2106780</v>
      </c>
      <c r="P47" s="328">
        <f t="shared" ref="P47:P60" si="21">E47+J47</f>
        <v>692903506</v>
      </c>
      <c r="Q47" s="143"/>
      <c r="R47" s="26"/>
    </row>
    <row r="48" spans="1:18" ht="48" thickTop="1" thickBot="1" x14ac:dyDescent="0.6">
      <c r="A48" s="329" t="s">
        <v>203</v>
      </c>
      <c r="B48" s="329" t="s">
        <v>200</v>
      </c>
      <c r="C48" s="329"/>
      <c r="D48" s="329" t="s">
        <v>643</v>
      </c>
      <c r="E48" s="325">
        <f>E49+E50+E51</f>
        <v>600420079.62</v>
      </c>
      <c r="F48" s="325">
        <f>F49+F50+F51</f>
        <v>600420079.62</v>
      </c>
      <c r="G48" s="325">
        <f t="shared" ref="G48:O48" si="22">G49+G50+G51</f>
        <v>338080042.62</v>
      </c>
      <c r="H48" s="325">
        <f t="shared" si="22"/>
        <v>81514646</v>
      </c>
      <c r="I48" s="325">
        <f t="shared" si="22"/>
        <v>0</v>
      </c>
      <c r="J48" s="325">
        <f t="shared" si="22"/>
        <v>97555761.340000004</v>
      </c>
      <c r="K48" s="325">
        <f t="shared" si="22"/>
        <v>19761391.34</v>
      </c>
      <c r="L48" s="325">
        <f t="shared" si="22"/>
        <v>76441760</v>
      </c>
      <c r="M48" s="325">
        <f t="shared" si="22"/>
        <v>24386640</v>
      </c>
      <c r="N48" s="325">
        <f t="shared" si="22"/>
        <v>1851620</v>
      </c>
      <c r="O48" s="325">
        <f t="shared" si="22"/>
        <v>21114001.34</v>
      </c>
      <c r="P48" s="325">
        <f>E48+J48</f>
        <v>697975840.96000004</v>
      </c>
      <c r="Q48" s="143"/>
      <c r="R48" s="37"/>
    </row>
    <row r="49" spans="1:20" ht="93" thickTop="1" thickBot="1" x14ac:dyDescent="0.6">
      <c r="A49" s="103" t="s">
        <v>641</v>
      </c>
      <c r="B49" s="103" t="s">
        <v>642</v>
      </c>
      <c r="C49" s="103" t="s">
        <v>204</v>
      </c>
      <c r="D49" s="103" t="s">
        <v>1276</v>
      </c>
      <c r="E49" s="328">
        <f t="shared" ref="E49:E60" si="23">F49</f>
        <v>547636307.62</v>
      </c>
      <c r="F49" s="462">
        <f>(291024550+15000600+229878+80712500+7004000+45443420+1405040+21980904+4836961+2727144+242950+6050+666880+10740+500000+90000+200000+500000-5000000+100000000-36500000-29674000)+45137822.62+6050+1224752-95530-50000+5596</f>
        <v>547636307.62</v>
      </c>
      <c r="G49" s="462">
        <f>(238511902+82000000-36500000)+23163291.62</f>
        <v>307175193.62</v>
      </c>
      <c r="H49" s="462">
        <f>45443420+1405040+21980904+4836961+2727144</f>
        <v>76393469</v>
      </c>
      <c r="I49" s="462"/>
      <c r="J49" s="328">
        <f t="shared" si="20"/>
        <v>96533611.340000004</v>
      </c>
      <c r="K49" s="462">
        <f>(500000+500000+500000+483297.98+449851.94+260000+1158336+669262+663111+879754+412299+5700000+1750000+3800000)+873801.16-100000-500000-483297.98+1249446.24+95530+50000</f>
        <v>18911391.34</v>
      </c>
      <c r="L49" s="462">
        <v>76269610</v>
      </c>
      <c r="M49" s="462">
        <v>24386640</v>
      </c>
      <c r="N49" s="462">
        <v>1771070</v>
      </c>
      <c r="O49" s="459">
        <f>(K49+1352610)</f>
        <v>20264001.34</v>
      </c>
      <c r="P49" s="328">
        <f t="shared" si="21"/>
        <v>644169918.96000004</v>
      </c>
      <c r="Q49" s="143"/>
      <c r="R49" s="26"/>
      <c r="T49" s="38"/>
    </row>
    <row r="50" spans="1:20" ht="138.75" thickTop="1" thickBot="1" x14ac:dyDescent="0.25">
      <c r="A50" s="103" t="s">
        <v>650</v>
      </c>
      <c r="B50" s="103" t="s">
        <v>651</v>
      </c>
      <c r="C50" s="103" t="s">
        <v>207</v>
      </c>
      <c r="D50" s="103" t="s">
        <v>1277</v>
      </c>
      <c r="E50" s="328">
        <f t="shared" si="23"/>
        <v>32235281</v>
      </c>
      <c r="F50" s="462">
        <f>(28544020+292110+8100+1142200+237500+2100+1338370+19817+268500+10435+41600+5920+200000+10000+10660)+103949</f>
        <v>32235281</v>
      </c>
      <c r="G50" s="462">
        <v>23779110</v>
      </c>
      <c r="H50" s="462">
        <f>1338370+19817+268500+10435</f>
        <v>1637122</v>
      </c>
      <c r="I50" s="462"/>
      <c r="J50" s="328">
        <f t="shared" si="20"/>
        <v>272150</v>
      </c>
      <c r="K50" s="462">
        <f>(0)+100000</f>
        <v>100000</v>
      </c>
      <c r="L50" s="462">
        <v>172150</v>
      </c>
      <c r="M50" s="462"/>
      <c r="N50" s="462">
        <v>80550</v>
      </c>
      <c r="O50" s="459">
        <f>K50</f>
        <v>100000</v>
      </c>
      <c r="P50" s="328">
        <f t="shared" si="21"/>
        <v>32507431</v>
      </c>
      <c r="Q50" s="20"/>
      <c r="R50" s="27"/>
    </row>
    <row r="51" spans="1:20" ht="93" thickTop="1" thickBot="1" x14ac:dyDescent="0.25">
      <c r="A51" s="103" t="s">
        <v>996</v>
      </c>
      <c r="B51" s="103" t="s">
        <v>997</v>
      </c>
      <c r="C51" s="103" t="s">
        <v>207</v>
      </c>
      <c r="D51" s="103" t="s">
        <v>1278</v>
      </c>
      <c r="E51" s="328">
        <f t="shared" si="23"/>
        <v>20548491</v>
      </c>
      <c r="F51" s="462">
        <f>(8569752+424160+12728+6393800+359900+300000+2400640+93745+970870+18800+9450+2960+200000+5000+35000)+751686</f>
        <v>20548491</v>
      </c>
      <c r="G51" s="462">
        <v>7125739</v>
      </c>
      <c r="H51" s="462">
        <f>2400640+93745+970870+18800</f>
        <v>3484055</v>
      </c>
      <c r="I51" s="462"/>
      <c r="J51" s="328">
        <f t="shared" si="20"/>
        <v>750000</v>
      </c>
      <c r="K51" s="462">
        <f>300000+250000+200000</f>
        <v>750000</v>
      </c>
      <c r="L51" s="462"/>
      <c r="M51" s="462"/>
      <c r="N51" s="462"/>
      <c r="O51" s="459">
        <f>K51</f>
        <v>750000</v>
      </c>
      <c r="P51" s="328">
        <f t="shared" si="21"/>
        <v>21298491</v>
      </c>
      <c r="Q51" s="20"/>
      <c r="R51" s="27"/>
    </row>
    <row r="52" spans="1:20" ht="48" thickTop="1" thickBot="1" x14ac:dyDescent="0.25">
      <c r="A52" s="329" t="s">
        <v>498</v>
      </c>
      <c r="B52" s="329" t="s">
        <v>205</v>
      </c>
      <c r="C52" s="329"/>
      <c r="D52" s="329" t="s">
        <v>658</v>
      </c>
      <c r="E52" s="325">
        <f>SUM(E53:E54)</f>
        <v>733067003</v>
      </c>
      <c r="F52" s="325">
        <f>SUM(F53:F54)</f>
        <v>733067003</v>
      </c>
      <c r="G52" s="325">
        <f>SUM(G53:G54)</f>
        <v>595792730</v>
      </c>
      <c r="H52" s="325">
        <f>SUM(H53:H54)</f>
        <v>0</v>
      </c>
      <c r="I52" s="325">
        <f>SUM(I53:I54)</f>
        <v>0</v>
      </c>
      <c r="J52" s="325">
        <f t="shared" ref="J52:P52" si="24">SUM(J53:J54)</f>
        <v>0</v>
      </c>
      <c r="K52" s="325">
        <f t="shared" si="24"/>
        <v>0</v>
      </c>
      <c r="L52" s="325">
        <f t="shared" si="24"/>
        <v>0</v>
      </c>
      <c r="M52" s="325">
        <f t="shared" si="24"/>
        <v>0</v>
      </c>
      <c r="N52" s="325">
        <f t="shared" si="24"/>
        <v>0</v>
      </c>
      <c r="O52" s="325">
        <f t="shared" si="24"/>
        <v>0</v>
      </c>
      <c r="P52" s="325">
        <f t="shared" si="24"/>
        <v>733067003</v>
      </c>
      <c r="Q52" s="20"/>
      <c r="R52" s="35"/>
    </row>
    <row r="53" spans="1:20" ht="93" thickTop="1" thickBot="1" x14ac:dyDescent="0.25">
      <c r="A53" s="103" t="s">
        <v>659</v>
      </c>
      <c r="B53" s="103" t="s">
        <v>660</v>
      </c>
      <c r="C53" s="103" t="s">
        <v>204</v>
      </c>
      <c r="D53" s="103" t="s">
        <v>1279</v>
      </c>
      <c r="E53" s="328">
        <f t="shared" ref="E53:E54" si="25">F53</f>
        <v>722076353</v>
      </c>
      <c r="F53" s="462">
        <f>715876450+6199903</f>
        <v>722076353</v>
      </c>
      <c r="G53" s="462">
        <v>586784000</v>
      </c>
      <c r="H53" s="462"/>
      <c r="I53" s="462"/>
      <c r="J53" s="328">
        <f t="shared" ref="J53:J54" si="26">L53+O53</f>
        <v>0</v>
      </c>
      <c r="K53" s="462"/>
      <c r="L53" s="462"/>
      <c r="M53" s="462"/>
      <c r="N53" s="462"/>
      <c r="O53" s="459">
        <f>K53</f>
        <v>0</v>
      </c>
      <c r="P53" s="328">
        <f t="shared" ref="P53:P56" si="27">E53+J53</f>
        <v>722076353</v>
      </c>
      <c r="Q53" s="20"/>
      <c r="R53" s="30"/>
    </row>
    <row r="54" spans="1:20" ht="93" thickTop="1" thickBot="1" x14ac:dyDescent="0.25">
      <c r="A54" s="103" t="s">
        <v>1130</v>
      </c>
      <c r="B54" s="343" t="s">
        <v>1131</v>
      </c>
      <c r="C54" s="103" t="s">
        <v>207</v>
      </c>
      <c r="D54" s="103" t="s">
        <v>1280</v>
      </c>
      <c r="E54" s="328">
        <f t="shared" si="25"/>
        <v>10990650</v>
      </c>
      <c r="F54" s="554">
        <f>10990650</f>
        <v>10990650</v>
      </c>
      <c r="G54" s="554">
        <v>9008730</v>
      </c>
      <c r="H54" s="554"/>
      <c r="I54" s="554"/>
      <c r="J54" s="328">
        <f t="shared" si="26"/>
        <v>0</v>
      </c>
      <c r="K54" s="554"/>
      <c r="L54" s="554"/>
      <c r="M54" s="554"/>
      <c r="N54" s="554"/>
      <c r="O54" s="555"/>
      <c r="P54" s="328">
        <f t="shared" si="27"/>
        <v>10990650</v>
      </c>
      <c r="Q54" s="20"/>
      <c r="R54" s="30"/>
    </row>
    <row r="55" spans="1:20" ht="276" thickTop="1" thickBot="1" x14ac:dyDescent="0.25">
      <c r="A55" s="566" t="s">
        <v>930</v>
      </c>
      <c r="B55" s="566" t="s">
        <v>50</v>
      </c>
      <c r="C55" s="566"/>
      <c r="D55" s="656" t="s">
        <v>1565</v>
      </c>
      <c r="E55" s="657">
        <f t="shared" ref="E55:O55" si="28">E56</f>
        <v>128512.77</v>
      </c>
      <c r="F55" s="657">
        <f t="shared" si="28"/>
        <v>128512.77</v>
      </c>
      <c r="G55" s="657">
        <f t="shared" si="28"/>
        <v>105342.77</v>
      </c>
      <c r="H55" s="657">
        <f t="shared" si="28"/>
        <v>0</v>
      </c>
      <c r="I55" s="657">
        <f t="shared" si="28"/>
        <v>0</v>
      </c>
      <c r="J55" s="657">
        <f t="shared" si="28"/>
        <v>0</v>
      </c>
      <c r="K55" s="657">
        <f t="shared" si="28"/>
        <v>0</v>
      </c>
      <c r="L55" s="657">
        <f t="shared" si="28"/>
        <v>0</v>
      </c>
      <c r="M55" s="657">
        <f t="shared" si="28"/>
        <v>0</v>
      </c>
      <c r="N55" s="657">
        <f t="shared" si="28"/>
        <v>0</v>
      </c>
      <c r="O55" s="657">
        <f t="shared" si="28"/>
        <v>0</v>
      </c>
      <c r="P55" s="657">
        <f>E55+J55</f>
        <v>128512.77</v>
      </c>
      <c r="Q55" s="20"/>
      <c r="R55" s="30"/>
    </row>
    <row r="56" spans="1:20" ht="276" thickTop="1" thickBot="1" x14ac:dyDescent="0.25">
      <c r="A56" s="103" t="s">
        <v>931</v>
      </c>
      <c r="B56" s="103" t="s">
        <v>932</v>
      </c>
      <c r="C56" s="103" t="s">
        <v>204</v>
      </c>
      <c r="D56" s="103" t="s">
        <v>1566</v>
      </c>
      <c r="E56" s="328">
        <f t="shared" ref="E56" si="29">F56</f>
        <v>128512.77</v>
      </c>
      <c r="F56" s="462">
        <v>128512.77</v>
      </c>
      <c r="G56" s="462">
        <v>105342.77</v>
      </c>
      <c r="H56" s="462"/>
      <c r="I56" s="462"/>
      <c r="J56" s="328">
        <f t="shared" ref="J56" si="30">L56+O56</f>
        <v>0</v>
      </c>
      <c r="K56" s="462"/>
      <c r="L56" s="462"/>
      <c r="M56" s="462"/>
      <c r="N56" s="462"/>
      <c r="O56" s="459">
        <f>K56</f>
        <v>0</v>
      </c>
      <c r="P56" s="328">
        <f t="shared" si="27"/>
        <v>128512.77</v>
      </c>
      <c r="Q56" s="20"/>
      <c r="R56" s="26"/>
    </row>
    <row r="57" spans="1:20" ht="93" thickTop="1" thickBot="1" x14ac:dyDescent="0.25">
      <c r="A57" s="103" t="s">
        <v>661</v>
      </c>
      <c r="B57" s="103" t="s">
        <v>206</v>
      </c>
      <c r="C57" s="103" t="s">
        <v>181</v>
      </c>
      <c r="D57" s="103" t="s">
        <v>499</v>
      </c>
      <c r="E57" s="328">
        <f t="shared" si="23"/>
        <v>38379360</v>
      </c>
      <c r="F57" s="462">
        <f>33713454+543690+17600+529000+174450+2166040+44713+824782+82818+13383+5450+213660+320+50000</f>
        <v>38379360</v>
      </c>
      <c r="G57" s="462">
        <v>27858536</v>
      </c>
      <c r="H57" s="462">
        <f>2166040+44713+824782+82818+13383</f>
        <v>3131736</v>
      </c>
      <c r="I57" s="462"/>
      <c r="J57" s="328">
        <f t="shared" si="20"/>
        <v>1103660</v>
      </c>
      <c r="K57" s="462"/>
      <c r="L57" s="462">
        <v>745660</v>
      </c>
      <c r="M57" s="462">
        <v>38710</v>
      </c>
      <c r="N57" s="462">
        <v>117220</v>
      </c>
      <c r="O57" s="459">
        <f>(K57+358000)</f>
        <v>358000</v>
      </c>
      <c r="P57" s="328">
        <f t="shared" si="21"/>
        <v>39483020</v>
      </c>
      <c r="Q57" s="20"/>
      <c r="R57" s="26"/>
    </row>
    <row r="58" spans="1:20" ht="93" thickTop="1" thickBot="1" x14ac:dyDescent="0.25">
      <c r="A58" s="329" t="s">
        <v>208</v>
      </c>
      <c r="B58" s="329" t="s">
        <v>191</v>
      </c>
      <c r="C58" s="329"/>
      <c r="D58" s="329" t="s">
        <v>500</v>
      </c>
      <c r="E58" s="325">
        <f>E59+E60</f>
        <v>191916098</v>
      </c>
      <c r="F58" s="325">
        <f t="shared" ref="F58:O58" si="31">F59+F60</f>
        <v>191916098</v>
      </c>
      <c r="G58" s="325">
        <f t="shared" si="31"/>
        <v>104778899</v>
      </c>
      <c r="H58" s="325">
        <f t="shared" si="31"/>
        <v>22827390</v>
      </c>
      <c r="I58" s="325">
        <f t="shared" si="31"/>
        <v>0</v>
      </c>
      <c r="J58" s="325">
        <f t="shared" si="31"/>
        <v>35338060</v>
      </c>
      <c r="K58" s="325">
        <f t="shared" si="31"/>
        <v>300000</v>
      </c>
      <c r="L58" s="325">
        <f t="shared" si="31"/>
        <v>34808060</v>
      </c>
      <c r="M58" s="325">
        <f t="shared" si="31"/>
        <v>11591870</v>
      </c>
      <c r="N58" s="325">
        <f t="shared" si="31"/>
        <v>10739700</v>
      </c>
      <c r="O58" s="325">
        <f t="shared" si="31"/>
        <v>530000</v>
      </c>
      <c r="P58" s="325">
        <f t="shared" si="21"/>
        <v>227254158</v>
      </c>
      <c r="Q58" s="20"/>
      <c r="R58" s="35"/>
    </row>
    <row r="59" spans="1:20" ht="93" thickTop="1" thickBot="1" x14ac:dyDescent="0.25">
      <c r="A59" s="103" t="s">
        <v>662</v>
      </c>
      <c r="B59" s="103" t="s">
        <v>663</v>
      </c>
      <c r="C59" s="103" t="s">
        <v>209</v>
      </c>
      <c r="D59" s="103" t="s">
        <v>664</v>
      </c>
      <c r="E59" s="328">
        <f t="shared" si="23"/>
        <v>166185698</v>
      </c>
      <c r="F59" s="462">
        <f>(101133046+711000+25000+4069410+483100+16326800+992240+5308000+23350+177000+16850+35311000+1193040+50000)+365862</f>
        <v>166185698</v>
      </c>
      <c r="G59" s="462">
        <v>83514099</v>
      </c>
      <c r="H59" s="462">
        <f>16326800+992240+5308000+23350+177000</f>
        <v>22827390</v>
      </c>
      <c r="I59" s="462"/>
      <c r="J59" s="328">
        <f>L59+O59</f>
        <v>35338060</v>
      </c>
      <c r="K59" s="462">
        <f>300000</f>
        <v>300000</v>
      </c>
      <c r="L59" s="462">
        <v>34808060</v>
      </c>
      <c r="M59" s="462">
        <v>11591870</v>
      </c>
      <c r="N59" s="462">
        <v>10739700</v>
      </c>
      <c r="O59" s="459">
        <f>(K59+230000)</f>
        <v>530000</v>
      </c>
      <c r="P59" s="328">
        <f t="shared" si="21"/>
        <v>201523758</v>
      </c>
      <c r="Q59" s="20"/>
      <c r="R59" s="26"/>
    </row>
    <row r="60" spans="1:20" ht="93" thickTop="1" thickBot="1" x14ac:dyDescent="0.25">
      <c r="A60" s="103" t="s">
        <v>666</v>
      </c>
      <c r="B60" s="103" t="s">
        <v>665</v>
      </c>
      <c r="C60" s="103" t="s">
        <v>209</v>
      </c>
      <c r="D60" s="103" t="s">
        <v>667</v>
      </c>
      <c r="E60" s="328">
        <f t="shared" si="23"/>
        <v>25730400</v>
      </c>
      <c r="F60" s="462">
        <f>25730400</f>
        <v>25730400</v>
      </c>
      <c r="G60" s="462">
        <v>21264800</v>
      </c>
      <c r="H60" s="462"/>
      <c r="I60" s="462"/>
      <c r="J60" s="328">
        <f>L60+O60</f>
        <v>0</v>
      </c>
      <c r="K60" s="462"/>
      <c r="L60" s="462"/>
      <c r="M60" s="462"/>
      <c r="N60" s="462"/>
      <c r="O60" s="459"/>
      <c r="P60" s="328">
        <f t="shared" si="21"/>
        <v>25730400</v>
      </c>
      <c r="Q60" s="20"/>
      <c r="R60" s="30"/>
    </row>
    <row r="61" spans="1:20" ht="48" thickTop="1" thickBot="1" x14ac:dyDescent="0.25">
      <c r="A61" s="329" t="s">
        <v>669</v>
      </c>
      <c r="B61" s="329" t="s">
        <v>668</v>
      </c>
      <c r="C61" s="329"/>
      <c r="D61" s="329" t="s">
        <v>670</v>
      </c>
      <c r="E61" s="325">
        <f>E62+E63</f>
        <v>28084454</v>
      </c>
      <c r="F61" s="325">
        <f t="shared" ref="F61:O61" si="32">F62+F63</f>
        <v>28084454</v>
      </c>
      <c r="G61" s="325">
        <f t="shared" si="32"/>
        <v>18564976</v>
      </c>
      <c r="H61" s="325">
        <f t="shared" si="32"/>
        <v>1790626</v>
      </c>
      <c r="I61" s="325">
        <f t="shared" si="32"/>
        <v>0</v>
      </c>
      <c r="J61" s="325">
        <f t="shared" si="32"/>
        <v>511840</v>
      </c>
      <c r="K61" s="325">
        <f t="shared" si="32"/>
        <v>300000</v>
      </c>
      <c r="L61" s="325">
        <f t="shared" si="32"/>
        <v>211840</v>
      </c>
      <c r="M61" s="325">
        <f t="shared" si="32"/>
        <v>0</v>
      </c>
      <c r="N61" s="325">
        <f t="shared" si="32"/>
        <v>0</v>
      </c>
      <c r="O61" s="325">
        <f t="shared" si="32"/>
        <v>300000</v>
      </c>
      <c r="P61" s="325">
        <f>E61+J61</f>
        <v>28596294</v>
      </c>
      <c r="Q61" s="20"/>
      <c r="R61" s="35"/>
    </row>
    <row r="62" spans="1:20" ht="48" thickTop="1" thickBot="1" x14ac:dyDescent="0.25">
      <c r="A62" s="103" t="s">
        <v>671</v>
      </c>
      <c r="B62" s="103" t="s">
        <v>672</v>
      </c>
      <c r="C62" s="103" t="s">
        <v>210</v>
      </c>
      <c r="D62" s="103" t="s">
        <v>501</v>
      </c>
      <c r="E62" s="328">
        <f>F62</f>
        <v>27550154</v>
      </c>
      <c r="F62" s="462">
        <f>(19846132+754290+2035+1354150+1028432+15761+726715+19718+1550+100000)+2560000+98632+1042739</f>
        <v>27550154</v>
      </c>
      <c r="G62" s="462">
        <f>(16464976)+2100000</f>
        <v>18564976</v>
      </c>
      <c r="H62" s="462">
        <f>1028432+15761+726715+19718</f>
        <v>1790626</v>
      </c>
      <c r="I62" s="462"/>
      <c r="J62" s="328">
        <f>L62+O62</f>
        <v>511840</v>
      </c>
      <c r="K62" s="462">
        <f>300000</f>
        <v>300000</v>
      </c>
      <c r="L62" s="462">
        <v>211840</v>
      </c>
      <c r="M62" s="462"/>
      <c r="N62" s="462"/>
      <c r="O62" s="459">
        <f>K62</f>
        <v>300000</v>
      </c>
      <c r="P62" s="328">
        <f>E62+J62</f>
        <v>28061994</v>
      </c>
      <c r="Q62" s="20"/>
      <c r="R62" s="30"/>
    </row>
    <row r="63" spans="1:20" ht="48" thickTop="1" thickBot="1" x14ac:dyDescent="0.25">
      <c r="A63" s="103" t="s">
        <v>673</v>
      </c>
      <c r="B63" s="103" t="s">
        <v>674</v>
      </c>
      <c r="C63" s="103" t="s">
        <v>210</v>
      </c>
      <c r="D63" s="103" t="s">
        <v>337</v>
      </c>
      <c r="E63" s="328">
        <f>F63</f>
        <v>534300</v>
      </c>
      <c r="F63" s="462">
        <v>534300</v>
      </c>
      <c r="G63" s="462"/>
      <c r="H63" s="462"/>
      <c r="I63" s="462"/>
      <c r="J63" s="328">
        <f>L63+O63</f>
        <v>0</v>
      </c>
      <c r="K63" s="462"/>
      <c r="L63" s="462"/>
      <c r="M63" s="462"/>
      <c r="N63" s="462"/>
      <c r="O63" s="459">
        <f>K63</f>
        <v>0</v>
      </c>
      <c r="P63" s="328">
        <f>E63+J63</f>
        <v>534300</v>
      </c>
      <c r="Q63" s="20"/>
      <c r="R63" s="30"/>
    </row>
    <row r="64" spans="1:20" ht="48" thickTop="1" thickBot="1" x14ac:dyDescent="0.25">
      <c r="A64" s="329" t="s">
        <v>675</v>
      </c>
      <c r="B64" s="329" t="s">
        <v>676</v>
      </c>
      <c r="C64" s="329"/>
      <c r="D64" s="329" t="s">
        <v>429</v>
      </c>
      <c r="E64" s="325">
        <f>E65+E66</f>
        <v>6041423</v>
      </c>
      <c r="F64" s="325">
        <f>F65+F66</f>
        <v>6041423</v>
      </c>
      <c r="G64" s="325">
        <f t="shared" ref="G64:O64" si="33">G65+G66</f>
        <v>4611970</v>
      </c>
      <c r="H64" s="325">
        <f t="shared" si="33"/>
        <v>156942</v>
      </c>
      <c r="I64" s="325">
        <f t="shared" si="33"/>
        <v>0</v>
      </c>
      <c r="J64" s="325">
        <f t="shared" si="33"/>
        <v>0</v>
      </c>
      <c r="K64" s="325">
        <f t="shared" si="33"/>
        <v>0</v>
      </c>
      <c r="L64" s="325">
        <f t="shared" si="33"/>
        <v>0</v>
      </c>
      <c r="M64" s="325">
        <f t="shared" si="33"/>
        <v>0</v>
      </c>
      <c r="N64" s="325">
        <f t="shared" si="33"/>
        <v>0</v>
      </c>
      <c r="O64" s="325">
        <f t="shared" si="33"/>
        <v>0</v>
      </c>
      <c r="P64" s="325">
        <f>E64+J64</f>
        <v>6041423</v>
      </c>
      <c r="Q64" s="20"/>
      <c r="R64" s="35"/>
    </row>
    <row r="65" spans="1:18" ht="93" thickTop="1" thickBot="1" x14ac:dyDescent="0.25">
      <c r="A65" s="103" t="s">
        <v>677</v>
      </c>
      <c r="B65" s="103" t="s">
        <v>678</v>
      </c>
      <c r="C65" s="103" t="s">
        <v>210</v>
      </c>
      <c r="D65" s="103" t="s">
        <v>679</v>
      </c>
      <c r="E65" s="328">
        <f>F65</f>
        <v>1114123</v>
      </c>
      <c r="F65" s="462">
        <f>694997+184000+3254+67900+5480+126800+3835+24307+2000+1550</f>
        <v>1114123</v>
      </c>
      <c r="G65" s="462">
        <v>573200</v>
      </c>
      <c r="H65" s="462">
        <f>126800+3835+24307+2000</f>
        <v>156942</v>
      </c>
      <c r="I65" s="462"/>
      <c r="J65" s="328">
        <f>L65+O65</f>
        <v>0</v>
      </c>
      <c r="K65" s="462"/>
      <c r="L65" s="462"/>
      <c r="M65" s="462"/>
      <c r="N65" s="462"/>
      <c r="O65" s="459">
        <f>K65</f>
        <v>0</v>
      </c>
      <c r="P65" s="328">
        <f>E65+J65</f>
        <v>1114123</v>
      </c>
      <c r="Q65" s="20"/>
      <c r="R65" s="26"/>
    </row>
    <row r="66" spans="1:18" ht="93" thickTop="1" thickBot="1" x14ac:dyDescent="0.25">
      <c r="A66" s="103" t="s">
        <v>680</v>
      </c>
      <c r="B66" s="103" t="s">
        <v>681</v>
      </c>
      <c r="C66" s="103" t="s">
        <v>210</v>
      </c>
      <c r="D66" s="103" t="s">
        <v>682</v>
      </c>
      <c r="E66" s="328">
        <f>F66</f>
        <v>4927300</v>
      </c>
      <c r="F66" s="462">
        <f>4927300</f>
        <v>4927300</v>
      </c>
      <c r="G66" s="462">
        <v>4038770</v>
      </c>
      <c r="H66" s="462"/>
      <c r="I66" s="462"/>
      <c r="J66" s="328">
        <f t="shared" ref="J66:J67" si="34">L66+O66</f>
        <v>0</v>
      </c>
      <c r="K66" s="462"/>
      <c r="L66" s="462"/>
      <c r="M66" s="462"/>
      <c r="N66" s="462"/>
      <c r="O66" s="459">
        <f t="shared" ref="O66:O67" si="35">K66</f>
        <v>0</v>
      </c>
      <c r="P66" s="328">
        <f t="shared" ref="P66:P73" si="36">E66+J66</f>
        <v>4927300</v>
      </c>
      <c r="Q66" s="20"/>
      <c r="R66" s="30"/>
    </row>
    <row r="67" spans="1:18" ht="93" thickTop="1" thickBot="1" x14ac:dyDescent="0.25">
      <c r="A67" s="103" t="s">
        <v>647</v>
      </c>
      <c r="B67" s="103" t="s">
        <v>648</v>
      </c>
      <c r="C67" s="103" t="s">
        <v>210</v>
      </c>
      <c r="D67" s="103" t="s">
        <v>649</v>
      </c>
      <c r="E67" s="328">
        <f t="shared" ref="E67:E91" si="37">F67</f>
        <v>4021213</v>
      </c>
      <c r="F67" s="462">
        <f>3648277+246000+47200+10970+37890+5200+24476+800+400</f>
        <v>4021213</v>
      </c>
      <c r="G67" s="462">
        <v>2990391</v>
      </c>
      <c r="H67" s="462">
        <f>37890+5200+24476+800</f>
        <v>68366</v>
      </c>
      <c r="I67" s="462"/>
      <c r="J67" s="328">
        <f t="shared" si="34"/>
        <v>0</v>
      </c>
      <c r="K67" s="462"/>
      <c r="L67" s="462"/>
      <c r="M67" s="462"/>
      <c r="N67" s="462"/>
      <c r="O67" s="459">
        <f t="shared" si="35"/>
        <v>0</v>
      </c>
      <c r="P67" s="328">
        <f t="shared" si="36"/>
        <v>4021213</v>
      </c>
      <c r="Q67" s="20"/>
      <c r="R67" s="26"/>
    </row>
    <row r="68" spans="1:18" s="33" customFormat="1" ht="93" hidden="1" thickTop="1" thickBot="1" x14ac:dyDescent="0.25">
      <c r="A68" s="144" t="s">
        <v>652</v>
      </c>
      <c r="B68" s="144" t="s">
        <v>653</v>
      </c>
      <c r="C68" s="144"/>
      <c r="D68" s="144" t="s">
        <v>654</v>
      </c>
      <c r="E68" s="145">
        <f t="shared" si="37"/>
        <v>0</v>
      </c>
      <c r="F68" s="145">
        <f>SUM(F69:F70)</f>
        <v>0</v>
      </c>
      <c r="G68" s="145">
        <f t="shared" ref="G68:I68" si="38">SUM(G69:G70)</f>
        <v>0</v>
      </c>
      <c r="H68" s="145">
        <f t="shared" si="38"/>
        <v>0</v>
      </c>
      <c r="I68" s="145">
        <f t="shared" si="38"/>
        <v>0</v>
      </c>
      <c r="J68" s="145">
        <f t="shared" si="20"/>
        <v>0</v>
      </c>
      <c r="K68" s="141">
        <f>SUM(K69:K70)</f>
        <v>0</v>
      </c>
      <c r="L68" s="145">
        <f t="shared" ref="L68:N68" si="39">SUM(L69:L70)</f>
        <v>0</v>
      </c>
      <c r="M68" s="145">
        <f t="shared" si="39"/>
        <v>0</v>
      </c>
      <c r="N68" s="145">
        <f t="shared" si="39"/>
        <v>0</v>
      </c>
      <c r="O68" s="145">
        <f>SUM(O69:O70)</f>
        <v>0</v>
      </c>
      <c r="P68" s="145">
        <f t="shared" si="36"/>
        <v>0</v>
      </c>
      <c r="Q68" s="36"/>
      <c r="R68" s="37"/>
    </row>
    <row r="69" spans="1:18" s="33" customFormat="1" ht="138.75" hidden="1" thickTop="1" thickBot="1" x14ac:dyDescent="0.25">
      <c r="A69" s="41" t="s">
        <v>655</v>
      </c>
      <c r="B69" s="41" t="s">
        <v>656</v>
      </c>
      <c r="C69" s="41" t="s">
        <v>210</v>
      </c>
      <c r="D69" s="41" t="s">
        <v>657</v>
      </c>
      <c r="E69" s="42">
        <f t="shared" si="37"/>
        <v>0</v>
      </c>
      <c r="F69" s="43"/>
      <c r="G69" s="43"/>
      <c r="H69" s="43"/>
      <c r="I69" s="43"/>
      <c r="J69" s="42">
        <f t="shared" si="20"/>
        <v>0</v>
      </c>
      <c r="K69" s="134"/>
      <c r="L69" s="43"/>
      <c r="M69" s="43"/>
      <c r="N69" s="43"/>
      <c r="O69" s="44">
        <f t="shared" ref="O69:O70" si="40">K69</f>
        <v>0</v>
      </c>
      <c r="P69" s="42">
        <f t="shared" si="36"/>
        <v>0</v>
      </c>
      <c r="Q69" s="36"/>
      <c r="R69" s="26"/>
    </row>
    <row r="70" spans="1:18" s="33" customFormat="1" ht="138.75" hidden="1" thickTop="1" thickBot="1" x14ac:dyDescent="0.25">
      <c r="A70" s="41" t="s">
        <v>979</v>
      </c>
      <c r="B70" s="41" t="s">
        <v>980</v>
      </c>
      <c r="C70" s="41" t="s">
        <v>210</v>
      </c>
      <c r="D70" s="41" t="s">
        <v>981</v>
      </c>
      <c r="E70" s="42">
        <f t="shared" si="37"/>
        <v>0</v>
      </c>
      <c r="F70" s="43"/>
      <c r="G70" s="43"/>
      <c r="H70" s="43"/>
      <c r="I70" s="43"/>
      <c r="J70" s="42">
        <f t="shared" si="20"/>
        <v>0</v>
      </c>
      <c r="K70" s="134"/>
      <c r="L70" s="43"/>
      <c r="M70" s="43"/>
      <c r="N70" s="43"/>
      <c r="O70" s="44">
        <f t="shared" si="40"/>
        <v>0</v>
      </c>
      <c r="P70" s="42">
        <f t="shared" si="36"/>
        <v>0</v>
      </c>
      <c r="Q70" s="36"/>
      <c r="R70" s="26"/>
    </row>
    <row r="71" spans="1:18" s="33" customFormat="1" ht="184.5" hidden="1" thickTop="1" thickBot="1" x14ac:dyDescent="0.25">
      <c r="A71" s="144" t="s">
        <v>998</v>
      </c>
      <c r="B71" s="144" t="s">
        <v>1000</v>
      </c>
      <c r="C71" s="144"/>
      <c r="D71" s="144" t="s">
        <v>1002</v>
      </c>
      <c r="E71" s="145">
        <f>E72+E73</f>
        <v>0</v>
      </c>
      <c r="F71" s="145">
        <f>F72+F73</f>
        <v>0</v>
      </c>
      <c r="G71" s="145">
        <f t="shared" ref="G71:I71" si="41">G72+G73</f>
        <v>0</v>
      </c>
      <c r="H71" s="145">
        <f t="shared" si="41"/>
        <v>0</v>
      </c>
      <c r="I71" s="145">
        <f t="shared" si="41"/>
        <v>0</v>
      </c>
      <c r="J71" s="145">
        <f>L71+O71</f>
        <v>0</v>
      </c>
      <c r="K71" s="141">
        <f t="shared" ref="K71:O71" si="42">K72+K73</f>
        <v>0</v>
      </c>
      <c r="L71" s="145">
        <f t="shared" si="42"/>
        <v>0</v>
      </c>
      <c r="M71" s="145">
        <f t="shared" si="42"/>
        <v>0</v>
      </c>
      <c r="N71" s="145">
        <f t="shared" si="42"/>
        <v>0</v>
      </c>
      <c r="O71" s="145">
        <f t="shared" si="42"/>
        <v>0</v>
      </c>
      <c r="P71" s="145">
        <f t="shared" si="36"/>
        <v>0</v>
      </c>
      <c r="Q71" s="36"/>
      <c r="R71" s="26"/>
    </row>
    <row r="72" spans="1:18" s="33" customFormat="1" ht="230.25" hidden="1" thickTop="1" thickBot="1" x14ac:dyDescent="0.25">
      <c r="A72" s="41" t="s">
        <v>999</v>
      </c>
      <c r="B72" s="41" t="s">
        <v>1001</v>
      </c>
      <c r="C72" s="41" t="s">
        <v>210</v>
      </c>
      <c r="D72" s="41" t="s">
        <v>1003</v>
      </c>
      <c r="E72" s="42">
        <f t="shared" ref="E72:E73" si="43">F72</f>
        <v>0</v>
      </c>
      <c r="F72" s="43"/>
      <c r="G72" s="43"/>
      <c r="H72" s="43"/>
      <c r="I72" s="43"/>
      <c r="J72" s="42">
        <f t="shared" ref="J72:J73" si="44">L72+O72</f>
        <v>0</v>
      </c>
      <c r="K72" s="134">
        <f>4547046.18-4547046.18</f>
        <v>0</v>
      </c>
      <c r="L72" s="43"/>
      <c r="M72" s="43"/>
      <c r="N72" s="43"/>
      <c r="O72" s="44">
        <f t="shared" ref="O72:O73" si="45">K72</f>
        <v>0</v>
      </c>
      <c r="P72" s="42">
        <f t="shared" si="36"/>
        <v>0</v>
      </c>
      <c r="Q72" s="36"/>
      <c r="R72" s="26"/>
    </row>
    <row r="73" spans="1:18" s="33" customFormat="1" ht="46.5" hidden="1" thickTop="1" thickBot="1" x14ac:dyDescent="0.25">
      <c r="A73" s="777" t="s">
        <v>1017</v>
      </c>
      <c r="B73" s="777" t="s">
        <v>1018</v>
      </c>
      <c r="C73" s="777" t="s">
        <v>210</v>
      </c>
      <c r="D73" s="777" t="s">
        <v>1019</v>
      </c>
      <c r="E73" s="771">
        <f t="shared" si="43"/>
        <v>0</v>
      </c>
      <c r="F73" s="771"/>
      <c r="G73" s="771"/>
      <c r="H73" s="771"/>
      <c r="I73" s="771"/>
      <c r="J73" s="771">
        <f t="shared" si="44"/>
        <v>0</v>
      </c>
      <c r="K73" s="788">
        <f>10623233.82-10623233.82</f>
        <v>0</v>
      </c>
      <c r="L73" s="771"/>
      <c r="M73" s="771"/>
      <c r="N73" s="771"/>
      <c r="O73" s="774">
        <f t="shared" si="45"/>
        <v>0</v>
      </c>
      <c r="P73" s="771">
        <f t="shared" si="36"/>
        <v>0</v>
      </c>
      <c r="Q73" s="36"/>
      <c r="R73" s="26"/>
    </row>
    <row r="74" spans="1:18" s="33" customFormat="1" ht="46.5" hidden="1" thickTop="1" thickBot="1" x14ac:dyDescent="0.25">
      <c r="A74" s="773"/>
      <c r="B74" s="773"/>
      <c r="C74" s="773"/>
      <c r="D74" s="773"/>
      <c r="E74" s="773"/>
      <c r="F74" s="773"/>
      <c r="G74" s="773"/>
      <c r="H74" s="773"/>
      <c r="I74" s="773"/>
      <c r="J74" s="773"/>
      <c r="K74" s="780"/>
      <c r="L74" s="773"/>
      <c r="M74" s="773"/>
      <c r="N74" s="773"/>
      <c r="O74" s="773"/>
      <c r="P74" s="773"/>
      <c r="Q74" s="36"/>
      <c r="R74" s="26"/>
    </row>
    <row r="75" spans="1:18" s="33" customFormat="1" ht="138.75" hidden="1" thickTop="1" thickBot="1" x14ac:dyDescent="0.25">
      <c r="A75" s="128" t="s">
        <v>644</v>
      </c>
      <c r="B75" s="128" t="s">
        <v>645</v>
      </c>
      <c r="C75" s="128" t="s">
        <v>210</v>
      </c>
      <c r="D75" s="128" t="s">
        <v>646</v>
      </c>
      <c r="E75" s="127">
        <f t="shared" si="37"/>
        <v>0</v>
      </c>
      <c r="F75" s="134">
        <v>0</v>
      </c>
      <c r="G75" s="134">
        <v>0</v>
      </c>
      <c r="H75" s="134"/>
      <c r="I75" s="134"/>
      <c r="J75" s="127">
        <f t="shared" ref="J75:J76" si="46">L75+O75</f>
        <v>0</v>
      </c>
      <c r="K75" s="134"/>
      <c r="L75" s="134"/>
      <c r="M75" s="134"/>
      <c r="N75" s="134"/>
      <c r="O75" s="132">
        <f t="shared" ref="O75:O76" si="47">K75</f>
        <v>0</v>
      </c>
      <c r="P75" s="127">
        <f t="shared" ref="P75:P76" si="48">E75+J75</f>
        <v>0</v>
      </c>
      <c r="Q75" s="36"/>
      <c r="R75" s="26"/>
    </row>
    <row r="76" spans="1:18" s="33" customFormat="1" ht="138.75" hidden="1" thickTop="1" thickBot="1" x14ac:dyDescent="0.25">
      <c r="A76" s="128" t="s">
        <v>941</v>
      </c>
      <c r="B76" s="128" t="s">
        <v>942</v>
      </c>
      <c r="C76" s="128" t="s">
        <v>210</v>
      </c>
      <c r="D76" s="128" t="s">
        <v>1449</v>
      </c>
      <c r="E76" s="127">
        <f t="shared" si="37"/>
        <v>0</v>
      </c>
      <c r="F76" s="134"/>
      <c r="G76" s="134"/>
      <c r="H76" s="134"/>
      <c r="I76" s="134"/>
      <c r="J76" s="127">
        <f t="shared" si="46"/>
        <v>0</v>
      </c>
      <c r="K76" s="134">
        <v>0</v>
      </c>
      <c r="L76" s="134"/>
      <c r="M76" s="134"/>
      <c r="N76" s="134"/>
      <c r="O76" s="132">
        <f t="shared" si="47"/>
        <v>0</v>
      </c>
      <c r="P76" s="127">
        <f t="shared" si="48"/>
        <v>0</v>
      </c>
      <c r="Q76" s="36"/>
      <c r="R76" s="26"/>
    </row>
    <row r="77" spans="1:18" s="33" customFormat="1" ht="93" hidden="1" thickTop="1" thickBot="1" x14ac:dyDescent="0.25">
      <c r="A77" s="140" t="s">
        <v>1004</v>
      </c>
      <c r="B77" s="140" t="s">
        <v>1006</v>
      </c>
      <c r="C77" s="140"/>
      <c r="D77" s="140" t="s">
        <v>1441</v>
      </c>
      <c r="E77" s="141">
        <f>F77</f>
        <v>0</v>
      </c>
      <c r="F77" s="141">
        <f>SUM(F78:F79)</f>
        <v>0</v>
      </c>
      <c r="G77" s="141">
        <f>SUM(G78:G79)</f>
        <v>0</v>
      </c>
      <c r="H77" s="141">
        <f>SUM(H78:H79)</f>
        <v>0</v>
      </c>
      <c r="I77" s="141">
        <f>SUM(I78:I79)</f>
        <v>0</v>
      </c>
      <c r="J77" s="141">
        <f>L77+O77</f>
        <v>0</v>
      </c>
      <c r="K77" s="141">
        <f>SUM(K78:K79)</f>
        <v>0</v>
      </c>
      <c r="L77" s="141">
        <f>SUM(L78:L79)</f>
        <v>0</v>
      </c>
      <c r="M77" s="141">
        <f>SUM(M78:M79)</f>
        <v>0</v>
      </c>
      <c r="N77" s="141">
        <f>SUM(N78:N79)</f>
        <v>0</v>
      </c>
      <c r="O77" s="141">
        <f>SUM(O78:O79)</f>
        <v>0</v>
      </c>
      <c r="P77" s="141">
        <f>E77+J77</f>
        <v>0</v>
      </c>
      <c r="Q77" s="36"/>
      <c r="R77" s="26"/>
    </row>
    <row r="78" spans="1:18" s="33" customFormat="1" ht="138.75" hidden="1" thickTop="1" thickBot="1" x14ac:dyDescent="0.25">
      <c r="A78" s="128" t="s">
        <v>1005</v>
      </c>
      <c r="B78" s="128" t="s">
        <v>1007</v>
      </c>
      <c r="C78" s="128" t="s">
        <v>210</v>
      </c>
      <c r="D78" s="128" t="s">
        <v>1251</v>
      </c>
      <c r="E78" s="127">
        <f>F78</f>
        <v>0</v>
      </c>
      <c r="F78" s="134"/>
      <c r="G78" s="134"/>
      <c r="H78" s="134"/>
      <c r="I78" s="134"/>
      <c r="J78" s="127">
        <f t="shared" ref="J78:J79" si="49">L78+O78</f>
        <v>0</v>
      </c>
      <c r="K78" s="134"/>
      <c r="L78" s="134"/>
      <c r="M78" s="134"/>
      <c r="N78" s="134"/>
      <c r="O78" s="132">
        <f t="shared" ref="O78:O79" si="50">K78</f>
        <v>0</v>
      </c>
      <c r="P78" s="127">
        <f>E78+J78</f>
        <v>0</v>
      </c>
      <c r="Q78" s="36"/>
      <c r="R78" s="26"/>
    </row>
    <row r="79" spans="1:18" s="33" customFormat="1" ht="138.75" hidden="1" thickTop="1" thickBot="1" x14ac:dyDescent="0.25">
      <c r="A79" s="41" t="s">
        <v>1049</v>
      </c>
      <c r="B79" s="41" t="s">
        <v>1050</v>
      </c>
      <c r="C79" s="41" t="s">
        <v>210</v>
      </c>
      <c r="D79" s="41" t="s">
        <v>1048</v>
      </c>
      <c r="E79" s="127">
        <f>F79</f>
        <v>0</v>
      </c>
      <c r="F79" s="134">
        <f>(553900)-553900</f>
        <v>0</v>
      </c>
      <c r="G79" s="134"/>
      <c r="H79" s="134"/>
      <c r="I79" s="134"/>
      <c r="J79" s="127">
        <f t="shared" si="49"/>
        <v>0</v>
      </c>
      <c r="K79" s="134"/>
      <c r="L79" s="43"/>
      <c r="M79" s="43"/>
      <c r="N79" s="43"/>
      <c r="O79" s="44">
        <f t="shared" si="50"/>
        <v>0</v>
      </c>
      <c r="P79" s="42">
        <f>E79+J79</f>
        <v>0</v>
      </c>
      <c r="Q79" s="36"/>
      <c r="R79" s="26"/>
    </row>
    <row r="80" spans="1:18" s="33" customFormat="1" ht="93" thickTop="1" thickBot="1" x14ac:dyDescent="0.25">
      <c r="A80" s="329" t="s">
        <v>1391</v>
      </c>
      <c r="B80" s="329" t="s">
        <v>1392</v>
      </c>
      <c r="C80" s="329"/>
      <c r="D80" s="329" t="s">
        <v>1552</v>
      </c>
      <c r="E80" s="325">
        <f>SUM(E81:E82)</f>
        <v>0</v>
      </c>
      <c r="F80" s="325">
        <f t="shared" ref="F80:P80" si="51">SUM(F81:F82)</f>
        <v>0</v>
      </c>
      <c r="G80" s="325">
        <f t="shared" si="51"/>
        <v>0</v>
      </c>
      <c r="H80" s="325">
        <f t="shared" si="51"/>
        <v>0</v>
      </c>
      <c r="I80" s="325">
        <f t="shared" si="51"/>
        <v>0</v>
      </c>
      <c r="J80" s="325">
        <f t="shared" si="51"/>
        <v>15000000</v>
      </c>
      <c r="K80" s="325">
        <f t="shared" si="51"/>
        <v>15000000</v>
      </c>
      <c r="L80" s="325">
        <f t="shared" si="51"/>
        <v>0</v>
      </c>
      <c r="M80" s="325">
        <f t="shared" si="51"/>
        <v>0</v>
      </c>
      <c r="N80" s="325">
        <f t="shared" si="51"/>
        <v>0</v>
      </c>
      <c r="O80" s="325">
        <f t="shared" si="51"/>
        <v>15000000</v>
      </c>
      <c r="P80" s="325">
        <f t="shared" si="51"/>
        <v>15000000</v>
      </c>
      <c r="Q80" s="36"/>
      <c r="R80" s="26"/>
    </row>
    <row r="81" spans="1:18" s="33" customFormat="1" ht="138.75" thickTop="1" thickBot="1" x14ac:dyDescent="0.25">
      <c r="A81" s="103" t="s">
        <v>1393</v>
      </c>
      <c r="B81" s="103" t="s">
        <v>1394</v>
      </c>
      <c r="C81" s="103" t="s">
        <v>210</v>
      </c>
      <c r="D81" s="103" t="s">
        <v>1553</v>
      </c>
      <c r="E81" s="328">
        <f>F81</f>
        <v>0</v>
      </c>
      <c r="F81" s="462"/>
      <c r="G81" s="462"/>
      <c r="H81" s="462"/>
      <c r="I81" s="462"/>
      <c r="J81" s="328">
        <f t="shared" ref="J81:J82" si="52">L81+O81</f>
        <v>15000000</v>
      </c>
      <c r="K81" s="462">
        <f>(5000000)+10000000</f>
        <v>15000000</v>
      </c>
      <c r="L81" s="462"/>
      <c r="M81" s="462"/>
      <c r="N81" s="462"/>
      <c r="O81" s="459">
        <f t="shared" ref="O81:O82" si="53">K81</f>
        <v>15000000</v>
      </c>
      <c r="P81" s="328">
        <f>E81+J81</f>
        <v>15000000</v>
      </c>
      <c r="Q81" s="36"/>
      <c r="R81" s="26"/>
    </row>
    <row r="82" spans="1:18" s="33" customFormat="1" ht="138.75" hidden="1" thickTop="1" thickBot="1" x14ac:dyDescent="0.25">
      <c r="A82" s="128" t="s">
        <v>1395</v>
      </c>
      <c r="B82" s="128" t="s">
        <v>1396</v>
      </c>
      <c r="C82" s="128" t="s">
        <v>210</v>
      </c>
      <c r="D82" s="128" t="s">
        <v>1397</v>
      </c>
      <c r="E82" s="127">
        <f>F82</f>
        <v>0</v>
      </c>
      <c r="F82" s="134"/>
      <c r="G82" s="134"/>
      <c r="H82" s="134"/>
      <c r="I82" s="134"/>
      <c r="J82" s="127">
        <f t="shared" si="52"/>
        <v>0</v>
      </c>
      <c r="K82" s="134"/>
      <c r="L82" s="134"/>
      <c r="M82" s="134"/>
      <c r="N82" s="134"/>
      <c r="O82" s="132">
        <f t="shared" si="53"/>
        <v>0</v>
      </c>
      <c r="P82" s="127">
        <f>E82+J82</f>
        <v>0</v>
      </c>
      <c r="Q82" s="36"/>
      <c r="R82" s="26"/>
    </row>
    <row r="83" spans="1:18" s="33" customFormat="1" ht="138.75" hidden="1" thickTop="1" thickBot="1" x14ac:dyDescent="0.25">
      <c r="A83" s="140" t="s">
        <v>1462</v>
      </c>
      <c r="B83" s="140" t="s">
        <v>1461</v>
      </c>
      <c r="C83" s="140"/>
      <c r="D83" s="140" t="s">
        <v>1463</v>
      </c>
      <c r="E83" s="141">
        <f>SUM(E84:E85)</f>
        <v>0</v>
      </c>
      <c r="F83" s="141">
        <f t="shared" ref="F83:O83" si="54">SUM(F84:F85)</f>
        <v>0</v>
      </c>
      <c r="G83" s="141">
        <f t="shared" si="54"/>
        <v>0</v>
      </c>
      <c r="H83" s="141">
        <f t="shared" si="54"/>
        <v>0</v>
      </c>
      <c r="I83" s="141">
        <f t="shared" si="54"/>
        <v>0</v>
      </c>
      <c r="J83" s="141">
        <f t="shared" si="54"/>
        <v>0</v>
      </c>
      <c r="K83" s="141">
        <f t="shared" si="54"/>
        <v>0</v>
      </c>
      <c r="L83" s="141">
        <f t="shared" si="54"/>
        <v>0</v>
      </c>
      <c r="M83" s="141">
        <f t="shared" si="54"/>
        <v>0</v>
      </c>
      <c r="N83" s="141">
        <f t="shared" si="54"/>
        <v>0</v>
      </c>
      <c r="O83" s="141">
        <f t="shared" si="54"/>
        <v>0</v>
      </c>
      <c r="P83" s="141">
        <f>SUM(P84:P85)</f>
        <v>0</v>
      </c>
      <c r="Q83" s="36"/>
      <c r="R83" s="26"/>
    </row>
    <row r="84" spans="1:18" s="33" customFormat="1" ht="93" hidden="1" thickTop="1" thickBot="1" x14ac:dyDescent="0.25">
      <c r="A84" s="128" t="s">
        <v>1464</v>
      </c>
      <c r="B84" s="128" t="s">
        <v>1465</v>
      </c>
      <c r="C84" s="128" t="s">
        <v>210</v>
      </c>
      <c r="D84" s="128" t="s">
        <v>1469</v>
      </c>
      <c r="E84" s="127">
        <f t="shared" ref="E84:E85" si="55">F84</f>
        <v>0</v>
      </c>
      <c r="F84" s="134">
        <v>0</v>
      </c>
      <c r="G84" s="134"/>
      <c r="H84" s="134"/>
      <c r="I84" s="134"/>
      <c r="J84" s="127">
        <f t="shared" ref="J84:J85" si="56">L84+O84</f>
        <v>0</v>
      </c>
      <c r="K84" s="134"/>
      <c r="L84" s="134"/>
      <c r="M84" s="134"/>
      <c r="N84" s="134"/>
      <c r="O84" s="132">
        <f t="shared" ref="O84" si="57">K84</f>
        <v>0</v>
      </c>
      <c r="P84" s="127">
        <f t="shared" ref="P84:P85" si="58">E84+J84</f>
        <v>0</v>
      </c>
      <c r="Q84" s="36"/>
      <c r="R84" s="26"/>
    </row>
    <row r="85" spans="1:18" s="33" customFormat="1" ht="138.75" hidden="1" thickTop="1" thickBot="1" x14ac:dyDescent="0.25">
      <c r="A85" s="128" t="s">
        <v>1466</v>
      </c>
      <c r="B85" s="128" t="s">
        <v>1467</v>
      </c>
      <c r="C85" s="128" t="s">
        <v>210</v>
      </c>
      <c r="D85" s="128" t="s">
        <v>1468</v>
      </c>
      <c r="E85" s="127">
        <f t="shared" si="55"/>
        <v>0</v>
      </c>
      <c r="F85" s="134"/>
      <c r="G85" s="134"/>
      <c r="H85" s="134"/>
      <c r="I85" s="134"/>
      <c r="J85" s="127">
        <f t="shared" si="56"/>
        <v>0</v>
      </c>
      <c r="K85" s="134"/>
      <c r="L85" s="134"/>
      <c r="M85" s="134"/>
      <c r="N85" s="134"/>
      <c r="O85" s="132">
        <f>K85</f>
        <v>0</v>
      </c>
      <c r="P85" s="127">
        <f t="shared" si="58"/>
        <v>0</v>
      </c>
      <c r="Q85" s="36"/>
      <c r="R85" s="26"/>
    </row>
    <row r="86" spans="1:18" s="33" customFormat="1" ht="184.5" thickTop="1" thickBot="1" x14ac:dyDescent="0.25">
      <c r="A86" s="329" t="s">
        <v>1568</v>
      </c>
      <c r="B86" s="329" t="s">
        <v>1570</v>
      </c>
      <c r="C86" s="128"/>
      <c r="D86" s="329" t="s">
        <v>1567</v>
      </c>
      <c r="E86" s="325">
        <f>SUM(E87:E88)</f>
        <v>2032.85</v>
      </c>
      <c r="F86" s="325">
        <f t="shared" ref="F86:P86" si="59">SUM(F87:F88)</f>
        <v>2032.85</v>
      </c>
      <c r="G86" s="325">
        <f t="shared" si="59"/>
        <v>0</v>
      </c>
      <c r="H86" s="325">
        <f t="shared" si="59"/>
        <v>0</v>
      </c>
      <c r="I86" s="325">
        <f t="shared" si="59"/>
        <v>0</v>
      </c>
      <c r="J86" s="325">
        <f t="shared" si="59"/>
        <v>819393.15</v>
      </c>
      <c r="K86" s="325">
        <f t="shared" si="59"/>
        <v>150704</v>
      </c>
      <c r="L86" s="325">
        <f t="shared" si="59"/>
        <v>4737.1499999999996</v>
      </c>
      <c r="M86" s="325">
        <f t="shared" si="59"/>
        <v>0</v>
      </c>
      <c r="N86" s="325">
        <f t="shared" si="59"/>
        <v>0</v>
      </c>
      <c r="O86" s="325">
        <f t="shared" si="59"/>
        <v>814656</v>
      </c>
      <c r="P86" s="325">
        <f t="shared" si="59"/>
        <v>821426</v>
      </c>
      <c r="Q86" s="36"/>
      <c r="R86" s="26"/>
    </row>
    <row r="87" spans="1:18" s="33" customFormat="1" ht="230.25" thickTop="1" thickBot="1" x14ac:dyDescent="0.25">
      <c r="A87" s="103" t="s">
        <v>1571</v>
      </c>
      <c r="B87" s="103" t="s">
        <v>1569</v>
      </c>
      <c r="C87" s="103" t="s">
        <v>210</v>
      </c>
      <c r="D87" s="103" t="s">
        <v>1572</v>
      </c>
      <c r="E87" s="328">
        <f>F87</f>
        <v>2032.85</v>
      </c>
      <c r="F87" s="462">
        <v>2032.85</v>
      </c>
      <c r="G87" s="462"/>
      <c r="H87" s="462"/>
      <c r="I87" s="462"/>
      <c r="J87" s="328">
        <f t="shared" ref="J87:J88" si="60">L87+O87</f>
        <v>150704</v>
      </c>
      <c r="K87" s="462">
        <v>150704</v>
      </c>
      <c r="L87" s="462"/>
      <c r="M87" s="462"/>
      <c r="N87" s="462"/>
      <c r="O87" s="459">
        <f t="shared" ref="O87" si="61">K87</f>
        <v>150704</v>
      </c>
      <c r="P87" s="328">
        <f>E87+J87</f>
        <v>152736.85</v>
      </c>
      <c r="Q87" s="36"/>
      <c r="R87" s="26"/>
    </row>
    <row r="88" spans="1:18" s="33" customFormat="1" ht="219" customHeight="1" thickTop="1" thickBot="1" x14ac:dyDescent="0.25">
      <c r="A88" s="103" t="s">
        <v>1573</v>
      </c>
      <c r="B88" s="103" t="s">
        <v>1574</v>
      </c>
      <c r="C88" s="103" t="s">
        <v>210</v>
      </c>
      <c r="D88" s="103" t="s">
        <v>1575</v>
      </c>
      <c r="E88" s="328">
        <f>F88</f>
        <v>0</v>
      </c>
      <c r="F88" s="462"/>
      <c r="G88" s="462"/>
      <c r="H88" s="462"/>
      <c r="I88" s="462"/>
      <c r="J88" s="328">
        <f t="shared" si="60"/>
        <v>668689.15</v>
      </c>
      <c r="K88" s="462"/>
      <c r="L88" s="462">
        <v>4737.1499999999996</v>
      </c>
      <c r="M88" s="462"/>
      <c r="N88" s="462"/>
      <c r="O88" s="459">
        <f>K88+663952</f>
        <v>663952</v>
      </c>
      <c r="P88" s="328">
        <f>E88+J88</f>
        <v>668689.15</v>
      </c>
      <c r="Q88" s="36"/>
      <c r="R88" s="26"/>
    </row>
    <row r="89" spans="1:18" s="33" customFormat="1" ht="47.25" thickTop="1" thickBot="1" x14ac:dyDescent="0.25">
      <c r="A89" s="311" t="s">
        <v>710</v>
      </c>
      <c r="B89" s="311" t="s">
        <v>711</v>
      </c>
      <c r="C89" s="311"/>
      <c r="D89" s="311" t="s">
        <v>712</v>
      </c>
      <c r="E89" s="328">
        <f>SUM(E90:E91)</f>
        <v>2474600</v>
      </c>
      <c r="F89" s="328">
        <f t="shared" ref="F89:P89" si="62">SUM(F90:F91)</f>
        <v>2474600</v>
      </c>
      <c r="G89" s="328">
        <f t="shared" si="62"/>
        <v>0</v>
      </c>
      <c r="H89" s="328">
        <f t="shared" si="62"/>
        <v>590600</v>
      </c>
      <c r="I89" s="328">
        <f t="shared" si="62"/>
        <v>0</v>
      </c>
      <c r="J89" s="328">
        <f t="shared" si="62"/>
        <v>0</v>
      </c>
      <c r="K89" s="328">
        <f t="shared" si="62"/>
        <v>0</v>
      </c>
      <c r="L89" s="328">
        <f t="shared" si="62"/>
        <v>0</v>
      </c>
      <c r="M89" s="328">
        <f t="shared" si="62"/>
        <v>0</v>
      </c>
      <c r="N89" s="328">
        <f t="shared" si="62"/>
        <v>0</v>
      </c>
      <c r="O89" s="328">
        <f t="shared" si="62"/>
        <v>0</v>
      </c>
      <c r="P89" s="328">
        <f t="shared" si="62"/>
        <v>2474600</v>
      </c>
      <c r="Q89" s="36"/>
      <c r="R89" s="26"/>
    </row>
    <row r="90" spans="1:18" s="33" customFormat="1" ht="167.25" customHeight="1" thickTop="1" thickBot="1" x14ac:dyDescent="0.25">
      <c r="A90" s="103" t="s">
        <v>431</v>
      </c>
      <c r="B90" s="103" t="s">
        <v>432</v>
      </c>
      <c r="C90" s="103" t="s">
        <v>185</v>
      </c>
      <c r="D90" s="103" t="s">
        <v>430</v>
      </c>
      <c r="E90" s="328">
        <f t="shared" si="37"/>
        <v>715000</v>
      </c>
      <c r="F90" s="462">
        <v>715000</v>
      </c>
      <c r="G90" s="462"/>
      <c r="H90" s="462"/>
      <c r="I90" s="462"/>
      <c r="J90" s="328">
        <f>L90+O90</f>
        <v>0</v>
      </c>
      <c r="K90" s="462"/>
      <c r="L90" s="462"/>
      <c r="M90" s="462"/>
      <c r="N90" s="462"/>
      <c r="O90" s="459">
        <f>K90</f>
        <v>0</v>
      </c>
      <c r="P90" s="328">
        <f>E90+J90</f>
        <v>715000</v>
      </c>
      <c r="Q90" s="36"/>
      <c r="R90" s="39"/>
    </row>
    <row r="91" spans="1:18" s="33" customFormat="1" ht="114.75" customHeight="1" thickTop="1" thickBot="1" x14ac:dyDescent="0.25">
      <c r="A91" s="103" t="s">
        <v>1233</v>
      </c>
      <c r="B91" s="103" t="s">
        <v>1200</v>
      </c>
      <c r="C91" s="103" t="s">
        <v>206</v>
      </c>
      <c r="D91" s="470" t="s">
        <v>1201</v>
      </c>
      <c r="E91" s="328">
        <f t="shared" si="37"/>
        <v>1759600</v>
      </c>
      <c r="F91" s="462">
        <v>1759600</v>
      </c>
      <c r="G91" s="462"/>
      <c r="H91" s="462">
        <v>590600</v>
      </c>
      <c r="I91" s="462"/>
      <c r="J91" s="328">
        <f>L91+O91</f>
        <v>0</v>
      </c>
      <c r="K91" s="462"/>
      <c r="L91" s="462"/>
      <c r="M91" s="462"/>
      <c r="N91" s="462"/>
      <c r="O91" s="459">
        <f>K91</f>
        <v>0</v>
      </c>
      <c r="P91" s="328">
        <f>E91+J91</f>
        <v>1759600</v>
      </c>
      <c r="Q91" s="36"/>
      <c r="R91" s="39"/>
    </row>
    <row r="92" spans="1:18" s="33" customFormat="1" ht="47.25" thickTop="1" thickBot="1" x14ac:dyDescent="0.25">
      <c r="A92" s="311" t="s">
        <v>1089</v>
      </c>
      <c r="B92" s="311" t="s">
        <v>748</v>
      </c>
      <c r="C92" s="311"/>
      <c r="D92" s="311" t="s">
        <v>1088</v>
      </c>
      <c r="E92" s="328">
        <f>E93+E96</f>
        <v>0</v>
      </c>
      <c r="F92" s="328">
        <f t="shared" ref="F92:P92" si="63">F93+F96</f>
        <v>0</v>
      </c>
      <c r="G92" s="328">
        <f t="shared" si="63"/>
        <v>0</v>
      </c>
      <c r="H92" s="328">
        <f t="shared" si="63"/>
        <v>0</v>
      </c>
      <c r="I92" s="328">
        <f t="shared" si="63"/>
        <v>0</v>
      </c>
      <c r="J92" s="328">
        <f t="shared" si="63"/>
        <v>49716204.380000003</v>
      </c>
      <c r="K92" s="328">
        <f t="shared" si="63"/>
        <v>49716204.380000003</v>
      </c>
      <c r="L92" s="328">
        <f t="shared" si="63"/>
        <v>0</v>
      </c>
      <c r="M92" s="328">
        <f t="shared" si="63"/>
        <v>0</v>
      </c>
      <c r="N92" s="328">
        <f t="shared" si="63"/>
        <v>0</v>
      </c>
      <c r="O92" s="328">
        <f t="shared" si="63"/>
        <v>49716204.380000003</v>
      </c>
      <c r="P92" s="328">
        <f t="shared" si="63"/>
        <v>49716204.380000003</v>
      </c>
      <c r="Q92" s="36"/>
      <c r="R92" s="26"/>
    </row>
    <row r="93" spans="1:18" s="33" customFormat="1" ht="47.25" thickTop="1" thickBot="1" x14ac:dyDescent="0.25">
      <c r="A93" s="313" t="s">
        <v>1087</v>
      </c>
      <c r="B93" s="313" t="s">
        <v>803</v>
      </c>
      <c r="C93" s="313"/>
      <c r="D93" s="313" t="s">
        <v>804</v>
      </c>
      <c r="E93" s="315">
        <f>E94</f>
        <v>0</v>
      </c>
      <c r="F93" s="315">
        <f t="shared" ref="F93:P94" si="64">F94</f>
        <v>0</v>
      </c>
      <c r="G93" s="315">
        <f t="shared" si="64"/>
        <v>0</v>
      </c>
      <c r="H93" s="315">
        <f t="shared" si="64"/>
        <v>0</v>
      </c>
      <c r="I93" s="315">
        <f t="shared" si="64"/>
        <v>0</v>
      </c>
      <c r="J93" s="315">
        <f t="shared" si="64"/>
        <v>31260227.260000002</v>
      </c>
      <c r="K93" s="315">
        <f t="shared" si="64"/>
        <v>31260227.260000002</v>
      </c>
      <c r="L93" s="315">
        <f t="shared" si="64"/>
        <v>0</v>
      </c>
      <c r="M93" s="315">
        <f t="shared" si="64"/>
        <v>0</v>
      </c>
      <c r="N93" s="315">
        <f t="shared" si="64"/>
        <v>0</v>
      </c>
      <c r="O93" s="315">
        <f t="shared" si="64"/>
        <v>31260227.260000002</v>
      </c>
      <c r="P93" s="315">
        <f t="shared" si="64"/>
        <v>31260227.260000002</v>
      </c>
      <c r="Q93" s="36"/>
      <c r="R93" s="26"/>
    </row>
    <row r="94" spans="1:18" s="33" customFormat="1" ht="54" thickTop="1" thickBot="1" x14ac:dyDescent="0.25">
      <c r="A94" s="329" t="s">
        <v>1090</v>
      </c>
      <c r="B94" s="329" t="s">
        <v>821</v>
      </c>
      <c r="C94" s="329"/>
      <c r="D94" s="329" t="s">
        <v>1524</v>
      </c>
      <c r="E94" s="325">
        <f>E95</f>
        <v>0</v>
      </c>
      <c r="F94" s="325">
        <f t="shared" si="64"/>
        <v>0</v>
      </c>
      <c r="G94" s="325">
        <f t="shared" si="64"/>
        <v>0</v>
      </c>
      <c r="H94" s="325">
        <f t="shared" si="64"/>
        <v>0</v>
      </c>
      <c r="I94" s="325">
        <f t="shared" si="64"/>
        <v>0</v>
      </c>
      <c r="J94" s="325">
        <f t="shared" si="64"/>
        <v>31260227.260000002</v>
      </c>
      <c r="K94" s="325">
        <f t="shared" si="64"/>
        <v>31260227.260000002</v>
      </c>
      <c r="L94" s="325">
        <f t="shared" si="64"/>
        <v>0</v>
      </c>
      <c r="M94" s="325">
        <f t="shared" si="64"/>
        <v>0</v>
      </c>
      <c r="N94" s="325">
        <f t="shared" si="64"/>
        <v>0</v>
      </c>
      <c r="O94" s="325">
        <f t="shared" si="64"/>
        <v>31260227.260000002</v>
      </c>
      <c r="P94" s="325">
        <f t="shared" si="64"/>
        <v>31260227.260000002</v>
      </c>
      <c r="Q94" s="36"/>
      <c r="R94" s="26"/>
    </row>
    <row r="95" spans="1:18" s="33" customFormat="1" ht="54" thickTop="1" thickBot="1" x14ac:dyDescent="0.25">
      <c r="A95" s="103" t="s">
        <v>1102</v>
      </c>
      <c r="B95" s="103" t="s">
        <v>311</v>
      </c>
      <c r="C95" s="103" t="s">
        <v>304</v>
      </c>
      <c r="D95" s="103" t="s">
        <v>1504</v>
      </c>
      <c r="E95" s="328">
        <f t="shared" ref="E95" si="65">F95</f>
        <v>0</v>
      </c>
      <c r="F95" s="462"/>
      <c r="G95" s="462"/>
      <c r="H95" s="462"/>
      <c r="I95" s="462"/>
      <c r="J95" s="328">
        <f t="shared" ref="J95" si="66">L95+O95</f>
        <v>31260227.260000002</v>
      </c>
      <c r="K95" s="462">
        <f>(2000000+5000000+2000000+2000000)+20260227.26</f>
        <v>31260227.260000002</v>
      </c>
      <c r="L95" s="462"/>
      <c r="M95" s="462"/>
      <c r="N95" s="462"/>
      <c r="O95" s="459">
        <f t="shared" ref="O95" si="67">K95</f>
        <v>31260227.260000002</v>
      </c>
      <c r="P95" s="328">
        <f>E95+J95</f>
        <v>31260227.260000002</v>
      </c>
      <c r="Q95" s="30"/>
      <c r="R95" s="26"/>
    </row>
    <row r="96" spans="1:18" s="33" customFormat="1" ht="47.25" thickTop="1" thickBot="1" x14ac:dyDescent="0.25">
      <c r="A96" s="313" t="s">
        <v>1091</v>
      </c>
      <c r="B96" s="313" t="s">
        <v>691</v>
      </c>
      <c r="C96" s="313"/>
      <c r="D96" s="313" t="s">
        <v>689</v>
      </c>
      <c r="E96" s="315">
        <f>E97</f>
        <v>0</v>
      </c>
      <c r="F96" s="315">
        <f t="shared" ref="F96:P96" si="68">F97</f>
        <v>0</v>
      </c>
      <c r="G96" s="315">
        <f t="shared" si="68"/>
        <v>0</v>
      </c>
      <c r="H96" s="315">
        <f t="shared" si="68"/>
        <v>0</v>
      </c>
      <c r="I96" s="315">
        <f t="shared" si="68"/>
        <v>0</v>
      </c>
      <c r="J96" s="315">
        <f t="shared" si="68"/>
        <v>18455977.120000001</v>
      </c>
      <c r="K96" s="315">
        <f t="shared" si="68"/>
        <v>18455977.120000001</v>
      </c>
      <c r="L96" s="315">
        <f t="shared" si="68"/>
        <v>0</v>
      </c>
      <c r="M96" s="315">
        <f t="shared" si="68"/>
        <v>0</v>
      </c>
      <c r="N96" s="315">
        <f t="shared" si="68"/>
        <v>0</v>
      </c>
      <c r="O96" s="315">
        <f t="shared" si="68"/>
        <v>18455977.120000001</v>
      </c>
      <c r="P96" s="315">
        <f t="shared" si="68"/>
        <v>18455977.120000001</v>
      </c>
      <c r="Q96" s="30"/>
      <c r="R96" s="26"/>
    </row>
    <row r="97" spans="1:18" s="33" customFormat="1" ht="48" thickTop="1" thickBot="1" x14ac:dyDescent="0.25">
      <c r="A97" s="103" t="s">
        <v>1092</v>
      </c>
      <c r="B97" s="103" t="s">
        <v>212</v>
      </c>
      <c r="C97" s="103" t="s">
        <v>213</v>
      </c>
      <c r="D97" s="103" t="s">
        <v>41</v>
      </c>
      <c r="E97" s="328">
        <f t="shared" ref="E97" si="69">F97</f>
        <v>0</v>
      </c>
      <c r="F97" s="462"/>
      <c r="G97" s="462"/>
      <c r="H97" s="462"/>
      <c r="I97" s="462"/>
      <c r="J97" s="328">
        <f t="shared" ref="J97" si="70">L97+O97</f>
        <v>18455977.120000001</v>
      </c>
      <c r="K97" s="462">
        <f>(7500000+7500000)+3455977.12</f>
        <v>18455977.120000001</v>
      </c>
      <c r="L97" s="462"/>
      <c r="M97" s="462"/>
      <c r="N97" s="462"/>
      <c r="O97" s="459">
        <f t="shared" ref="O97" si="71">K97</f>
        <v>18455977.120000001</v>
      </c>
      <c r="P97" s="328">
        <f>E97+J97</f>
        <v>18455977.120000001</v>
      </c>
      <c r="Q97" s="30"/>
      <c r="R97" s="26"/>
    </row>
    <row r="98" spans="1:18" s="33" customFormat="1" ht="47.25" hidden="1" thickTop="1" thickBot="1" x14ac:dyDescent="0.25">
      <c r="A98" s="125" t="s">
        <v>1224</v>
      </c>
      <c r="B98" s="125" t="s">
        <v>696</v>
      </c>
      <c r="C98" s="125"/>
      <c r="D98" s="125" t="s">
        <v>697</v>
      </c>
      <c r="E98" s="127">
        <f t="shared" ref="E98:P99" si="72">E99</f>
        <v>0</v>
      </c>
      <c r="F98" s="127">
        <f t="shared" si="72"/>
        <v>0</v>
      </c>
      <c r="G98" s="127">
        <f t="shared" si="72"/>
        <v>0</v>
      </c>
      <c r="H98" s="127">
        <f t="shared" si="72"/>
        <v>0</v>
      </c>
      <c r="I98" s="127">
        <f t="shared" si="72"/>
        <v>0</v>
      </c>
      <c r="J98" s="127">
        <f t="shared" si="72"/>
        <v>0</v>
      </c>
      <c r="K98" s="127">
        <f t="shared" si="72"/>
        <v>0</v>
      </c>
      <c r="L98" s="127">
        <f t="shared" si="72"/>
        <v>0</v>
      </c>
      <c r="M98" s="127">
        <f t="shared" si="72"/>
        <v>0</v>
      </c>
      <c r="N98" s="127">
        <f t="shared" si="72"/>
        <v>0</v>
      </c>
      <c r="O98" s="127">
        <f t="shared" si="72"/>
        <v>0</v>
      </c>
      <c r="P98" s="127">
        <f t="shared" si="72"/>
        <v>0</v>
      </c>
      <c r="Q98" s="30"/>
      <c r="R98" s="26"/>
    </row>
    <row r="99" spans="1:18" s="33" customFormat="1" ht="47.25" hidden="1" thickTop="1" thickBot="1" x14ac:dyDescent="0.25">
      <c r="A99" s="136" t="s">
        <v>1225</v>
      </c>
      <c r="B99" s="136" t="s">
        <v>1186</v>
      </c>
      <c r="C99" s="136"/>
      <c r="D99" s="136" t="s">
        <v>1184</v>
      </c>
      <c r="E99" s="137">
        <f t="shared" si="72"/>
        <v>0</v>
      </c>
      <c r="F99" s="137">
        <f t="shared" si="72"/>
        <v>0</v>
      </c>
      <c r="G99" s="137">
        <f t="shared" si="72"/>
        <v>0</v>
      </c>
      <c r="H99" s="137">
        <f t="shared" si="72"/>
        <v>0</v>
      </c>
      <c r="I99" s="137">
        <f t="shared" si="72"/>
        <v>0</v>
      </c>
      <c r="J99" s="137">
        <f t="shared" si="72"/>
        <v>0</v>
      </c>
      <c r="K99" s="137">
        <f t="shared" si="72"/>
        <v>0</v>
      </c>
      <c r="L99" s="137">
        <f t="shared" si="72"/>
        <v>0</v>
      </c>
      <c r="M99" s="137">
        <f t="shared" si="72"/>
        <v>0</v>
      </c>
      <c r="N99" s="137">
        <f t="shared" si="72"/>
        <v>0</v>
      </c>
      <c r="O99" s="137">
        <f t="shared" si="72"/>
        <v>0</v>
      </c>
      <c r="P99" s="137">
        <f t="shared" si="72"/>
        <v>0</v>
      </c>
      <c r="Q99" s="30"/>
      <c r="R99" s="26"/>
    </row>
    <row r="100" spans="1:18" s="33" customFormat="1" ht="48" hidden="1" thickTop="1" thickBot="1" x14ac:dyDescent="0.25">
      <c r="A100" s="128" t="s">
        <v>1226</v>
      </c>
      <c r="B100" s="128" t="s">
        <v>1190</v>
      </c>
      <c r="C100" s="128" t="s">
        <v>1188</v>
      </c>
      <c r="D100" s="128" t="s">
        <v>1187</v>
      </c>
      <c r="E100" s="127">
        <f>F100</f>
        <v>0</v>
      </c>
      <c r="F100" s="134"/>
      <c r="G100" s="134"/>
      <c r="H100" s="134"/>
      <c r="I100" s="134"/>
      <c r="J100" s="127">
        <f>L100+O100</f>
        <v>0</v>
      </c>
      <c r="K100" s="134">
        <v>0</v>
      </c>
      <c r="L100" s="134"/>
      <c r="M100" s="134"/>
      <c r="N100" s="134"/>
      <c r="O100" s="132">
        <f>K100</f>
        <v>0</v>
      </c>
      <c r="P100" s="127">
        <f>E100+J100</f>
        <v>0</v>
      </c>
      <c r="Q100" s="30"/>
      <c r="R100" s="26"/>
    </row>
    <row r="101" spans="1:18" s="33" customFormat="1" ht="47.25" hidden="1" customHeight="1" thickTop="1" thickBot="1" x14ac:dyDescent="0.25">
      <c r="A101" s="146" t="s">
        <v>1028</v>
      </c>
      <c r="B101" s="146" t="s">
        <v>702</v>
      </c>
      <c r="C101" s="146"/>
      <c r="D101" s="146" t="s">
        <v>703</v>
      </c>
      <c r="E101" s="42">
        <f>E102</f>
        <v>0</v>
      </c>
      <c r="F101" s="42">
        <f t="shared" ref="F101:P102" si="73">F102</f>
        <v>0</v>
      </c>
      <c r="G101" s="42">
        <f t="shared" si="73"/>
        <v>0</v>
      </c>
      <c r="H101" s="42">
        <f t="shared" si="73"/>
        <v>0</v>
      </c>
      <c r="I101" s="42">
        <f t="shared" si="73"/>
        <v>0</v>
      </c>
      <c r="J101" s="42">
        <f t="shared" si="73"/>
        <v>0</v>
      </c>
      <c r="K101" s="42">
        <f t="shared" si="73"/>
        <v>0</v>
      </c>
      <c r="L101" s="42">
        <f t="shared" si="73"/>
        <v>0</v>
      </c>
      <c r="M101" s="42">
        <f t="shared" si="73"/>
        <v>0</v>
      </c>
      <c r="N101" s="42">
        <f t="shared" si="73"/>
        <v>0</v>
      </c>
      <c r="O101" s="42">
        <f t="shared" si="73"/>
        <v>0</v>
      </c>
      <c r="P101" s="42">
        <f t="shared" si="73"/>
        <v>0</v>
      </c>
      <c r="Q101" s="36"/>
      <c r="R101" s="26"/>
    </row>
    <row r="102" spans="1:18" s="33" customFormat="1" ht="91.5" hidden="1" thickTop="1" thickBot="1" x14ac:dyDescent="0.25">
      <c r="A102" s="147" t="s">
        <v>1029</v>
      </c>
      <c r="B102" s="147" t="s">
        <v>705</v>
      </c>
      <c r="C102" s="147"/>
      <c r="D102" s="147" t="s">
        <v>706</v>
      </c>
      <c r="E102" s="148">
        <f>E103</f>
        <v>0</v>
      </c>
      <c r="F102" s="148">
        <f t="shared" si="73"/>
        <v>0</v>
      </c>
      <c r="G102" s="148">
        <f t="shared" si="73"/>
        <v>0</v>
      </c>
      <c r="H102" s="148">
        <f t="shared" si="73"/>
        <v>0</v>
      </c>
      <c r="I102" s="148">
        <f t="shared" si="73"/>
        <v>0</v>
      </c>
      <c r="J102" s="148">
        <f t="shared" si="73"/>
        <v>0</v>
      </c>
      <c r="K102" s="148">
        <f t="shared" si="73"/>
        <v>0</v>
      </c>
      <c r="L102" s="148">
        <f t="shared" si="73"/>
        <v>0</v>
      </c>
      <c r="M102" s="148">
        <f t="shared" si="73"/>
        <v>0</v>
      </c>
      <c r="N102" s="148">
        <f t="shared" si="73"/>
        <v>0</v>
      </c>
      <c r="O102" s="148">
        <f t="shared" si="73"/>
        <v>0</v>
      </c>
      <c r="P102" s="148">
        <f t="shared" si="73"/>
        <v>0</v>
      </c>
      <c r="Q102" s="36"/>
      <c r="R102" s="26"/>
    </row>
    <row r="103" spans="1:18" s="33" customFormat="1" ht="48" hidden="1" thickTop="1" thickBot="1" x14ac:dyDescent="0.25">
      <c r="A103" s="41" t="s">
        <v>1030</v>
      </c>
      <c r="B103" s="41" t="s">
        <v>363</v>
      </c>
      <c r="C103" s="41" t="s">
        <v>43</v>
      </c>
      <c r="D103" s="41" t="s">
        <v>364</v>
      </c>
      <c r="E103" s="42">
        <f t="shared" ref="E103" si="74">F103</f>
        <v>0</v>
      </c>
      <c r="F103" s="43"/>
      <c r="G103" s="43"/>
      <c r="H103" s="43"/>
      <c r="I103" s="43"/>
      <c r="J103" s="42">
        <f>L103+O103</f>
        <v>0</v>
      </c>
      <c r="K103" s="43"/>
      <c r="L103" s="43"/>
      <c r="M103" s="43"/>
      <c r="N103" s="43"/>
      <c r="O103" s="44">
        <f>K103</f>
        <v>0</v>
      </c>
      <c r="P103" s="42">
        <f>E103+J103</f>
        <v>0</v>
      </c>
      <c r="Q103" s="36"/>
      <c r="R103" s="26"/>
    </row>
    <row r="104" spans="1:18" ht="91.5" thickTop="1" thickBot="1" x14ac:dyDescent="0.25">
      <c r="A104" s="478" t="s">
        <v>154</v>
      </c>
      <c r="B104" s="478"/>
      <c r="C104" s="478"/>
      <c r="D104" s="479" t="s">
        <v>18</v>
      </c>
      <c r="E104" s="502">
        <f>E105</f>
        <v>94061866</v>
      </c>
      <c r="F104" s="480">
        <f t="shared" ref="F104:G104" si="75">F105</f>
        <v>94061866</v>
      </c>
      <c r="G104" s="480">
        <f t="shared" si="75"/>
        <v>5749881</v>
      </c>
      <c r="H104" s="480">
        <f>H105</f>
        <v>399960</v>
      </c>
      <c r="I104" s="480">
        <f t="shared" ref="I104" si="76">I105</f>
        <v>0</v>
      </c>
      <c r="J104" s="502">
        <f>J105</f>
        <v>21500635.990000002</v>
      </c>
      <c r="K104" s="480">
        <f>K105</f>
        <v>21500635.990000002</v>
      </c>
      <c r="L104" s="480">
        <f>L105</f>
        <v>0</v>
      </c>
      <c r="M104" s="480">
        <f t="shared" ref="M104" si="77">M105</f>
        <v>0</v>
      </c>
      <c r="N104" s="480">
        <f>N105</f>
        <v>0</v>
      </c>
      <c r="O104" s="502">
        <f>O105</f>
        <v>21500635.990000002</v>
      </c>
      <c r="P104" s="480">
        <f>P105</f>
        <v>115562501.98999999</v>
      </c>
      <c r="Q104" s="20"/>
    </row>
    <row r="105" spans="1:18" ht="91.5" thickTop="1" thickBot="1" x14ac:dyDescent="0.25">
      <c r="A105" s="481" t="s">
        <v>155</v>
      </c>
      <c r="B105" s="481"/>
      <c r="C105" s="481"/>
      <c r="D105" s="482" t="s">
        <v>36</v>
      </c>
      <c r="E105" s="483">
        <f>E106+E109+E124+E122</f>
        <v>94061866</v>
      </c>
      <c r="F105" s="483">
        <f t="shared" ref="F105:P105" si="78">F106+F109+F124+F122</f>
        <v>94061866</v>
      </c>
      <c r="G105" s="483">
        <f t="shared" si="78"/>
        <v>5749881</v>
      </c>
      <c r="H105" s="483">
        <f t="shared" si="78"/>
        <v>399960</v>
      </c>
      <c r="I105" s="483">
        <f t="shared" si="78"/>
        <v>0</v>
      </c>
      <c r="J105" s="483">
        <f t="shared" si="78"/>
        <v>21500635.990000002</v>
      </c>
      <c r="K105" s="483">
        <f t="shared" si="78"/>
        <v>21500635.990000002</v>
      </c>
      <c r="L105" s="483">
        <f t="shared" si="78"/>
        <v>0</v>
      </c>
      <c r="M105" s="483">
        <f t="shared" si="78"/>
        <v>0</v>
      </c>
      <c r="N105" s="483">
        <f t="shared" si="78"/>
        <v>0</v>
      </c>
      <c r="O105" s="483">
        <f t="shared" si="78"/>
        <v>21500635.990000002</v>
      </c>
      <c r="P105" s="483">
        <f t="shared" si="78"/>
        <v>115562501.98999999</v>
      </c>
      <c r="Q105" s="565" t="b">
        <f>P105=P107+P110+P111+P112+P113+P116+P120+P121+P123+P127</f>
        <v>1</v>
      </c>
      <c r="R105" s="26"/>
    </row>
    <row r="106" spans="1:18" ht="47.25" thickTop="1" thickBot="1" x14ac:dyDescent="0.25">
      <c r="A106" s="311" t="s">
        <v>713</v>
      </c>
      <c r="B106" s="311" t="s">
        <v>684</v>
      </c>
      <c r="C106" s="311"/>
      <c r="D106" s="311" t="s">
        <v>685</v>
      </c>
      <c r="E106" s="328">
        <f>SUM(E107:E108)</f>
        <v>3390311</v>
      </c>
      <c r="F106" s="328">
        <f t="shared" ref="F106:P106" si="79">SUM(F107:F108)</f>
        <v>3390311</v>
      </c>
      <c r="G106" s="328">
        <f t="shared" si="79"/>
        <v>2480000</v>
      </c>
      <c r="H106" s="328">
        <f t="shared" si="79"/>
        <v>191160</v>
      </c>
      <c r="I106" s="328">
        <f t="shared" si="79"/>
        <v>0</v>
      </c>
      <c r="J106" s="328">
        <f t="shared" si="79"/>
        <v>0</v>
      </c>
      <c r="K106" s="328">
        <f t="shared" si="79"/>
        <v>0</v>
      </c>
      <c r="L106" s="328">
        <f t="shared" si="79"/>
        <v>0</v>
      </c>
      <c r="M106" s="328">
        <f t="shared" si="79"/>
        <v>0</v>
      </c>
      <c r="N106" s="328">
        <f t="shared" si="79"/>
        <v>0</v>
      </c>
      <c r="O106" s="328">
        <f t="shared" si="79"/>
        <v>0</v>
      </c>
      <c r="P106" s="328">
        <f t="shared" si="79"/>
        <v>3390311</v>
      </c>
      <c r="Q106" s="30"/>
      <c r="R106" s="26"/>
    </row>
    <row r="107" spans="1:18" ht="93" thickTop="1" thickBot="1" x14ac:dyDescent="0.25">
      <c r="A107" s="103" t="s">
        <v>416</v>
      </c>
      <c r="B107" s="103" t="s">
        <v>236</v>
      </c>
      <c r="C107" s="103" t="s">
        <v>234</v>
      </c>
      <c r="D107" s="103" t="s">
        <v>235</v>
      </c>
      <c r="E107" s="328">
        <f>F107</f>
        <v>3390311</v>
      </c>
      <c r="F107" s="462">
        <v>3390311</v>
      </c>
      <c r="G107" s="462">
        <v>2480000</v>
      </c>
      <c r="H107" s="462">
        <v>191160</v>
      </c>
      <c r="I107" s="462"/>
      <c r="J107" s="328">
        <f t="shared" ref="J107:J133" si="80">L107+O107</f>
        <v>0</v>
      </c>
      <c r="K107" s="462">
        <v>0</v>
      </c>
      <c r="L107" s="462"/>
      <c r="M107" s="462"/>
      <c r="N107" s="462"/>
      <c r="O107" s="459">
        <f>K107</f>
        <v>0</v>
      </c>
      <c r="P107" s="328">
        <f t="shared" ref="P107:P133" si="81">E107+J107</f>
        <v>3390311</v>
      </c>
      <c r="Q107" s="39"/>
      <c r="R107" s="26"/>
    </row>
    <row r="108" spans="1:18" ht="93" hidden="1" thickTop="1" thickBot="1" x14ac:dyDescent="0.25">
      <c r="A108" s="128" t="s">
        <v>1257</v>
      </c>
      <c r="B108" s="128" t="s">
        <v>362</v>
      </c>
      <c r="C108" s="128" t="s">
        <v>625</v>
      </c>
      <c r="D108" s="128" t="s">
        <v>626</v>
      </c>
      <c r="E108" s="127">
        <f>F108</f>
        <v>0</v>
      </c>
      <c r="F108" s="134">
        <v>0</v>
      </c>
      <c r="G108" s="134"/>
      <c r="H108" s="134"/>
      <c r="I108" s="134"/>
      <c r="J108" s="127">
        <f t="shared" si="80"/>
        <v>0</v>
      </c>
      <c r="K108" s="134"/>
      <c r="L108" s="134"/>
      <c r="M108" s="134"/>
      <c r="N108" s="134"/>
      <c r="O108" s="132">
        <f>K108</f>
        <v>0</v>
      </c>
      <c r="P108" s="127">
        <f t="shared" si="81"/>
        <v>0</v>
      </c>
      <c r="Q108" s="39"/>
      <c r="R108" s="26"/>
    </row>
    <row r="109" spans="1:18" ht="47.25" thickTop="1" thickBot="1" x14ac:dyDescent="0.25">
      <c r="A109" s="311" t="s">
        <v>714</v>
      </c>
      <c r="B109" s="311" t="s">
        <v>715</v>
      </c>
      <c r="C109" s="311"/>
      <c r="D109" s="311" t="s">
        <v>716</v>
      </c>
      <c r="E109" s="328">
        <f>SUM(E110:E121)-E115-E117-E119</f>
        <v>90571555</v>
      </c>
      <c r="F109" s="328">
        <f t="shared" ref="F109:P109" si="82">SUM(F110:F121)-F115-F117-F119</f>
        <v>90571555</v>
      </c>
      <c r="G109" s="328">
        <f t="shared" si="82"/>
        <v>3269881</v>
      </c>
      <c r="H109" s="328">
        <f t="shared" si="82"/>
        <v>208800</v>
      </c>
      <c r="I109" s="328">
        <f t="shared" si="82"/>
        <v>0</v>
      </c>
      <c r="J109" s="328">
        <f t="shared" si="82"/>
        <v>18441711</v>
      </c>
      <c r="K109" s="328">
        <f t="shared" si="82"/>
        <v>18441711</v>
      </c>
      <c r="L109" s="328">
        <f t="shared" si="82"/>
        <v>0</v>
      </c>
      <c r="M109" s="328">
        <f t="shared" si="82"/>
        <v>0</v>
      </c>
      <c r="N109" s="328">
        <f t="shared" si="82"/>
        <v>0</v>
      </c>
      <c r="O109" s="328">
        <f t="shared" si="82"/>
        <v>18441711</v>
      </c>
      <c r="P109" s="328">
        <f t="shared" si="82"/>
        <v>109013266</v>
      </c>
      <c r="Q109" s="39"/>
      <c r="R109" s="39"/>
    </row>
    <row r="110" spans="1:18" ht="48" thickTop="1" thickBot="1" x14ac:dyDescent="0.25">
      <c r="A110" s="103" t="s">
        <v>214</v>
      </c>
      <c r="B110" s="103" t="s">
        <v>211</v>
      </c>
      <c r="C110" s="103" t="s">
        <v>215</v>
      </c>
      <c r="D110" s="103" t="s">
        <v>19</v>
      </c>
      <c r="E110" s="328">
        <f>F110</f>
        <v>18839100</v>
      </c>
      <c r="F110" s="462">
        <f>24239100-5400000</f>
        <v>18839100</v>
      </c>
      <c r="G110" s="462"/>
      <c r="H110" s="462"/>
      <c r="I110" s="462"/>
      <c r="J110" s="328">
        <f t="shared" si="80"/>
        <v>12012000</v>
      </c>
      <c r="K110" s="462">
        <f>(6800000)+5212000</f>
        <v>12012000</v>
      </c>
      <c r="L110" s="462"/>
      <c r="M110" s="462"/>
      <c r="N110" s="462"/>
      <c r="O110" s="459">
        <f>K110</f>
        <v>12012000</v>
      </c>
      <c r="P110" s="328">
        <f t="shared" si="81"/>
        <v>30851100</v>
      </c>
      <c r="Q110" s="20"/>
      <c r="R110" s="30"/>
    </row>
    <row r="111" spans="1:18" ht="48" thickTop="1" thickBot="1" x14ac:dyDescent="0.25">
      <c r="A111" s="103" t="s">
        <v>505</v>
      </c>
      <c r="B111" s="103" t="s">
        <v>508</v>
      </c>
      <c r="C111" s="103" t="s">
        <v>507</v>
      </c>
      <c r="D111" s="103" t="s">
        <v>506</v>
      </c>
      <c r="E111" s="328">
        <f>F111</f>
        <v>9660600</v>
      </c>
      <c r="F111" s="462">
        <f>10860600-1200000</f>
        <v>9660600</v>
      </c>
      <c r="G111" s="462"/>
      <c r="H111" s="462"/>
      <c r="I111" s="462"/>
      <c r="J111" s="328">
        <f t="shared" si="80"/>
        <v>0</v>
      </c>
      <c r="K111" s="462"/>
      <c r="L111" s="462"/>
      <c r="M111" s="462"/>
      <c r="N111" s="462"/>
      <c r="O111" s="459">
        <f>K111</f>
        <v>0</v>
      </c>
      <c r="P111" s="328">
        <f t="shared" si="81"/>
        <v>9660600</v>
      </c>
      <c r="Q111" s="20"/>
      <c r="R111" s="39"/>
    </row>
    <row r="112" spans="1:18" ht="48" thickTop="1" thickBot="1" x14ac:dyDescent="0.25">
      <c r="A112" s="103" t="s">
        <v>216</v>
      </c>
      <c r="B112" s="103" t="s">
        <v>217</v>
      </c>
      <c r="C112" s="103" t="s">
        <v>218</v>
      </c>
      <c r="D112" s="103" t="s">
        <v>219</v>
      </c>
      <c r="E112" s="328">
        <f t="shared" ref="E112:E133" si="83">F112</f>
        <v>8081900</v>
      </c>
      <c r="F112" s="462">
        <f>9381900-1300000</f>
        <v>8081900</v>
      </c>
      <c r="G112" s="462"/>
      <c r="H112" s="462"/>
      <c r="I112" s="462"/>
      <c r="J112" s="328">
        <f t="shared" si="80"/>
        <v>6429711</v>
      </c>
      <c r="K112" s="462">
        <f>(2400000)+4029711</f>
        <v>6429711</v>
      </c>
      <c r="L112" s="462"/>
      <c r="M112" s="462"/>
      <c r="N112" s="462"/>
      <c r="O112" s="459">
        <f>K112</f>
        <v>6429711</v>
      </c>
      <c r="P112" s="328">
        <f t="shared" si="81"/>
        <v>14511611</v>
      </c>
      <c r="Q112" s="20"/>
      <c r="R112" s="39"/>
    </row>
    <row r="113" spans="1:18" ht="93" thickTop="1" thickBot="1" x14ac:dyDescent="0.25">
      <c r="A113" s="103" t="s">
        <v>220</v>
      </c>
      <c r="B113" s="103" t="s">
        <v>221</v>
      </c>
      <c r="C113" s="103" t="s">
        <v>222</v>
      </c>
      <c r="D113" s="103" t="s">
        <v>345</v>
      </c>
      <c r="E113" s="328">
        <f t="shared" si="83"/>
        <v>25012900</v>
      </c>
      <c r="F113" s="462">
        <f>26512900-1500000</f>
        <v>25012900</v>
      </c>
      <c r="G113" s="134"/>
      <c r="H113" s="134"/>
      <c r="I113" s="134"/>
      <c r="J113" s="328">
        <f t="shared" si="80"/>
        <v>0</v>
      </c>
      <c r="K113" s="462"/>
      <c r="L113" s="462"/>
      <c r="M113" s="462"/>
      <c r="N113" s="462"/>
      <c r="O113" s="459">
        <f>K113</f>
        <v>0</v>
      </c>
      <c r="P113" s="328">
        <f t="shared" si="81"/>
        <v>25012900</v>
      </c>
      <c r="Q113" s="20"/>
      <c r="R113" s="39"/>
    </row>
    <row r="114" spans="1:18" ht="48" hidden="1" thickTop="1" thickBot="1" x14ac:dyDescent="0.25">
      <c r="A114" s="128" t="s">
        <v>223</v>
      </c>
      <c r="B114" s="128" t="s">
        <v>224</v>
      </c>
      <c r="C114" s="128" t="s">
        <v>225</v>
      </c>
      <c r="D114" s="128" t="s">
        <v>226</v>
      </c>
      <c r="E114" s="127">
        <f t="shared" si="83"/>
        <v>0</v>
      </c>
      <c r="F114" s="134">
        <f>(7556300)-7556300</f>
        <v>0</v>
      </c>
      <c r="G114" s="134"/>
      <c r="H114" s="134"/>
      <c r="I114" s="134"/>
      <c r="J114" s="328">
        <f t="shared" si="80"/>
        <v>0</v>
      </c>
      <c r="K114" s="462">
        <f>(200000)-200000</f>
        <v>0</v>
      </c>
      <c r="L114" s="462"/>
      <c r="M114" s="462"/>
      <c r="N114" s="462"/>
      <c r="O114" s="459">
        <f>K114</f>
        <v>0</v>
      </c>
      <c r="P114" s="328">
        <f t="shared" si="81"/>
        <v>0</v>
      </c>
      <c r="Q114" s="20"/>
      <c r="R114" s="39"/>
    </row>
    <row r="115" spans="1:18" ht="48" thickTop="1" thickBot="1" x14ac:dyDescent="0.25">
      <c r="A115" s="329" t="s">
        <v>717</v>
      </c>
      <c r="B115" s="329" t="s">
        <v>718</v>
      </c>
      <c r="C115" s="329"/>
      <c r="D115" s="329" t="s">
        <v>719</v>
      </c>
      <c r="E115" s="325">
        <f>E116</f>
        <v>19127800</v>
      </c>
      <c r="F115" s="325">
        <f t="shared" ref="F115:P115" si="84">F116</f>
        <v>19127800</v>
      </c>
      <c r="G115" s="325">
        <f t="shared" si="84"/>
        <v>0</v>
      </c>
      <c r="H115" s="325">
        <f t="shared" si="84"/>
        <v>0</v>
      </c>
      <c r="I115" s="325">
        <f t="shared" si="84"/>
        <v>0</v>
      </c>
      <c r="J115" s="325">
        <f t="shared" si="84"/>
        <v>0</v>
      </c>
      <c r="K115" s="325">
        <f t="shared" si="84"/>
        <v>0</v>
      </c>
      <c r="L115" s="325">
        <f t="shared" si="84"/>
        <v>0</v>
      </c>
      <c r="M115" s="325">
        <f t="shared" si="84"/>
        <v>0</v>
      </c>
      <c r="N115" s="325">
        <f t="shared" si="84"/>
        <v>0</v>
      </c>
      <c r="O115" s="325">
        <f t="shared" si="84"/>
        <v>0</v>
      </c>
      <c r="P115" s="325">
        <f t="shared" si="84"/>
        <v>19127800</v>
      </c>
      <c r="Q115" s="20"/>
      <c r="R115" s="39"/>
    </row>
    <row r="116" spans="1:18" ht="93" thickTop="1" thickBot="1" x14ac:dyDescent="0.25">
      <c r="A116" s="103" t="s">
        <v>227</v>
      </c>
      <c r="B116" s="103" t="s">
        <v>228</v>
      </c>
      <c r="C116" s="103" t="s">
        <v>346</v>
      </c>
      <c r="D116" s="103" t="s">
        <v>229</v>
      </c>
      <c r="E116" s="328">
        <f t="shared" si="83"/>
        <v>19127800</v>
      </c>
      <c r="F116" s="462">
        <f>19727800-600000</f>
        <v>19127800</v>
      </c>
      <c r="G116" s="462"/>
      <c r="H116" s="462"/>
      <c r="I116" s="462"/>
      <c r="J116" s="328">
        <f t="shared" si="80"/>
        <v>0</v>
      </c>
      <c r="K116" s="462"/>
      <c r="L116" s="462"/>
      <c r="M116" s="462"/>
      <c r="N116" s="462"/>
      <c r="O116" s="459">
        <f t="shared" ref="O116:O133" si="85">K116</f>
        <v>0</v>
      </c>
      <c r="P116" s="328">
        <f t="shared" si="81"/>
        <v>19127800</v>
      </c>
      <c r="Q116" s="20"/>
      <c r="R116" s="39"/>
    </row>
    <row r="117" spans="1:18" ht="48" hidden="1" thickTop="1" thickBot="1" x14ac:dyDescent="0.25">
      <c r="A117" s="140" t="s">
        <v>720</v>
      </c>
      <c r="B117" s="140" t="s">
        <v>721</v>
      </c>
      <c r="C117" s="140"/>
      <c r="D117" s="140" t="s">
        <v>722</v>
      </c>
      <c r="E117" s="141">
        <f>E118</f>
        <v>0</v>
      </c>
      <c r="F117" s="141">
        <f t="shared" ref="F117:P117" si="86">F118</f>
        <v>0</v>
      </c>
      <c r="G117" s="141">
        <f t="shared" si="86"/>
        <v>0</v>
      </c>
      <c r="H117" s="141">
        <f t="shared" si="86"/>
        <v>0</v>
      </c>
      <c r="I117" s="141">
        <f t="shared" si="86"/>
        <v>0</v>
      </c>
      <c r="J117" s="591">
        <f t="shared" si="86"/>
        <v>0</v>
      </c>
      <c r="K117" s="591">
        <f t="shared" si="86"/>
        <v>0</v>
      </c>
      <c r="L117" s="591">
        <f t="shared" si="86"/>
        <v>0</v>
      </c>
      <c r="M117" s="591">
        <f t="shared" si="86"/>
        <v>0</v>
      </c>
      <c r="N117" s="591">
        <f t="shared" si="86"/>
        <v>0</v>
      </c>
      <c r="O117" s="591">
        <f t="shared" si="86"/>
        <v>0</v>
      </c>
      <c r="P117" s="591">
        <f t="shared" si="86"/>
        <v>0</v>
      </c>
      <c r="Q117" s="20"/>
      <c r="R117" s="39"/>
    </row>
    <row r="118" spans="1:18" ht="48" hidden="1" thickTop="1" thickBot="1" x14ac:dyDescent="0.25">
      <c r="A118" s="128" t="s">
        <v>475</v>
      </c>
      <c r="B118" s="128" t="s">
        <v>476</v>
      </c>
      <c r="C118" s="128" t="s">
        <v>230</v>
      </c>
      <c r="D118" s="128" t="s">
        <v>477</v>
      </c>
      <c r="E118" s="127">
        <f t="shared" si="83"/>
        <v>0</v>
      </c>
      <c r="F118" s="134">
        <v>0</v>
      </c>
      <c r="G118" s="134"/>
      <c r="H118" s="134"/>
      <c r="I118" s="134"/>
      <c r="J118" s="592">
        <f t="shared" si="80"/>
        <v>0</v>
      </c>
      <c r="K118" s="593"/>
      <c r="L118" s="593"/>
      <c r="M118" s="593"/>
      <c r="N118" s="593"/>
      <c r="O118" s="594">
        <f t="shared" si="85"/>
        <v>0</v>
      </c>
      <c r="P118" s="592">
        <f t="shared" si="81"/>
        <v>0</v>
      </c>
      <c r="Q118" s="20"/>
      <c r="R118" s="39"/>
    </row>
    <row r="119" spans="1:18" ht="48" thickTop="1" thickBot="1" x14ac:dyDescent="0.25">
      <c r="A119" s="329" t="s">
        <v>723</v>
      </c>
      <c r="B119" s="329" t="s">
        <v>724</v>
      </c>
      <c r="C119" s="329"/>
      <c r="D119" s="329" t="s">
        <v>725</v>
      </c>
      <c r="E119" s="325">
        <f>SUM(E120:E121)</f>
        <v>9849255</v>
      </c>
      <c r="F119" s="325">
        <f t="shared" ref="F119:P119" si="87">SUM(F120:F121)</f>
        <v>9849255</v>
      </c>
      <c r="G119" s="325">
        <f t="shared" si="87"/>
        <v>3269881</v>
      </c>
      <c r="H119" s="325">
        <f t="shared" si="87"/>
        <v>208800</v>
      </c>
      <c r="I119" s="325">
        <f t="shared" si="87"/>
        <v>0</v>
      </c>
      <c r="J119" s="325">
        <f t="shared" si="87"/>
        <v>0</v>
      </c>
      <c r="K119" s="325">
        <f t="shared" si="87"/>
        <v>0</v>
      </c>
      <c r="L119" s="325">
        <f t="shared" si="87"/>
        <v>0</v>
      </c>
      <c r="M119" s="325">
        <f t="shared" si="87"/>
        <v>0</v>
      </c>
      <c r="N119" s="325">
        <f t="shared" si="87"/>
        <v>0</v>
      </c>
      <c r="O119" s="325">
        <f t="shared" si="87"/>
        <v>0</v>
      </c>
      <c r="P119" s="325">
        <f t="shared" si="87"/>
        <v>9849255</v>
      </c>
      <c r="Q119" s="20"/>
      <c r="R119" s="39"/>
    </row>
    <row r="120" spans="1:18" s="33" customFormat="1" ht="48" thickTop="1" thickBot="1" x14ac:dyDescent="0.25">
      <c r="A120" s="103" t="s">
        <v>321</v>
      </c>
      <c r="B120" s="103" t="s">
        <v>323</v>
      </c>
      <c r="C120" s="103" t="s">
        <v>230</v>
      </c>
      <c r="D120" s="470" t="s">
        <v>319</v>
      </c>
      <c r="E120" s="328">
        <f t="shared" si="83"/>
        <v>4423055</v>
      </c>
      <c r="F120" s="462">
        <v>4423055</v>
      </c>
      <c r="G120" s="462">
        <v>3269881</v>
      </c>
      <c r="H120" s="462">
        <v>208800</v>
      </c>
      <c r="I120" s="462"/>
      <c r="J120" s="328">
        <f t="shared" si="80"/>
        <v>0</v>
      </c>
      <c r="K120" s="462"/>
      <c r="L120" s="462"/>
      <c r="M120" s="462"/>
      <c r="N120" s="462"/>
      <c r="O120" s="459">
        <f t="shared" si="85"/>
        <v>0</v>
      </c>
      <c r="P120" s="328">
        <f t="shared" si="81"/>
        <v>4423055</v>
      </c>
      <c r="Q120" s="36"/>
      <c r="R120" s="26"/>
    </row>
    <row r="121" spans="1:18" s="33" customFormat="1" ht="48" thickTop="1" thickBot="1" x14ac:dyDescent="0.25">
      <c r="A121" s="103" t="s">
        <v>322</v>
      </c>
      <c r="B121" s="103" t="s">
        <v>324</v>
      </c>
      <c r="C121" s="103" t="s">
        <v>230</v>
      </c>
      <c r="D121" s="470" t="s">
        <v>320</v>
      </c>
      <c r="E121" s="328">
        <f t="shared" si="83"/>
        <v>5426200</v>
      </c>
      <c r="F121" s="462">
        <v>5426200</v>
      </c>
      <c r="G121" s="462"/>
      <c r="H121" s="462"/>
      <c r="I121" s="462"/>
      <c r="J121" s="328">
        <f t="shared" si="80"/>
        <v>0</v>
      </c>
      <c r="K121" s="462"/>
      <c r="L121" s="462"/>
      <c r="M121" s="462"/>
      <c r="N121" s="462"/>
      <c r="O121" s="459">
        <f t="shared" si="85"/>
        <v>0</v>
      </c>
      <c r="P121" s="328">
        <f t="shared" si="81"/>
        <v>5426200</v>
      </c>
      <c r="Q121" s="36"/>
      <c r="R121" s="39"/>
    </row>
    <row r="122" spans="1:18" s="33" customFormat="1" ht="47.25" thickTop="1" thickBot="1" x14ac:dyDescent="0.25">
      <c r="A122" s="311" t="s">
        <v>1198</v>
      </c>
      <c r="B122" s="311" t="s">
        <v>711</v>
      </c>
      <c r="C122" s="311"/>
      <c r="D122" s="311" t="s">
        <v>712</v>
      </c>
      <c r="E122" s="328">
        <f>E123</f>
        <v>100000</v>
      </c>
      <c r="F122" s="328">
        <f t="shared" ref="F122:P122" si="88">F123</f>
        <v>100000</v>
      </c>
      <c r="G122" s="328">
        <f t="shared" si="88"/>
        <v>0</v>
      </c>
      <c r="H122" s="328">
        <f t="shared" si="88"/>
        <v>0</v>
      </c>
      <c r="I122" s="328">
        <f t="shared" si="88"/>
        <v>0</v>
      </c>
      <c r="J122" s="328">
        <f t="shared" si="88"/>
        <v>0</v>
      </c>
      <c r="K122" s="328">
        <f t="shared" si="88"/>
        <v>0</v>
      </c>
      <c r="L122" s="328">
        <f t="shared" si="88"/>
        <v>0</v>
      </c>
      <c r="M122" s="328">
        <f t="shared" si="88"/>
        <v>0</v>
      </c>
      <c r="N122" s="328">
        <f t="shared" si="88"/>
        <v>0</v>
      </c>
      <c r="O122" s="328">
        <f t="shared" si="88"/>
        <v>0</v>
      </c>
      <c r="P122" s="328">
        <f t="shared" si="88"/>
        <v>100000</v>
      </c>
      <c r="Q122" s="36"/>
      <c r="R122" s="39"/>
    </row>
    <row r="123" spans="1:18" s="33" customFormat="1" ht="93" thickTop="1" thickBot="1" x14ac:dyDescent="0.25">
      <c r="A123" s="103" t="s">
        <v>1199</v>
      </c>
      <c r="B123" s="103" t="s">
        <v>1200</v>
      </c>
      <c r="C123" s="103" t="s">
        <v>206</v>
      </c>
      <c r="D123" s="470" t="s">
        <v>1201</v>
      </c>
      <c r="E123" s="328">
        <f t="shared" ref="E123" si="89">F123</f>
        <v>100000</v>
      </c>
      <c r="F123" s="462">
        <v>100000</v>
      </c>
      <c r="G123" s="462"/>
      <c r="H123" s="462"/>
      <c r="I123" s="462"/>
      <c r="J123" s="328">
        <f t="shared" ref="J123" si="90">L123+O123</f>
        <v>0</v>
      </c>
      <c r="K123" s="462"/>
      <c r="L123" s="462"/>
      <c r="M123" s="462"/>
      <c r="N123" s="462"/>
      <c r="O123" s="459">
        <f t="shared" ref="O123" si="91">K123</f>
        <v>0</v>
      </c>
      <c r="P123" s="328">
        <f t="shared" ref="P123" si="92">E123+J123</f>
        <v>100000</v>
      </c>
      <c r="Q123" s="36"/>
      <c r="R123" s="39"/>
    </row>
    <row r="124" spans="1:18" s="33" customFormat="1" ht="47.25" thickTop="1" thickBot="1" x14ac:dyDescent="0.25">
      <c r="A124" s="311" t="s">
        <v>750</v>
      </c>
      <c r="B124" s="311" t="s">
        <v>748</v>
      </c>
      <c r="C124" s="311"/>
      <c r="D124" s="311" t="s">
        <v>749</v>
      </c>
      <c r="E124" s="328">
        <f>SUM(E130)+E125</f>
        <v>0</v>
      </c>
      <c r="F124" s="328">
        <f t="shared" ref="F124:P124" si="93">SUM(F130)+F125</f>
        <v>0</v>
      </c>
      <c r="G124" s="328">
        <f t="shared" si="93"/>
        <v>0</v>
      </c>
      <c r="H124" s="328">
        <f t="shared" si="93"/>
        <v>0</v>
      </c>
      <c r="I124" s="328">
        <f t="shared" si="93"/>
        <v>0</v>
      </c>
      <c r="J124" s="328">
        <f t="shared" si="93"/>
        <v>3058924.99</v>
      </c>
      <c r="K124" s="328">
        <f t="shared" si="93"/>
        <v>3058924.99</v>
      </c>
      <c r="L124" s="328">
        <f t="shared" si="93"/>
        <v>0</v>
      </c>
      <c r="M124" s="328">
        <f t="shared" si="93"/>
        <v>0</v>
      </c>
      <c r="N124" s="328">
        <f t="shared" si="93"/>
        <v>0</v>
      </c>
      <c r="O124" s="328">
        <f t="shared" si="93"/>
        <v>3058924.99</v>
      </c>
      <c r="P124" s="328">
        <f t="shared" si="93"/>
        <v>3058924.99</v>
      </c>
      <c r="Q124" s="36"/>
      <c r="R124" s="39"/>
    </row>
    <row r="125" spans="1:18" s="33" customFormat="1" ht="47.25" thickTop="1" thickBot="1" x14ac:dyDescent="0.25">
      <c r="A125" s="313" t="s">
        <v>1053</v>
      </c>
      <c r="B125" s="313" t="s">
        <v>803</v>
      </c>
      <c r="C125" s="313"/>
      <c r="D125" s="313" t="s">
        <v>804</v>
      </c>
      <c r="E125" s="315">
        <f>E128+E126</f>
        <v>0</v>
      </c>
      <c r="F125" s="315">
        <f t="shared" ref="F125:P125" si="94">F128+F126</f>
        <v>0</v>
      </c>
      <c r="G125" s="315">
        <f t="shared" si="94"/>
        <v>0</v>
      </c>
      <c r="H125" s="315">
        <f t="shared" si="94"/>
        <v>0</v>
      </c>
      <c r="I125" s="315">
        <f t="shared" si="94"/>
        <v>0</v>
      </c>
      <c r="J125" s="315">
        <f t="shared" si="94"/>
        <v>3058924.99</v>
      </c>
      <c r="K125" s="315">
        <f t="shared" si="94"/>
        <v>3058924.99</v>
      </c>
      <c r="L125" s="315">
        <f t="shared" si="94"/>
        <v>0</v>
      </c>
      <c r="M125" s="315">
        <f t="shared" si="94"/>
        <v>0</v>
      </c>
      <c r="N125" s="315">
        <f t="shared" si="94"/>
        <v>0</v>
      </c>
      <c r="O125" s="315">
        <f t="shared" si="94"/>
        <v>3058924.99</v>
      </c>
      <c r="P125" s="315">
        <f t="shared" si="94"/>
        <v>3058924.99</v>
      </c>
      <c r="Q125" s="36"/>
      <c r="R125" s="39"/>
    </row>
    <row r="126" spans="1:18" s="33" customFormat="1" ht="54.75" thickTop="1" thickBot="1" x14ac:dyDescent="0.25">
      <c r="A126" s="329" t="s">
        <v>1180</v>
      </c>
      <c r="B126" s="329" t="s">
        <v>821</v>
      </c>
      <c r="C126" s="329"/>
      <c r="D126" s="329" t="s">
        <v>1508</v>
      </c>
      <c r="E126" s="325">
        <f>E127</f>
        <v>0</v>
      </c>
      <c r="F126" s="325">
        <f t="shared" ref="F126:P126" si="95">F127</f>
        <v>0</v>
      </c>
      <c r="G126" s="325">
        <f t="shared" si="95"/>
        <v>0</v>
      </c>
      <c r="H126" s="325">
        <f t="shared" si="95"/>
        <v>0</v>
      </c>
      <c r="I126" s="325">
        <f t="shared" si="95"/>
        <v>0</v>
      </c>
      <c r="J126" s="325">
        <f t="shared" si="95"/>
        <v>3058924.99</v>
      </c>
      <c r="K126" s="325">
        <f t="shared" si="95"/>
        <v>3058924.99</v>
      </c>
      <c r="L126" s="325">
        <f t="shared" si="95"/>
        <v>0</v>
      </c>
      <c r="M126" s="325">
        <f t="shared" si="95"/>
        <v>0</v>
      </c>
      <c r="N126" s="325">
        <f t="shared" si="95"/>
        <v>0</v>
      </c>
      <c r="O126" s="325">
        <f t="shared" si="95"/>
        <v>3058924.99</v>
      </c>
      <c r="P126" s="325">
        <f t="shared" si="95"/>
        <v>3058924.99</v>
      </c>
      <c r="Q126" s="36"/>
      <c r="R126" s="39"/>
    </row>
    <row r="127" spans="1:18" s="33" customFormat="1" ht="54" thickTop="1" thickBot="1" x14ac:dyDescent="0.25">
      <c r="A127" s="103" t="s">
        <v>1179</v>
      </c>
      <c r="B127" s="103" t="s">
        <v>1181</v>
      </c>
      <c r="C127" s="103" t="s">
        <v>304</v>
      </c>
      <c r="D127" s="103" t="s">
        <v>1530</v>
      </c>
      <c r="E127" s="328">
        <f t="shared" ref="E127" si="96">F127</f>
        <v>0</v>
      </c>
      <c r="F127" s="462"/>
      <c r="G127" s="462"/>
      <c r="H127" s="462"/>
      <c r="I127" s="462"/>
      <c r="J127" s="328">
        <f t="shared" ref="J127" si="97">L127+O127</f>
        <v>3058924.99</v>
      </c>
      <c r="K127" s="462">
        <f>(1000000)+2058924.99</f>
        <v>3058924.99</v>
      </c>
      <c r="L127" s="462"/>
      <c r="M127" s="462"/>
      <c r="N127" s="462"/>
      <c r="O127" s="459">
        <f>K127</f>
        <v>3058924.99</v>
      </c>
      <c r="P127" s="328">
        <f t="shared" ref="P127" si="98">E127+J127</f>
        <v>3058924.99</v>
      </c>
      <c r="Q127" s="36"/>
      <c r="R127" s="39"/>
    </row>
    <row r="128" spans="1:18" s="33" customFormat="1" ht="48" hidden="1" thickTop="1" thickBot="1" x14ac:dyDescent="0.25">
      <c r="A128" s="144" t="s">
        <v>1054</v>
      </c>
      <c r="B128" s="144" t="s">
        <v>1052</v>
      </c>
      <c r="C128" s="144"/>
      <c r="D128" s="144" t="s">
        <v>1051</v>
      </c>
      <c r="E128" s="145">
        <f>E129</f>
        <v>0</v>
      </c>
      <c r="F128" s="145">
        <f t="shared" ref="F128:P128" si="99">F129</f>
        <v>0</v>
      </c>
      <c r="G128" s="145">
        <f t="shared" si="99"/>
        <v>0</v>
      </c>
      <c r="H128" s="145">
        <f t="shared" si="99"/>
        <v>0</v>
      </c>
      <c r="I128" s="145">
        <f t="shared" si="99"/>
        <v>0</v>
      </c>
      <c r="J128" s="145">
        <f t="shared" si="99"/>
        <v>0</v>
      </c>
      <c r="K128" s="145">
        <f t="shared" si="99"/>
        <v>0</v>
      </c>
      <c r="L128" s="145">
        <f t="shared" si="99"/>
        <v>0</v>
      </c>
      <c r="M128" s="145">
        <f t="shared" si="99"/>
        <v>0</v>
      </c>
      <c r="N128" s="145">
        <f t="shared" si="99"/>
        <v>0</v>
      </c>
      <c r="O128" s="145">
        <f t="shared" si="99"/>
        <v>0</v>
      </c>
      <c r="P128" s="145">
        <f t="shared" si="99"/>
        <v>0</v>
      </c>
      <c r="Q128" s="36"/>
      <c r="R128" s="39"/>
    </row>
    <row r="129" spans="1:20" s="33" customFormat="1" ht="93" hidden="1" thickTop="1" thickBot="1" x14ac:dyDescent="0.25">
      <c r="A129" s="41" t="s">
        <v>1055</v>
      </c>
      <c r="B129" s="41" t="s">
        <v>1056</v>
      </c>
      <c r="C129" s="41" t="s">
        <v>170</v>
      </c>
      <c r="D129" s="41" t="s">
        <v>1057</v>
      </c>
      <c r="E129" s="42">
        <f t="shared" si="83"/>
        <v>0</v>
      </c>
      <c r="F129" s="43"/>
      <c r="G129" s="43"/>
      <c r="H129" s="43"/>
      <c r="I129" s="43"/>
      <c r="J129" s="42">
        <f t="shared" si="80"/>
        <v>0</v>
      </c>
      <c r="K129" s="43"/>
      <c r="L129" s="43"/>
      <c r="M129" s="43"/>
      <c r="N129" s="43"/>
      <c r="O129" s="44">
        <f>K129</f>
        <v>0</v>
      </c>
      <c r="P129" s="42">
        <f t="shared" si="81"/>
        <v>0</v>
      </c>
      <c r="Q129" s="36"/>
      <c r="R129" s="26"/>
    </row>
    <row r="130" spans="1:20" s="28" customFormat="1" ht="47.25" hidden="1" thickTop="1" thickBot="1" x14ac:dyDescent="0.25">
      <c r="A130" s="136" t="s">
        <v>726</v>
      </c>
      <c r="B130" s="136" t="s">
        <v>691</v>
      </c>
      <c r="C130" s="136"/>
      <c r="D130" s="136" t="s">
        <v>689</v>
      </c>
      <c r="E130" s="137">
        <f>E131</f>
        <v>0</v>
      </c>
      <c r="F130" s="137">
        <f t="shared" ref="F130:P130" si="100">F131</f>
        <v>0</v>
      </c>
      <c r="G130" s="137">
        <f t="shared" si="100"/>
        <v>0</v>
      </c>
      <c r="H130" s="137">
        <f t="shared" si="100"/>
        <v>0</v>
      </c>
      <c r="I130" s="137">
        <f t="shared" si="100"/>
        <v>0</v>
      </c>
      <c r="J130" s="137">
        <f t="shared" si="100"/>
        <v>0</v>
      </c>
      <c r="K130" s="137">
        <f t="shared" si="100"/>
        <v>0</v>
      </c>
      <c r="L130" s="137">
        <f t="shared" si="100"/>
        <v>0</v>
      </c>
      <c r="M130" s="137">
        <f t="shared" si="100"/>
        <v>0</v>
      </c>
      <c r="N130" s="137">
        <f t="shared" si="100"/>
        <v>0</v>
      </c>
      <c r="O130" s="137">
        <f t="shared" si="100"/>
        <v>0</v>
      </c>
      <c r="P130" s="137">
        <f t="shared" si="100"/>
        <v>0</v>
      </c>
      <c r="Q130" s="149"/>
      <c r="R130" s="40"/>
    </row>
    <row r="131" spans="1:20" s="28" customFormat="1" ht="48" hidden="1" thickTop="1" thickBot="1" x14ac:dyDescent="0.25">
      <c r="A131" s="128" t="s">
        <v>1255</v>
      </c>
      <c r="B131" s="128" t="s">
        <v>212</v>
      </c>
      <c r="C131" s="128" t="s">
        <v>213</v>
      </c>
      <c r="D131" s="128" t="s">
        <v>41</v>
      </c>
      <c r="E131" s="127">
        <f t="shared" si="83"/>
        <v>0</v>
      </c>
      <c r="F131" s="134"/>
      <c r="G131" s="134"/>
      <c r="H131" s="134"/>
      <c r="I131" s="134"/>
      <c r="J131" s="127">
        <f t="shared" ref="J131" si="101">L131+O131</f>
        <v>0</v>
      </c>
      <c r="K131" s="134"/>
      <c r="L131" s="134"/>
      <c r="M131" s="134"/>
      <c r="N131" s="134"/>
      <c r="O131" s="132">
        <f t="shared" ref="O131" si="102">K131</f>
        <v>0</v>
      </c>
      <c r="P131" s="127">
        <f t="shared" si="81"/>
        <v>0</v>
      </c>
      <c r="Q131" s="149"/>
      <c r="R131" s="40"/>
    </row>
    <row r="132" spans="1:20" s="33" customFormat="1" ht="48" hidden="1" thickTop="1" thickBot="1" x14ac:dyDescent="0.25">
      <c r="A132" s="41" t="s">
        <v>435</v>
      </c>
      <c r="B132" s="41" t="s">
        <v>197</v>
      </c>
      <c r="C132" s="41" t="s">
        <v>170</v>
      </c>
      <c r="D132" s="41" t="s">
        <v>34</v>
      </c>
      <c r="E132" s="42">
        <f t="shared" si="83"/>
        <v>0</v>
      </c>
      <c r="F132" s="43"/>
      <c r="G132" s="43"/>
      <c r="H132" s="43"/>
      <c r="I132" s="43"/>
      <c r="J132" s="42">
        <f t="shared" si="80"/>
        <v>0</v>
      </c>
      <c r="K132" s="43"/>
      <c r="L132" s="43"/>
      <c r="M132" s="43"/>
      <c r="N132" s="43"/>
      <c r="O132" s="44">
        <f t="shared" si="85"/>
        <v>0</v>
      </c>
      <c r="P132" s="42">
        <f t="shared" si="81"/>
        <v>0</v>
      </c>
      <c r="Q132" s="36"/>
      <c r="R132" s="26"/>
    </row>
    <row r="133" spans="1:20" s="33" customFormat="1" ht="48" hidden="1" thickTop="1" thickBot="1" x14ac:dyDescent="0.25">
      <c r="A133" s="41" t="s">
        <v>509</v>
      </c>
      <c r="B133" s="41" t="s">
        <v>363</v>
      </c>
      <c r="C133" s="41" t="s">
        <v>43</v>
      </c>
      <c r="D133" s="41" t="s">
        <v>364</v>
      </c>
      <c r="E133" s="42">
        <f t="shared" si="83"/>
        <v>0</v>
      </c>
      <c r="F133" s="43"/>
      <c r="G133" s="43"/>
      <c r="H133" s="43"/>
      <c r="I133" s="43"/>
      <c r="J133" s="42">
        <f t="shared" si="80"/>
        <v>0</v>
      </c>
      <c r="K133" s="43"/>
      <c r="L133" s="43"/>
      <c r="M133" s="43"/>
      <c r="N133" s="43"/>
      <c r="O133" s="44">
        <f t="shared" si="85"/>
        <v>0</v>
      </c>
      <c r="P133" s="42">
        <f t="shared" si="81"/>
        <v>0</v>
      </c>
      <c r="Q133" s="36"/>
      <c r="R133" s="30"/>
    </row>
    <row r="134" spans="1:20" ht="91.5" thickTop="1" thickBot="1" x14ac:dyDescent="0.25">
      <c r="A134" s="478" t="s">
        <v>156</v>
      </c>
      <c r="B134" s="478"/>
      <c r="C134" s="478"/>
      <c r="D134" s="479" t="s">
        <v>37</v>
      </c>
      <c r="E134" s="502">
        <f>E135</f>
        <v>313734201.00999999</v>
      </c>
      <c r="F134" s="480">
        <f t="shared" ref="F134:G134" si="103">F135</f>
        <v>313734201.00999999</v>
      </c>
      <c r="G134" s="480">
        <f t="shared" si="103"/>
        <v>100966833</v>
      </c>
      <c r="H134" s="480">
        <f>H135</f>
        <v>5120729.7800000012</v>
      </c>
      <c r="I134" s="480">
        <f t="shared" ref="I134" si="104">I135</f>
        <v>0</v>
      </c>
      <c r="J134" s="502">
        <f>J135</f>
        <v>101398382.53999999</v>
      </c>
      <c r="K134" s="480">
        <f>K135</f>
        <v>95135122.539999992</v>
      </c>
      <c r="L134" s="480">
        <f>L135</f>
        <v>6239260</v>
      </c>
      <c r="M134" s="480">
        <f t="shared" ref="M134" si="105">M135</f>
        <v>2604685</v>
      </c>
      <c r="N134" s="480">
        <f>N135</f>
        <v>705805</v>
      </c>
      <c r="O134" s="502">
        <f>O135</f>
        <v>95159122.539999992</v>
      </c>
      <c r="P134" s="480">
        <f>P135</f>
        <v>415132583.54999995</v>
      </c>
      <c r="Q134" s="20"/>
    </row>
    <row r="135" spans="1:20" ht="91.5" thickTop="1" thickBot="1" x14ac:dyDescent="0.25">
      <c r="A135" s="481" t="s">
        <v>157</v>
      </c>
      <c r="B135" s="481"/>
      <c r="C135" s="481"/>
      <c r="D135" s="482" t="s">
        <v>38</v>
      </c>
      <c r="E135" s="483">
        <f>E136+E140+E181+E185</f>
        <v>313734201.00999999</v>
      </c>
      <c r="F135" s="483">
        <f>F136+F140+F181+F185</f>
        <v>313734201.00999999</v>
      </c>
      <c r="G135" s="483">
        <f>G136+G140+G181+G185</f>
        <v>100966833</v>
      </c>
      <c r="H135" s="483">
        <f>H136+H140+H181+H185</f>
        <v>5120729.7800000012</v>
      </c>
      <c r="I135" s="483">
        <f>I136+I140+I181+I185</f>
        <v>0</v>
      </c>
      <c r="J135" s="483">
        <f t="shared" ref="J135:J161" si="106">L135+O135</f>
        <v>101398382.53999999</v>
      </c>
      <c r="K135" s="483">
        <f>K136+K140+K181+K185</f>
        <v>95135122.539999992</v>
      </c>
      <c r="L135" s="483">
        <f>L136+L140+L181+L185</f>
        <v>6239260</v>
      </c>
      <c r="M135" s="483">
        <f>M136+M140+M181+M185</f>
        <v>2604685</v>
      </c>
      <c r="N135" s="483">
        <f>N136+N140+N181+N185</f>
        <v>705805</v>
      </c>
      <c r="O135" s="483">
        <f>O136+O140+O181+O185</f>
        <v>95159122.539999992</v>
      </c>
      <c r="P135" s="483">
        <f>E135+J135</f>
        <v>415132583.54999995</v>
      </c>
      <c r="Q135" s="503" t="b">
        <f>P135=P137+P139+P142+P143+P144+P145+P146+P147+P148+P149+P151+P152+P154+P155+P157+P158+P160+P161+P177+P179+P180+P183+P190</f>
        <v>1</v>
      </c>
      <c r="R135" s="46"/>
      <c r="S135" s="46"/>
      <c r="T135" s="45"/>
    </row>
    <row r="136" spans="1:20" ht="47.25" thickTop="1" thickBot="1" x14ac:dyDescent="0.25">
      <c r="A136" s="311" t="s">
        <v>727</v>
      </c>
      <c r="B136" s="311" t="s">
        <v>684</v>
      </c>
      <c r="C136" s="311"/>
      <c r="D136" s="311" t="s">
        <v>685</v>
      </c>
      <c r="E136" s="328">
        <f t="shared" ref="E136:P136" si="107">SUM(E137:E139)</f>
        <v>58832582</v>
      </c>
      <c r="F136" s="328">
        <f t="shared" si="107"/>
        <v>58832582</v>
      </c>
      <c r="G136" s="328">
        <f t="shared" si="107"/>
        <v>43735000</v>
      </c>
      <c r="H136" s="328">
        <f t="shared" si="107"/>
        <v>2080882</v>
      </c>
      <c r="I136" s="328">
        <f t="shared" si="107"/>
        <v>0</v>
      </c>
      <c r="J136" s="328">
        <f t="shared" si="107"/>
        <v>700000</v>
      </c>
      <c r="K136" s="328">
        <f t="shared" si="107"/>
        <v>700000</v>
      </c>
      <c r="L136" s="328">
        <f t="shared" si="107"/>
        <v>0</v>
      </c>
      <c r="M136" s="328">
        <f t="shared" si="107"/>
        <v>0</v>
      </c>
      <c r="N136" s="328">
        <f t="shared" si="107"/>
        <v>0</v>
      </c>
      <c r="O136" s="328">
        <f t="shared" si="107"/>
        <v>700000</v>
      </c>
      <c r="P136" s="328">
        <f t="shared" si="107"/>
        <v>59532582</v>
      </c>
      <c r="Q136" s="47"/>
      <c r="R136" s="46"/>
      <c r="T136" s="45"/>
    </row>
    <row r="137" spans="1:20" ht="93" thickTop="1" thickBot="1" x14ac:dyDescent="0.25">
      <c r="A137" s="103" t="s">
        <v>415</v>
      </c>
      <c r="B137" s="103" t="s">
        <v>236</v>
      </c>
      <c r="C137" s="103" t="s">
        <v>234</v>
      </c>
      <c r="D137" s="103" t="s">
        <v>235</v>
      </c>
      <c r="E137" s="328">
        <f t="shared" ref="E137:E139" si="108">F137</f>
        <v>58802582</v>
      </c>
      <c r="F137" s="462">
        <v>58802582</v>
      </c>
      <c r="G137" s="462">
        <v>43735000</v>
      </c>
      <c r="H137" s="462">
        <v>2080882</v>
      </c>
      <c r="I137" s="462"/>
      <c r="J137" s="328">
        <f t="shared" si="106"/>
        <v>700000</v>
      </c>
      <c r="K137" s="462">
        <v>700000</v>
      </c>
      <c r="L137" s="462"/>
      <c r="M137" s="462"/>
      <c r="N137" s="462"/>
      <c r="O137" s="459">
        <f>K137</f>
        <v>700000</v>
      </c>
      <c r="P137" s="328">
        <f t="shared" ref="P137:P152" si="109">E137+J137</f>
        <v>59502582</v>
      </c>
      <c r="Q137" s="47"/>
      <c r="R137" s="46"/>
      <c r="T137" s="45"/>
    </row>
    <row r="138" spans="1:20" ht="93" hidden="1" thickTop="1" thickBot="1" x14ac:dyDescent="0.25">
      <c r="A138" s="103" t="s">
        <v>628</v>
      </c>
      <c r="B138" s="103" t="s">
        <v>362</v>
      </c>
      <c r="C138" s="103" t="s">
        <v>625</v>
      </c>
      <c r="D138" s="103" t="s">
        <v>626</v>
      </c>
      <c r="E138" s="328">
        <f t="shared" si="108"/>
        <v>0</v>
      </c>
      <c r="F138" s="462">
        <v>0</v>
      </c>
      <c r="G138" s="462"/>
      <c r="H138" s="462"/>
      <c r="I138" s="462"/>
      <c r="J138" s="328">
        <f t="shared" si="106"/>
        <v>0</v>
      </c>
      <c r="K138" s="462"/>
      <c r="L138" s="462"/>
      <c r="M138" s="462"/>
      <c r="N138" s="462"/>
      <c r="O138" s="459">
        <f>K138</f>
        <v>0</v>
      </c>
      <c r="P138" s="328">
        <f t="shared" si="109"/>
        <v>0</v>
      </c>
      <c r="Q138" s="47"/>
      <c r="R138" s="46"/>
      <c r="T138" s="45"/>
    </row>
    <row r="139" spans="1:20" ht="48" thickTop="1" thickBot="1" x14ac:dyDescent="0.25">
      <c r="A139" s="103" t="s">
        <v>919</v>
      </c>
      <c r="B139" s="103" t="s">
        <v>43</v>
      </c>
      <c r="C139" s="103" t="s">
        <v>42</v>
      </c>
      <c r="D139" s="103" t="s">
        <v>248</v>
      </c>
      <c r="E139" s="328">
        <f t="shared" si="108"/>
        <v>30000</v>
      </c>
      <c r="F139" s="462">
        <v>30000</v>
      </c>
      <c r="G139" s="462"/>
      <c r="H139" s="462"/>
      <c r="I139" s="462"/>
      <c r="J139" s="328">
        <f t="shared" si="106"/>
        <v>0</v>
      </c>
      <c r="K139" s="462"/>
      <c r="L139" s="462"/>
      <c r="M139" s="462"/>
      <c r="N139" s="462"/>
      <c r="O139" s="459"/>
      <c r="P139" s="328">
        <f t="shared" si="109"/>
        <v>30000</v>
      </c>
      <c r="Q139" s="47"/>
      <c r="R139" s="46"/>
      <c r="T139" s="45"/>
    </row>
    <row r="140" spans="1:20" ht="47.25" thickTop="1" thickBot="1" x14ac:dyDescent="0.25">
      <c r="A140" s="311" t="s">
        <v>728</v>
      </c>
      <c r="B140" s="311" t="s">
        <v>711</v>
      </c>
      <c r="C140" s="311"/>
      <c r="D140" s="311" t="s">
        <v>712</v>
      </c>
      <c r="E140" s="328">
        <f t="shared" ref="E140:P140" si="110">SUM(E141:E180)-E141-E150-E159-E162-E178-E156-E153</f>
        <v>254901619.00999999</v>
      </c>
      <c r="F140" s="328">
        <f t="shared" si="110"/>
        <v>254901619.00999999</v>
      </c>
      <c r="G140" s="328">
        <f t="shared" si="110"/>
        <v>57231833</v>
      </c>
      <c r="H140" s="328">
        <f t="shared" si="110"/>
        <v>3039847.7800000007</v>
      </c>
      <c r="I140" s="328">
        <f t="shared" si="110"/>
        <v>0</v>
      </c>
      <c r="J140" s="328">
        <f t="shared" si="110"/>
        <v>74684722.539999992</v>
      </c>
      <c r="K140" s="328">
        <f t="shared" si="110"/>
        <v>68421462.539999992</v>
      </c>
      <c r="L140" s="328">
        <f t="shared" si="110"/>
        <v>6239260</v>
      </c>
      <c r="M140" s="328">
        <f t="shared" si="110"/>
        <v>2604685</v>
      </c>
      <c r="N140" s="328">
        <f t="shared" si="110"/>
        <v>705805</v>
      </c>
      <c r="O140" s="328">
        <f t="shared" si="110"/>
        <v>68445462.539999992</v>
      </c>
      <c r="P140" s="328">
        <f t="shared" si="110"/>
        <v>329586341.54999995</v>
      </c>
      <c r="Q140" s="47"/>
      <c r="R140" s="46"/>
      <c r="T140" s="45"/>
    </row>
    <row r="141" spans="1:20" ht="138.75" thickTop="1" thickBot="1" x14ac:dyDescent="0.25">
      <c r="A141" s="329" t="s">
        <v>729</v>
      </c>
      <c r="B141" s="329" t="s">
        <v>730</v>
      </c>
      <c r="C141" s="329"/>
      <c r="D141" s="329" t="s">
        <v>731</v>
      </c>
      <c r="E141" s="325">
        <f>SUM(E142:E146)</f>
        <v>79408000</v>
      </c>
      <c r="F141" s="325">
        <f t="shared" ref="F141:P141" si="111">SUM(F142:F146)</f>
        <v>79408000</v>
      </c>
      <c r="G141" s="325">
        <f t="shared" si="111"/>
        <v>0</v>
      </c>
      <c r="H141" s="325">
        <f t="shared" si="111"/>
        <v>0</v>
      </c>
      <c r="I141" s="325">
        <f t="shared" si="111"/>
        <v>0</v>
      </c>
      <c r="J141" s="325">
        <f t="shared" si="111"/>
        <v>50000</v>
      </c>
      <c r="K141" s="325">
        <f t="shared" si="111"/>
        <v>50000</v>
      </c>
      <c r="L141" s="325">
        <f t="shared" si="111"/>
        <v>0</v>
      </c>
      <c r="M141" s="325">
        <f t="shared" si="111"/>
        <v>0</v>
      </c>
      <c r="N141" s="325">
        <f t="shared" si="111"/>
        <v>0</v>
      </c>
      <c r="O141" s="325">
        <f t="shared" si="111"/>
        <v>50000</v>
      </c>
      <c r="P141" s="325">
        <f t="shared" si="111"/>
        <v>79458000</v>
      </c>
      <c r="Q141" s="150"/>
      <c r="R141" s="48"/>
      <c r="T141" s="49"/>
    </row>
    <row r="142" spans="1:20" s="33" customFormat="1" ht="93" thickTop="1" thickBot="1" x14ac:dyDescent="0.25">
      <c r="A142" s="103" t="s">
        <v>269</v>
      </c>
      <c r="B142" s="103" t="s">
        <v>270</v>
      </c>
      <c r="C142" s="103" t="s">
        <v>205</v>
      </c>
      <c r="D142" s="330" t="s">
        <v>271</v>
      </c>
      <c r="E142" s="328">
        <f>F142</f>
        <v>858000</v>
      </c>
      <c r="F142" s="462">
        <f>(835000)+23000</f>
        <v>858000</v>
      </c>
      <c r="G142" s="462"/>
      <c r="H142" s="462"/>
      <c r="I142" s="462"/>
      <c r="J142" s="328">
        <f t="shared" si="106"/>
        <v>50000</v>
      </c>
      <c r="K142" s="462">
        <v>50000</v>
      </c>
      <c r="L142" s="462"/>
      <c r="M142" s="462"/>
      <c r="N142" s="462"/>
      <c r="O142" s="459">
        <f t="shared" ref="O142:O161" si="112">K142</f>
        <v>50000</v>
      </c>
      <c r="P142" s="328">
        <f t="shared" si="109"/>
        <v>908000</v>
      </c>
      <c r="Q142" s="36"/>
      <c r="R142" s="46"/>
    </row>
    <row r="143" spans="1:20" s="33" customFormat="1" ht="48" thickTop="1" thickBot="1" x14ac:dyDescent="0.25">
      <c r="A143" s="103" t="s">
        <v>272</v>
      </c>
      <c r="B143" s="103" t="s">
        <v>273</v>
      </c>
      <c r="C143" s="103" t="s">
        <v>206</v>
      </c>
      <c r="D143" s="103" t="s">
        <v>6</v>
      </c>
      <c r="E143" s="328">
        <f t="shared" ref="E143:E192" si="113">F143</f>
        <v>650000</v>
      </c>
      <c r="F143" s="462">
        <v>650000</v>
      </c>
      <c r="G143" s="462"/>
      <c r="H143" s="462"/>
      <c r="I143" s="462"/>
      <c r="J143" s="328">
        <f t="shared" si="106"/>
        <v>0</v>
      </c>
      <c r="K143" s="462"/>
      <c r="L143" s="462"/>
      <c r="M143" s="462"/>
      <c r="N143" s="462"/>
      <c r="O143" s="459">
        <f t="shared" si="112"/>
        <v>0</v>
      </c>
      <c r="P143" s="328">
        <f t="shared" si="109"/>
        <v>650000</v>
      </c>
      <c r="Q143" s="36"/>
      <c r="R143" s="50"/>
    </row>
    <row r="144" spans="1:20" s="33" customFormat="1" ht="93" thickTop="1" thickBot="1" x14ac:dyDescent="0.25">
      <c r="A144" s="103" t="s">
        <v>275</v>
      </c>
      <c r="B144" s="103" t="s">
        <v>276</v>
      </c>
      <c r="C144" s="103" t="s">
        <v>206</v>
      </c>
      <c r="D144" s="103" t="s">
        <v>7</v>
      </c>
      <c r="E144" s="328">
        <f t="shared" si="113"/>
        <v>19200000</v>
      </c>
      <c r="F144" s="462">
        <v>19200000</v>
      </c>
      <c r="G144" s="462"/>
      <c r="H144" s="462"/>
      <c r="I144" s="462"/>
      <c r="J144" s="328">
        <f t="shared" si="106"/>
        <v>0</v>
      </c>
      <c r="K144" s="462"/>
      <c r="L144" s="462"/>
      <c r="M144" s="462"/>
      <c r="N144" s="462"/>
      <c r="O144" s="459">
        <f t="shared" si="112"/>
        <v>0</v>
      </c>
      <c r="P144" s="328">
        <f t="shared" si="109"/>
        <v>19200000</v>
      </c>
      <c r="Q144" s="36"/>
      <c r="R144" s="50"/>
    </row>
    <row r="145" spans="1:18" s="33" customFormat="1" ht="93" thickTop="1" thickBot="1" x14ac:dyDescent="0.25">
      <c r="A145" s="103" t="s">
        <v>277</v>
      </c>
      <c r="B145" s="103" t="s">
        <v>274</v>
      </c>
      <c r="C145" s="103" t="s">
        <v>206</v>
      </c>
      <c r="D145" s="103" t="s">
        <v>8</v>
      </c>
      <c r="E145" s="328">
        <f t="shared" si="113"/>
        <v>700000</v>
      </c>
      <c r="F145" s="462">
        <v>700000</v>
      </c>
      <c r="G145" s="462"/>
      <c r="H145" s="462"/>
      <c r="I145" s="462"/>
      <c r="J145" s="328">
        <f t="shared" si="106"/>
        <v>0</v>
      </c>
      <c r="K145" s="462"/>
      <c r="L145" s="462"/>
      <c r="M145" s="462"/>
      <c r="N145" s="462"/>
      <c r="O145" s="459">
        <f t="shared" si="112"/>
        <v>0</v>
      </c>
      <c r="P145" s="328">
        <f t="shared" si="109"/>
        <v>700000</v>
      </c>
      <c r="Q145" s="36"/>
      <c r="R145" s="50"/>
    </row>
    <row r="146" spans="1:18" s="33" customFormat="1" ht="93" thickTop="1" thickBot="1" x14ac:dyDescent="0.25">
      <c r="A146" s="103" t="s">
        <v>278</v>
      </c>
      <c r="B146" s="103" t="s">
        <v>279</v>
      </c>
      <c r="C146" s="103" t="s">
        <v>206</v>
      </c>
      <c r="D146" s="103" t="s">
        <v>9</v>
      </c>
      <c r="E146" s="328">
        <f t="shared" si="113"/>
        <v>58000000</v>
      </c>
      <c r="F146" s="462">
        <v>58000000</v>
      </c>
      <c r="G146" s="462"/>
      <c r="H146" s="462"/>
      <c r="I146" s="462"/>
      <c r="J146" s="328">
        <f t="shared" si="106"/>
        <v>0</v>
      </c>
      <c r="K146" s="462"/>
      <c r="L146" s="462"/>
      <c r="M146" s="462"/>
      <c r="N146" s="462"/>
      <c r="O146" s="459">
        <f t="shared" si="112"/>
        <v>0</v>
      </c>
      <c r="P146" s="328">
        <f t="shared" si="109"/>
        <v>58000000</v>
      </c>
      <c r="Q146" s="36"/>
      <c r="R146" s="50"/>
    </row>
    <row r="147" spans="1:18" s="33" customFormat="1" ht="93" thickTop="1" thickBot="1" x14ac:dyDescent="0.25">
      <c r="A147" s="103" t="s">
        <v>478</v>
      </c>
      <c r="B147" s="103" t="s">
        <v>479</v>
      </c>
      <c r="C147" s="103" t="s">
        <v>206</v>
      </c>
      <c r="D147" s="103" t="s">
        <v>480</v>
      </c>
      <c r="E147" s="328">
        <f t="shared" si="113"/>
        <v>362971</v>
      </c>
      <c r="F147" s="462">
        <v>362971</v>
      </c>
      <c r="G147" s="462"/>
      <c r="H147" s="462"/>
      <c r="I147" s="462"/>
      <c r="J147" s="328">
        <f t="shared" si="106"/>
        <v>0</v>
      </c>
      <c r="K147" s="462"/>
      <c r="L147" s="462"/>
      <c r="M147" s="462"/>
      <c r="N147" s="462"/>
      <c r="O147" s="459">
        <f t="shared" si="112"/>
        <v>0</v>
      </c>
      <c r="P147" s="328">
        <f t="shared" si="109"/>
        <v>362971</v>
      </c>
      <c r="Q147" s="36"/>
      <c r="R147" s="50"/>
    </row>
    <row r="148" spans="1:18" s="33" customFormat="1" ht="93" thickTop="1" thickBot="1" x14ac:dyDescent="0.25">
      <c r="A148" s="103" t="s">
        <v>920</v>
      </c>
      <c r="B148" s="103" t="s">
        <v>921</v>
      </c>
      <c r="C148" s="103" t="s">
        <v>206</v>
      </c>
      <c r="D148" s="103" t="s">
        <v>922</v>
      </c>
      <c r="E148" s="328">
        <f t="shared" si="113"/>
        <v>1500000</v>
      </c>
      <c r="F148" s="462">
        <v>1500000</v>
      </c>
      <c r="G148" s="462"/>
      <c r="H148" s="462"/>
      <c r="I148" s="462"/>
      <c r="J148" s="328">
        <f t="shared" si="106"/>
        <v>0</v>
      </c>
      <c r="K148" s="462"/>
      <c r="L148" s="462"/>
      <c r="M148" s="462"/>
      <c r="N148" s="462"/>
      <c r="O148" s="459">
        <f t="shared" si="112"/>
        <v>0</v>
      </c>
      <c r="P148" s="328">
        <f t="shared" si="109"/>
        <v>1500000</v>
      </c>
      <c r="Q148" s="36"/>
      <c r="R148" s="50"/>
    </row>
    <row r="149" spans="1:18" ht="93" thickTop="1" thickBot="1" x14ac:dyDescent="0.25">
      <c r="A149" s="103" t="s">
        <v>481</v>
      </c>
      <c r="B149" s="103" t="s">
        <v>482</v>
      </c>
      <c r="C149" s="103" t="s">
        <v>205</v>
      </c>
      <c r="D149" s="103" t="s">
        <v>483</v>
      </c>
      <c r="E149" s="328">
        <f t="shared" si="113"/>
        <v>470456</v>
      </c>
      <c r="F149" s="462">
        <v>470456</v>
      </c>
      <c r="G149" s="462"/>
      <c r="H149" s="462"/>
      <c r="I149" s="462"/>
      <c r="J149" s="328">
        <f t="shared" si="106"/>
        <v>0</v>
      </c>
      <c r="K149" s="462"/>
      <c r="L149" s="462"/>
      <c r="M149" s="462"/>
      <c r="N149" s="462"/>
      <c r="O149" s="459">
        <f>K149</f>
        <v>0</v>
      </c>
      <c r="P149" s="328">
        <f t="shared" si="109"/>
        <v>470456</v>
      </c>
      <c r="Q149" s="20"/>
      <c r="R149" s="50"/>
    </row>
    <row r="150" spans="1:18" s="33" customFormat="1" ht="138.75" thickTop="1" thickBot="1" x14ac:dyDescent="0.25">
      <c r="A150" s="329" t="s">
        <v>732</v>
      </c>
      <c r="B150" s="329" t="s">
        <v>733</v>
      </c>
      <c r="C150" s="329"/>
      <c r="D150" s="329" t="s">
        <v>734</v>
      </c>
      <c r="E150" s="325">
        <f>SUM(E151:E152)</f>
        <v>64811191.219999999</v>
      </c>
      <c r="F150" s="325">
        <f t="shared" ref="F150:P150" si="114">SUM(F151:F152)</f>
        <v>64811191.219999999</v>
      </c>
      <c r="G150" s="325">
        <f t="shared" si="114"/>
        <v>34554767</v>
      </c>
      <c r="H150" s="325">
        <f t="shared" si="114"/>
        <v>1315576.22</v>
      </c>
      <c r="I150" s="325">
        <f t="shared" si="114"/>
        <v>0</v>
      </c>
      <c r="J150" s="325">
        <f t="shared" si="114"/>
        <v>1271000</v>
      </c>
      <c r="K150" s="325">
        <f t="shared" si="114"/>
        <v>0</v>
      </c>
      <c r="L150" s="325">
        <f t="shared" si="114"/>
        <v>1271000</v>
      </c>
      <c r="M150" s="325">
        <f t="shared" si="114"/>
        <v>719000</v>
      </c>
      <c r="N150" s="325">
        <f t="shared" si="114"/>
        <v>150000</v>
      </c>
      <c r="O150" s="325">
        <f t="shared" si="114"/>
        <v>0</v>
      </c>
      <c r="P150" s="325">
        <f t="shared" si="114"/>
        <v>66082191.219999999</v>
      </c>
      <c r="Q150" s="36"/>
      <c r="R150" s="51"/>
    </row>
    <row r="151" spans="1:18" ht="138.75" thickTop="1" thickBot="1" x14ac:dyDescent="0.25">
      <c r="A151" s="103" t="s">
        <v>267</v>
      </c>
      <c r="B151" s="103" t="s">
        <v>265</v>
      </c>
      <c r="C151" s="103" t="s">
        <v>200</v>
      </c>
      <c r="D151" s="103" t="s">
        <v>17</v>
      </c>
      <c r="E151" s="328">
        <f t="shared" si="113"/>
        <v>53500456.219999999</v>
      </c>
      <c r="F151" s="462">
        <f>(53499099)+1357.22</f>
        <v>53500456.219999999</v>
      </c>
      <c r="G151" s="462">
        <v>26679366</v>
      </c>
      <c r="H151" s="462">
        <f>(441924+19130+141000+10800)+1357.22</f>
        <v>614211.22</v>
      </c>
      <c r="I151" s="462"/>
      <c r="J151" s="328">
        <f t="shared" si="106"/>
        <v>1271000</v>
      </c>
      <c r="K151" s="462">
        <v>0</v>
      </c>
      <c r="L151" s="462">
        <v>1271000</v>
      </c>
      <c r="M151" s="462">
        <v>719000</v>
      </c>
      <c r="N151" s="462">
        <f>70000+10000+70000</f>
        <v>150000</v>
      </c>
      <c r="O151" s="459">
        <f>K151</f>
        <v>0</v>
      </c>
      <c r="P151" s="328">
        <f t="shared" si="109"/>
        <v>54771456.219999999</v>
      </c>
      <c r="Q151" s="20"/>
      <c r="R151" s="46"/>
    </row>
    <row r="152" spans="1:18" ht="93" thickTop="1" thickBot="1" x14ac:dyDescent="0.25">
      <c r="A152" s="103" t="s">
        <v>268</v>
      </c>
      <c r="B152" s="103" t="s">
        <v>266</v>
      </c>
      <c r="C152" s="103" t="s">
        <v>199</v>
      </c>
      <c r="D152" s="103" t="s">
        <v>455</v>
      </c>
      <c r="E152" s="328">
        <f t="shared" si="113"/>
        <v>11310735</v>
      </c>
      <c r="F152" s="462">
        <v>11310735</v>
      </c>
      <c r="G152" s="462">
        <f>4675746+3199655</f>
        <v>7875401</v>
      </c>
      <c r="H152" s="462">
        <f>299371+9225+63300+833+266401+8754+53172+309</f>
        <v>701365</v>
      </c>
      <c r="I152" s="462"/>
      <c r="J152" s="328">
        <f t="shared" si="106"/>
        <v>0</v>
      </c>
      <c r="K152" s="462">
        <v>0</v>
      </c>
      <c r="L152" s="462"/>
      <c r="M152" s="462"/>
      <c r="N152" s="462"/>
      <c r="O152" s="459">
        <f t="shared" si="112"/>
        <v>0</v>
      </c>
      <c r="P152" s="328">
        <f t="shared" si="109"/>
        <v>11310735</v>
      </c>
      <c r="Q152" s="20"/>
      <c r="R152" s="46"/>
    </row>
    <row r="153" spans="1:18" ht="48" thickTop="1" thickBot="1" x14ac:dyDescent="0.25">
      <c r="A153" s="329" t="s">
        <v>1020</v>
      </c>
      <c r="B153" s="329" t="s">
        <v>765</v>
      </c>
      <c r="C153" s="329"/>
      <c r="D153" s="329" t="s">
        <v>766</v>
      </c>
      <c r="E153" s="325">
        <f>E154</f>
        <v>11137235.51</v>
      </c>
      <c r="F153" s="325">
        <f t="shared" ref="F153:P153" si="115">F154</f>
        <v>11137235.51</v>
      </c>
      <c r="G153" s="325">
        <f t="shared" si="115"/>
        <v>7875924</v>
      </c>
      <c r="H153" s="325">
        <f t="shared" si="115"/>
        <v>303560.56</v>
      </c>
      <c r="I153" s="325">
        <f t="shared" si="115"/>
        <v>0</v>
      </c>
      <c r="J153" s="325">
        <f t="shared" si="115"/>
        <v>0</v>
      </c>
      <c r="K153" s="325">
        <f t="shared" si="115"/>
        <v>0</v>
      </c>
      <c r="L153" s="325">
        <f t="shared" si="115"/>
        <v>0</v>
      </c>
      <c r="M153" s="325">
        <f t="shared" si="115"/>
        <v>0</v>
      </c>
      <c r="N153" s="325">
        <f t="shared" si="115"/>
        <v>0</v>
      </c>
      <c r="O153" s="325">
        <f t="shared" si="115"/>
        <v>0</v>
      </c>
      <c r="P153" s="325">
        <f t="shared" si="115"/>
        <v>11137235.51</v>
      </c>
      <c r="Q153" s="20"/>
      <c r="R153" s="46"/>
    </row>
    <row r="154" spans="1:18" ht="48" thickTop="1" thickBot="1" x14ac:dyDescent="0.25">
      <c r="A154" s="103" t="s">
        <v>1215</v>
      </c>
      <c r="B154" s="103" t="s">
        <v>184</v>
      </c>
      <c r="C154" s="103" t="s">
        <v>185</v>
      </c>
      <c r="D154" s="103" t="s">
        <v>638</v>
      </c>
      <c r="E154" s="312">
        <f t="shared" ref="E154" si="116">F154</f>
        <v>11137235.51</v>
      </c>
      <c r="F154" s="326">
        <f>(10726813)+198876.95+190000+6003.73+15541.83</f>
        <v>11137235.51</v>
      </c>
      <c r="G154" s="326">
        <v>7875924</v>
      </c>
      <c r="H154" s="326">
        <f>(120805+10790+84400+66020)+6003.73+15541.83</f>
        <v>303560.56</v>
      </c>
      <c r="I154" s="326"/>
      <c r="J154" s="328">
        <f t="shared" ref="J154" si="117">L154+O154</f>
        <v>0</v>
      </c>
      <c r="K154" s="326"/>
      <c r="L154" s="458"/>
      <c r="M154" s="458"/>
      <c r="N154" s="458"/>
      <c r="O154" s="459">
        <f t="shared" ref="O154" si="118">K154</f>
        <v>0</v>
      </c>
      <c r="P154" s="328">
        <f>+J154+E154</f>
        <v>11137235.51</v>
      </c>
      <c r="Q154" s="20"/>
      <c r="R154" s="46"/>
    </row>
    <row r="155" spans="1:18" ht="184.5" thickTop="1" thickBot="1" x14ac:dyDescent="0.25">
      <c r="A155" s="103" t="s">
        <v>263</v>
      </c>
      <c r="B155" s="103" t="s">
        <v>264</v>
      </c>
      <c r="C155" s="103" t="s">
        <v>199</v>
      </c>
      <c r="D155" s="103" t="s">
        <v>453</v>
      </c>
      <c r="E155" s="328">
        <f t="shared" si="113"/>
        <v>5126500</v>
      </c>
      <c r="F155" s="462">
        <v>5126500</v>
      </c>
      <c r="G155" s="462"/>
      <c r="H155" s="462"/>
      <c r="I155" s="462"/>
      <c r="J155" s="328">
        <f t="shared" si="106"/>
        <v>0</v>
      </c>
      <c r="K155" s="328"/>
      <c r="L155" s="462"/>
      <c r="M155" s="462"/>
      <c r="N155" s="462"/>
      <c r="O155" s="459">
        <f t="shared" si="112"/>
        <v>0</v>
      </c>
      <c r="P155" s="328">
        <f>+J155+E155</f>
        <v>5126500</v>
      </c>
      <c r="Q155" s="20"/>
      <c r="R155" s="50"/>
    </row>
    <row r="156" spans="1:18" ht="48" thickTop="1" thickBot="1" x14ac:dyDescent="0.25">
      <c r="A156" s="329" t="s">
        <v>881</v>
      </c>
      <c r="B156" s="329" t="s">
        <v>882</v>
      </c>
      <c r="C156" s="329"/>
      <c r="D156" s="329" t="s">
        <v>883</v>
      </c>
      <c r="E156" s="325">
        <f t="shared" si="113"/>
        <v>184607</v>
      </c>
      <c r="F156" s="325">
        <f>F157</f>
        <v>184607</v>
      </c>
      <c r="G156" s="325">
        <f t="shared" ref="G156:I156" si="119">G157</f>
        <v>0</v>
      </c>
      <c r="H156" s="325">
        <f t="shared" si="119"/>
        <v>0</v>
      </c>
      <c r="I156" s="325">
        <f t="shared" si="119"/>
        <v>0</v>
      </c>
      <c r="J156" s="325">
        <f t="shared" si="106"/>
        <v>0</v>
      </c>
      <c r="K156" s="325">
        <f t="shared" ref="K156:N156" si="120">K157</f>
        <v>0</v>
      </c>
      <c r="L156" s="325">
        <f t="shared" si="120"/>
        <v>0</v>
      </c>
      <c r="M156" s="325">
        <f t="shared" si="120"/>
        <v>0</v>
      </c>
      <c r="N156" s="325">
        <f t="shared" si="120"/>
        <v>0</v>
      </c>
      <c r="O156" s="325">
        <f t="shared" si="112"/>
        <v>0</v>
      </c>
      <c r="P156" s="325">
        <f>+J156+E156</f>
        <v>184607</v>
      </c>
      <c r="Q156" s="20"/>
      <c r="R156" s="50"/>
    </row>
    <row r="157" spans="1:18" ht="93" thickTop="1" thickBot="1" x14ac:dyDescent="0.25">
      <c r="A157" s="103" t="s">
        <v>484</v>
      </c>
      <c r="B157" s="103" t="s">
        <v>485</v>
      </c>
      <c r="C157" s="103" t="s">
        <v>199</v>
      </c>
      <c r="D157" s="103" t="s">
        <v>486</v>
      </c>
      <c r="E157" s="328">
        <f t="shared" si="113"/>
        <v>184607</v>
      </c>
      <c r="F157" s="462">
        <v>184607</v>
      </c>
      <c r="G157" s="462"/>
      <c r="H157" s="462"/>
      <c r="I157" s="462"/>
      <c r="J157" s="328">
        <f t="shared" si="106"/>
        <v>0</v>
      </c>
      <c r="K157" s="328"/>
      <c r="L157" s="462"/>
      <c r="M157" s="462"/>
      <c r="N157" s="462"/>
      <c r="O157" s="459">
        <f t="shared" si="112"/>
        <v>0</v>
      </c>
      <c r="P157" s="328">
        <f>+J157+E157</f>
        <v>184607</v>
      </c>
      <c r="Q157" s="20"/>
      <c r="R157" s="50"/>
    </row>
    <row r="158" spans="1:18" ht="138.75" thickTop="1" thickBot="1" x14ac:dyDescent="0.25">
      <c r="A158" s="103" t="s">
        <v>348</v>
      </c>
      <c r="B158" s="103" t="s">
        <v>347</v>
      </c>
      <c r="C158" s="103" t="s">
        <v>50</v>
      </c>
      <c r="D158" s="103" t="s">
        <v>454</v>
      </c>
      <c r="E158" s="328">
        <f t="shared" si="113"/>
        <v>2687933.28</v>
      </c>
      <c r="F158" s="462">
        <v>2687933.28</v>
      </c>
      <c r="G158" s="462"/>
      <c r="H158" s="462"/>
      <c r="I158" s="462"/>
      <c r="J158" s="328">
        <f t="shared" si="106"/>
        <v>0</v>
      </c>
      <c r="K158" s="328"/>
      <c r="L158" s="462"/>
      <c r="M158" s="462"/>
      <c r="N158" s="462"/>
      <c r="O158" s="459">
        <f t="shared" si="112"/>
        <v>0</v>
      </c>
      <c r="P158" s="328">
        <f>E158+J158</f>
        <v>2687933.28</v>
      </c>
      <c r="Q158" s="20"/>
      <c r="R158" s="50"/>
    </row>
    <row r="159" spans="1:18" s="33" customFormat="1" ht="48" thickTop="1" thickBot="1" x14ac:dyDescent="0.25">
      <c r="A159" s="329" t="s">
        <v>735</v>
      </c>
      <c r="B159" s="329" t="s">
        <v>736</v>
      </c>
      <c r="C159" s="329"/>
      <c r="D159" s="329" t="s">
        <v>737</v>
      </c>
      <c r="E159" s="325">
        <f>E160</f>
        <v>1000000</v>
      </c>
      <c r="F159" s="325">
        <f t="shared" ref="F159:P159" si="121">F160</f>
        <v>1000000</v>
      </c>
      <c r="G159" s="325">
        <f t="shared" si="121"/>
        <v>0</v>
      </c>
      <c r="H159" s="325">
        <f t="shared" si="121"/>
        <v>0</v>
      </c>
      <c r="I159" s="325">
        <f t="shared" si="121"/>
        <v>0</v>
      </c>
      <c r="J159" s="325">
        <f t="shared" si="121"/>
        <v>0</v>
      </c>
      <c r="K159" s="325">
        <f t="shared" si="121"/>
        <v>0</v>
      </c>
      <c r="L159" s="325">
        <f t="shared" si="121"/>
        <v>0</v>
      </c>
      <c r="M159" s="325">
        <f t="shared" si="121"/>
        <v>0</v>
      </c>
      <c r="N159" s="325">
        <f t="shared" si="121"/>
        <v>0</v>
      </c>
      <c r="O159" s="325">
        <f t="shared" si="121"/>
        <v>0</v>
      </c>
      <c r="P159" s="325">
        <f t="shared" si="121"/>
        <v>1000000</v>
      </c>
      <c r="Q159" s="36"/>
      <c r="R159" s="51"/>
    </row>
    <row r="160" spans="1:18" ht="93" thickTop="1" thickBot="1" x14ac:dyDescent="0.25">
      <c r="A160" s="103" t="s">
        <v>325</v>
      </c>
      <c r="B160" s="103" t="s">
        <v>326</v>
      </c>
      <c r="C160" s="103" t="s">
        <v>205</v>
      </c>
      <c r="D160" s="103" t="s">
        <v>635</v>
      </c>
      <c r="E160" s="328">
        <f t="shared" si="113"/>
        <v>1000000</v>
      </c>
      <c r="F160" s="462">
        <v>1000000</v>
      </c>
      <c r="G160" s="462"/>
      <c r="H160" s="462"/>
      <c r="I160" s="462"/>
      <c r="J160" s="328">
        <f t="shared" si="106"/>
        <v>0</v>
      </c>
      <c r="K160" s="462"/>
      <c r="L160" s="462"/>
      <c r="M160" s="462"/>
      <c r="N160" s="462"/>
      <c r="O160" s="459">
        <f t="shared" si="112"/>
        <v>0</v>
      </c>
      <c r="P160" s="328">
        <f>E160+J160</f>
        <v>1000000</v>
      </c>
      <c r="Q160" s="20"/>
      <c r="R160" s="50"/>
    </row>
    <row r="161" spans="1:18" ht="48" thickTop="1" thickBot="1" x14ac:dyDescent="0.25">
      <c r="A161" s="103" t="s">
        <v>428</v>
      </c>
      <c r="B161" s="103" t="s">
        <v>372</v>
      </c>
      <c r="C161" s="103" t="s">
        <v>373</v>
      </c>
      <c r="D161" s="103" t="s">
        <v>371</v>
      </c>
      <c r="E161" s="553">
        <f t="shared" si="113"/>
        <v>117000</v>
      </c>
      <c r="F161" s="462">
        <v>117000</v>
      </c>
      <c r="G161" s="462">
        <v>90000</v>
      </c>
      <c r="H161" s="462"/>
      <c r="I161" s="462"/>
      <c r="J161" s="328">
        <f t="shared" si="106"/>
        <v>0</v>
      </c>
      <c r="K161" s="462"/>
      <c r="L161" s="462"/>
      <c r="M161" s="462"/>
      <c r="N161" s="462"/>
      <c r="O161" s="459">
        <f t="shared" si="112"/>
        <v>0</v>
      </c>
      <c r="P161" s="328">
        <f>E161+J161</f>
        <v>117000</v>
      </c>
      <c r="Q161" s="20"/>
      <c r="R161" s="50"/>
    </row>
    <row r="162" spans="1:18" ht="93" hidden="1" thickTop="1" thickBot="1" x14ac:dyDescent="0.25">
      <c r="A162" s="140" t="s">
        <v>1059</v>
      </c>
      <c r="B162" s="140" t="s">
        <v>1060</v>
      </c>
      <c r="C162" s="140"/>
      <c r="D162" s="140" t="s">
        <v>1058</v>
      </c>
      <c r="E162" s="141">
        <f>E163+E167+E171+E174</f>
        <v>0</v>
      </c>
      <c r="F162" s="141">
        <f t="shared" ref="F162:P162" si="122">F163+F167+F171+F174</f>
        <v>0</v>
      </c>
      <c r="G162" s="141">
        <f t="shared" si="122"/>
        <v>0</v>
      </c>
      <c r="H162" s="141">
        <f t="shared" si="122"/>
        <v>0</v>
      </c>
      <c r="I162" s="141">
        <f t="shared" si="122"/>
        <v>0</v>
      </c>
      <c r="J162" s="141">
        <f t="shared" si="122"/>
        <v>0</v>
      </c>
      <c r="K162" s="141">
        <f t="shared" si="122"/>
        <v>0</v>
      </c>
      <c r="L162" s="141">
        <f t="shared" si="122"/>
        <v>0</v>
      </c>
      <c r="M162" s="141">
        <f t="shared" si="122"/>
        <v>0</v>
      </c>
      <c r="N162" s="141">
        <f t="shared" si="122"/>
        <v>0</v>
      </c>
      <c r="O162" s="141">
        <f t="shared" si="122"/>
        <v>0</v>
      </c>
      <c r="P162" s="141">
        <f t="shared" si="122"/>
        <v>0</v>
      </c>
      <c r="Q162" s="20"/>
      <c r="R162" s="50"/>
    </row>
    <row r="163" spans="1:18" ht="256.5" hidden="1" customHeight="1" thickTop="1" x14ac:dyDescent="0.65">
      <c r="A163" s="789" t="s">
        <v>1061</v>
      </c>
      <c r="B163" s="789" t="s">
        <v>1062</v>
      </c>
      <c r="C163" s="789" t="s">
        <v>50</v>
      </c>
      <c r="D163" s="403" t="s">
        <v>1432</v>
      </c>
      <c r="E163" s="778">
        <f t="shared" ref="E163:E167" si="123">F163</f>
        <v>0</v>
      </c>
      <c r="F163" s="778"/>
      <c r="G163" s="778"/>
      <c r="H163" s="778"/>
      <c r="I163" s="778"/>
      <c r="J163" s="778">
        <f t="shared" ref="J163:J167" si="124">L163+O163</f>
        <v>0</v>
      </c>
      <c r="K163" s="788">
        <v>0</v>
      </c>
      <c r="L163" s="778"/>
      <c r="M163" s="778"/>
      <c r="N163" s="778"/>
      <c r="O163" s="788">
        <f t="shared" ref="O163:O167" si="125">K163</f>
        <v>0</v>
      </c>
      <c r="P163" s="778">
        <f t="shared" ref="P163:P167" si="126">E163+J163</f>
        <v>0</v>
      </c>
      <c r="Q163" s="791"/>
      <c r="R163" s="775"/>
    </row>
    <row r="164" spans="1:18" ht="238.5" hidden="1" customHeight="1" x14ac:dyDescent="0.2">
      <c r="A164" s="779"/>
      <c r="B164" s="779"/>
      <c r="C164" s="779"/>
      <c r="D164" s="404" t="s">
        <v>1433</v>
      </c>
      <c r="E164" s="779"/>
      <c r="F164" s="779"/>
      <c r="G164" s="779"/>
      <c r="H164" s="779"/>
      <c r="I164" s="779"/>
      <c r="J164" s="779"/>
      <c r="K164" s="779"/>
      <c r="L164" s="779"/>
      <c r="M164" s="779"/>
      <c r="N164" s="779"/>
      <c r="O164" s="779"/>
      <c r="P164" s="779"/>
      <c r="Q164" s="791"/>
      <c r="R164" s="776"/>
    </row>
    <row r="165" spans="1:18" ht="220.5" hidden="1" customHeight="1" x14ac:dyDescent="0.2">
      <c r="A165" s="779"/>
      <c r="B165" s="779"/>
      <c r="C165" s="779"/>
      <c r="D165" s="404" t="s">
        <v>1434</v>
      </c>
      <c r="E165" s="779"/>
      <c r="F165" s="779"/>
      <c r="G165" s="779"/>
      <c r="H165" s="779"/>
      <c r="I165" s="779"/>
      <c r="J165" s="779"/>
      <c r="K165" s="779"/>
      <c r="L165" s="779"/>
      <c r="M165" s="779"/>
      <c r="N165" s="779"/>
      <c r="O165" s="779"/>
      <c r="P165" s="779"/>
      <c r="Q165" s="791"/>
      <c r="R165" s="776"/>
    </row>
    <row r="166" spans="1:18" ht="166.5" hidden="1" customHeight="1" thickBot="1" x14ac:dyDescent="0.25">
      <c r="A166" s="780"/>
      <c r="B166" s="780"/>
      <c r="C166" s="780"/>
      <c r="D166" s="405" t="s">
        <v>1435</v>
      </c>
      <c r="E166" s="780"/>
      <c r="F166" s="780"/>
      <c r="G166" s="780"/>
      <c r="H166" s="780"/>
      <c r="I166" s="780"/>
      <c r="J166" s="780"/>
      <c r="K166" s="780"/>
      <c r="L166" s="780"/>
      <c r="M166" s="780"/>
      <c r="N166" s="780"/>
      <c r="O166" s="780"/>
      <c r="P166" s="780"/>
      <c r="Q166" s="791"/>
      <c r="R166" s="776"/>
    </row>
    <row r="167" spans="1:18" ht="277.5" hidden="1" customHeight="1" thickTop="1" x14ac:dyDescent="0.65">
      <c r="A167" s="789" t="s">
        <v>1064</v>
      </c>
      <c r="B167" s="789" t="s">
        <v>1065</v>
      </c>
      <c r="C167" s="789" t="s">
        <v>50</v>
      </c>
      <c r="D167" s="403" t="s">
        <v>1063</v>
      </c>
      <c r="E167" s="778">
        <f t="shared" si="123"/>
        <v>0</v>
      </c>
      <c r="F167" s="778"/>
      <c r="G167" s="778"/>
      <c r="H167" s="778"/>
      <c r="I167" s="778"/>
      <c r="J167" s="778">
        <f t="shared" si="124"/>
        <v>0</v>
      </c>
      <c r="K167" s="788">
        <v>0</v>
      </c>
      <c r="L167" s="778"/>
      <c r="M167" s="778"/>
      <c r="N167" s="778"/>
      <c r="O167" s="778">
        <f t="shared" si="125"/>
        <v>0</v>
      </c>
      <c r="P167" s="778">
        <f t="shared" si="126"/>
        <v>0</v>
      </c>
      <c r="Q167" s="20"/>
      <c r="R167" s="775"/>
    </row>
    <row r="168" spans="1:18" ht="298.5" hidden="1" customHeight="1" x14ac:dyDescent="0.2">
      <c r="A168" s="779"/>
      <c r="B168" s="779"/>
      <c r="C168" s="779"/>
      <c r="D168" s="404" t="s">
        <v>1436</v>
      </c>
      <c r="E168" s="779"/>
      <c r="F168" s="779"/>
      <c r="G168" s="779"/>
      <c r="H168" s="779"/>
      <c r="I168" s="779"/>
      <c r="J168" s="779"/>
      <c r="K168" s="779"/>
      <c r="L168" s="779"/>
      <c r="M168" s="779"/>
      <c r="N168" s="779"/>
      <c r="O168" s="779"/>
      <c r="P168" s="779"/>
      <c r="Q168" s="20"/>
      <c r="R168" s="790"/>
    </row>
    <row r="169" spans="1:18" ht="283.5" hidden="1" customHeight="1" x14ac:dyDescent="0.2">
      <c r="A169" s="779"/>
      <c r="B169" s="779"/>
      <c r="C169" s="779"/>
      <c r="D169" s="404" t="s">
        <v>1437</v>
      </c>
      <c r="E169" s="779"/>
      <c r="F169" s="779"/>
      <c r="G169" s="779"/>
      <c r="H169" s="779"/>
      <c r="I169" s="779"/>
      <c r="J169" s="779"/>
      <c r="K169" s="779"/>
      <c r="L169" s="779"/>
      <c r="M169" s="779"/>
      <c r="N169" s="779"/>
      <c r="O169" s="779"/>
      <c r="P169" s="779"/>
      <c r="Q169" s="20"/>
      <c r="R169" s="790"/>
    </row>
    <row r="170" spans="1:18" ht="93" hidden="1" thickTop="1" thickBot="1" x14ac:dyDescent="0.25">
      <c r="A170" s="780"/>
      <c r="B170" s="780"/>
      <c r="C170" s="780"/>
      <c r="D170" s="405" t="s">
        <v>1438</v>
      </c>
      <c r="E170" s="780"/>
      <c r="F170" s="780"/>
      <c r="G170" s="780"/>
      <c r="H170" s="780"/>
      <c r="I170" s="780"/>
      <c r="J170" s="780"/>
      <c r="K170" s="780"/>
      <c r="L170" s="780"/>
      <c r="M170" s="780"/>
      <c r="N170" s="780"/>
      <c r="O170" s="780"/>
      <c r="P170" s="780"/>
      <c r="Q170" s="20"/>
      <c r="R170" s="790"/>
    </row>
    <row r="171" spans="1:18" ht="310.5" hidden="1" customHeight="1" thickTop="1" x14ac:dyDescent="0.65">
      <c r="A171" s="789" t="s">
        <v>1066</v>
      </c>
      <c r="B171" s="789" t="s">
        <v>1067</v>
      </c>
      <c r="C171" s="789" t="s">
        <v>50</v>
      </c>
      <c r="D171" s="403" t="s">
        <v>1439</v>
      </c>
      <c r="E171" s="778">
        <f t="shared" ref="E171" si="127">F171</f>
        <v>0</v>
      </c>
      <c r="F171" s="778"/>
      <c r="G171" s="778"/>
      <c r="H171" s="778"/>
      <c r="I171" s="778"/>
      <c r="J171" s="778">
        <f t="shared" ref="J171" si="128">L171+O171</f>
        <v>0</v>
      </c>
      <c r="K171" s="788">
        <v>0</v>
      </c>
      <c r="L171" s="778"/>
      <c r="M171" s="778"/>
      <c r="N171" s="778"/>
      <c r="O171" s="788">
        <f t="shared" ref="O171" si="129">K171</f>
        <v>0</v>
      </c>
      <c r="P171" s="778">
        <f t="shared" ref="P171" si="130">E171+J171</f>
        <v>0</v>
      </c>
      <c r="Q171" s="20"/>
      <c r="R171" s="775"/>
    </row>
    <row r="172" spans="1:18" ht="268.5" hidden="1" customHeight="1" x14ac:dyDescent="0.2">
      <c r="A172" s="779"/>
      <c r="B172" s="779"/>
      <c r="C172" s="779"/>
      <c r="D172" s="404" t="s">
        <v>1440</v>
      </c>
      <c r="E172" s="779"/>
      <c r="F172" s="779"/>
      <c r="G172" s="779"/>
      <c r="H172" s="779"/>
      <c r="I172" s="779"/>
      <c r="J172" s="779"/>
      <c r="K172" s="779"/>
      <c r="L172" s="779"/>
      <c r="M172" s="779"/>
      <c r="N172" s="779"/>
      <c r="O172" s="779"/>
      <c r="P172" s="779"/>
      <c r="Q172" s="20"/>
      <c r="R172" s="776"/>
    </row>
    <row r="173" spans="1:18" ht="93" hidden="1" thickTop="1" thickBot="1" x14ac:dyDescent="0.25">
      <c r="A173" s="780"/>
      <c r="B173" s="780"/>
      <c r="C173" s="780"/>
      <c r="D173" s="405" t="s">
        <v>1068</v>
      </c>
      <c r="E173" s="780"/>
      <c r="F173" s="780"/>
      <c r="G173" s="780"/>
      <c r="H173" s="780"/>
      <c r="I173" s="780"/>
      <c r="J173" s="780"/>
      <c r="K173" s="780"/>
      <c r="L173" s="780"/>
      <c r="M173" s="780"/>
      <c r="N173" s="780"/>
      <c r="O173" s="780"/>
      <c r="P173" s="780"/>
      <c r="Q173" s="20"/>
      <c r="R173" s="776"/>
    </row>
    <row r="174" spans="1:18" ht="184.5" hidden="1" thickTop="1" thickBot="1" x14ac:dyDescent="0.7">
      <c r="A174" s="777" t="s">
        <v>1072</v>
      </c>
      <c r="B174" s="777" t="s">
        <v>1073</v>
      </c>
      <c r="C174" s="777" t="s">
        <v>50</v>
      </c>
      <c r="D174" s="406" t="s">
        <v>1069</v>
      </c>
      <c r="E174" s="778">
        <f t="shared" ref="E174" si="131">F174</f>
        <v>0</v>
      </c>
      <c r="F174" s="778"/>
      <c r="G174" s="778"/>
      <c r="H174" s="778"/>
      <c r="I174" s="778"/>
      <c r="J174" s="778">
        <f t="shared" ref="J174" si="132">L174+O174</f>
        <v>0</v>
      </c>
      <c r="K174" s="774">
        <v>0</v>
      </c>
      <c r="L174" s="771"/>
      <c r="M174" s="771"/>
      <c r="N174" s="771"/>
      <c r="O174" s="774">
        <f t="shared" ref="O174" si="133">K174</f>
        <v>0</v>
      </c>
      <c r="P174" s="771">
        <f t="shared" ref="P174" si="134">E174+J174</f>
        <v>0</v>
      </c>
      <c r="Q174" s="20"/>
      <c r="R174" s="775"/>
    </row>
    <row r="175" spans="1:18" ht="184.5" hidden="1" thickTop="1" thickBot="1" x14ac:dyDescent="0.25">
      <c r="A175" s="772"/>
      <c r="B175" s="772"/>
      <c r="C175" s="772"/>
      <c r="D175" s="126" t="s">
        <v>1070</v>
      </c>
      <c r="E175" s="779"/>
      <c r="F175" s="779"/>
      <c r="G175" s="779"/>
      <c r="H175" s="779"/>
      <c r="I175" s="779"/>
      <c r="J175" s="779"/>
      <c r="K175" s="772"/>
      <c r="L175" s="772"/>
      <c r="M175" s="772"/>
      <c r="N175" s="772"/>
      <c r="O175" s="772"/>
      <c r="P175" s="772"/>
      <c r="Q175" s="20"/>
      <c r="R175" s="776"/>
    </row>
    <row r="176" spans="1:18" ht="47.25" hidden="1" thickTop="1" thickBot="1" x14ac:dyDescent="0.25">
      <c r="A176" s="773"/>
      <c r="B176" s="773"/>
      <c r="C176" s="773"/>
      <c r="D176" s="407" t="s">
        <v>1071</v>
      </c>
      <c r="E176" s="780"/>
      <c r="F176" s="780"/>
      <c r="G176" s="780"/>
      <c r="H176" s="780"/>
      <c r="I176" s="780"/>
      <c r="J176" s="780"/>
      <c r="K176" s="773"/>
      <c r="L176" s="773"/>
      <c r="M176" s="773"/>
      <c r="N176" s="773"/>
      <c r="O176" s="773"/>
      <c r="P176" s="773"/>
      <c r="Q176" s="20"/>
      <c r="R176" s="776"/>
    </row>
    <row r="177" spans="1:18" ht="93" thickTop="1" thickBot="1" x14ac:dyDescent="0.25">
      <c r="A177" s="103" t="s">
        <v>1203</v>
      </c>
      <c r="B177" s="103" t="s">
        <v>1200</v>
      </c>
      <c r="C177" s="103" t="s">
        <v>206</v>
      </c>
      <c r="D177" s="470" t="s">
        <v>1201</v>
      </c>
      <c r="E177" s="553">
        <f t="shared" ref="E177" si="135">F177</f>
        <v>7143709</v>
      </c>
      <c r="F177" s="462">
        <f>(5975529)+1168180</f>
        <v>7143709</v>
      </c>
      <c r="G177" s="134"/>
      <c r="H177" s="134"/>
      <c r="I177" s="134"/>
      <c r="J177" s="328">
        <f t="shared" ref="J177" si="136">L177+O177</f>
        <v>44268862.539999999</v>
      </c>
      <c r="K177" s="462">
        <f>(30767856.02)+16737530.6-3236524.08</f>
        <v>44268862.539999999</v>
      </c>
      <c r="L177" s="462"/>
      <c r="M177" s="462"/>
      <c r="N177" s="462"/>
      <c r="O177" s="459">
        <f t="shared" ref="O177" si="137">K177</f>
        <v>44268862.539999999</v>
      </c>
      <c r="P177" s="328">
        <f>E177+J177</f>
        <v>51412571.539999999</v>
      </c>
      <c r="Q177" s="20"/>
      <c r="R177" s="21"/>
    </row>
    <row r="178" spans="1:18" s="33" customFormat="1" ht="48" thickTop="1" thickBot="1" x14ac:dyDescent="0.25">
      <c r="A178" s="329" t="s">
        <v>738</v>
      </c>
      <c r="B178" s="329" t="s">
        <v>739</v>
      </c>
      <c r="C178" s="329"/>
      <c r="D178" s="329" t="s">
        <v>740</v>
      </c>
      <c r="E178" s="325">
        <f>SUM(E179:E180)</f>
        <v>80952016</v>
      </c>
      <c r="F178" s="325">
        <f t="shared" ref="F178:P178" si="138">SUM(F179:F180)</f>
        <v>80952016</v>
      </c>
      <c r="G178" s="325">
        <f t="shared" si="138"/>
        <v>14711142</v>
      </c>
      <c r="H178" s="325">
        <f t="shared" si="138"/>
        <v>1420711</v>
      </c>
      <c r="I178" s="325">
        <f t="shared" si="138"/>
        <v>0</v>
      </c>
      <c r="J178" s="325">
        <f t="shared" si="138"/>
        <v>29094860</v>
      </c>
      <c r="K178" s="325">
        <f t="shared" si="138"/>
        <v>24102600</v>
      </c>
      <c r="L178" s="325">
        <f t="shared" si="138"/>
        <v>4968260</v>
      </c>
      <c r="M178" s="325">
        <f t="shared" si="138"/>
        <v>1885685</v>
      </c>
      <c r="N178" s="325">
        <f t="shared" si="138"/>
        <v>555805</v>
      </c>
      <c r="O178" s="325">
        <f t="shared" si="138"/>
        <v>24126600</v>
      </c>
      <c r="P178" s="325">
        <f t="shared" si="138"/>
        <v>110046876</v>
      </c>
      <c r="Q178" s="36"/>
      <c r="R178" s="51"/>
    </row>
    <row r="179" spans="1:18" ht="93" thickTop="1" thickBot="1" x14ac:dyDescent="0.25">
      <c r="A179" s="103" t="s">
        <v>327</v>
      </c>
      <c r="B179" s="103" t="s">
        <v>329</v>
      </c>
      <c r="C179" s="103" t="s">
        <v>191</v>
      </c>
      <c r="D179" s="470" t="s">
        <v>331</v>
      </c>
      <c r="E179" s="328">
        <f t="shared" si="113"/>
        <v>30498926</v>
      </c>
      <c r="F179" s="462">
        <f>(24773656)+2282350+2871000+571920</f>
        <v>30498926</v>
      </c>
      <c r="G179" s="326">
        <f>(3231579+4596637+3505606)+1568320+1809000</f>
        <v>14711142</v>
      </c>
      <c r="H179" s="326">
        <f>(35600+197918+78510+15030+337600+219800+437423+28830)+70000</f>
        <v>1420711</v>
      </c>
      <c r="I179" s="462"/>
      <c r="J179" s="328">
        <f t="shared" ref="J179:J192" si="139">L179+O179</f>
        <v>4992260</v>
      </c>
      <c r="K179" s="462">
        <v>0</v>
      </c>
      <c r="L179" s="462">
        <f>4992260-24000</f>
        <v>4968260</v>
      </c>
      <c r="M179" s="462">
        <v>1885685</v>
      </c>
      <c r="N179" s="462">
        <f>34805+338560+116750+65690</f>
        <v>555805</v>
      </c>
      <c r="O179" s="459">
        <f>(K179)+24000</f>
        <v>24000</v>
      </c>
      <c r="P179" s="328">
        <f t="shared" ref="P179:P192" si="140">E179+J179</f>
        <v>35491186</v>
      </c>
      <c r="Q179" s="20"/>
      <c r="R179" s="46"/>
    </row>
    <row r="180" spans="1:18" ht="48" thickTop="1" thickBot="1" x14ac:dyDescent="0.25">
      <c r="A180" s="103" t="s">
        <v>328</v>
      </c>
      <c r="B180" s="103" t="s">
        <v>330</v>
      </c>
      <c r="C180" s="103" t="s">
        <v>191</v>
      </c>
      <c r="D180" s="470" t="s">
        <v>332</v>
      </c>
      <c r="E180" s="328">
        <f t="shared" si="113"/>
        <v>50453090</v>
      </c>
      <c r="F180" s="462">
        <f>(43653090)+5000000+1800000</f>
        <v>50453090</v>
      </c>
      <c r="G180" s="134"/>
      <c r="H180" s="134"/>
      <c r="I180" s="134"/>
      <c r="J180" s="328">
        <f t="shared" si="139"/>
        <v>24102600</v>
      </c>
      <c r="K180" s="462">
        <f>(24000000)+102600</f>
        <v>24102600</v>
      </c>
      <c r="L180" s="462"/>
      <c r="M180" s="462"/>
      <c r="N180" s="462"/>
      <c r="O180" s="459">
        <f t="shared" ref="O180:O192" si="141">K180</f>
        <v>24102600</v>
      </c>
      <c r="P180" s="328">
        <f t="shared" si="140"/>
        <v>74555690</v>
      </c>
      <c r="Q180" s="20"/>
      <c r="R180" s="46"/>
    </row>
    <row r="181" spans="1:18" ht="47.25" thickTop="1" thickBot="1" x14ac:dyDescent="0.25">
      <c r="A181" s="311" t="s">
        <v>741</v>
      </c>
      <c r="B181" s="311" t="s">
        <v>742</v>
      </c>
      <c r="C181" s="311"/>
      <c r="D181" s="347" t="s">
        <v>743</v>
      </c>
      <c r="E181" s="328">
        <f>SUM(E182)</f>
        <v>0</v>
      </c>
      <c r="F181" s="328">
        <f t="shared" ref="F181:P181" si="142">SUM(F182)</f>
        <v>0</v>
      </c>
      <c r="G181" s="328">
        <f t="shared" si="142"/>
        <v>0</v>
      </c>
      <c r="H181" s="328">
        <f t="shared" si="142"/>
        <v>0</v>
      </c>
      <c r="I181" s="328">
        <f t="shared" si="142"/>
        <v>0</v>
      </c>
      <c r="J181" s="328">
        <f>SUM(J182)</f>
        <v>26000000</v>
      </c>
      <c r="K181" s="328">
        <f t="shared" si="142"/>
        <v>26000000</v>
      </c>
      <c r="L181" s="328">
        <f t="shared" si="142"/>
        <v>0</v>
      </c>
      <c r="M181" s="328">
        <f t="shared" si="142"/>
        <v>0</v>
      </c>
      <c r="N181" s="328">
        <f t="shared" si="142"/>
        <v>0</v>
      </c>
      <c r="O181" s="328">
        <f t="shared" si="142"/>
        <v>26000000</v>
      </c>
      <c r="P181" s="328">
        <f t="shared" si="142"/>
        <v>26000000</v>
      </c>
      <c r="Q181" s="20"/>
      <c r="R181" s="46"/>
    </row>
    <row r="182" spans="1:18" s="33" customFormat="1" ht="48" thickTop="1" thickBot="1" x14ac:dyDescent="0.25">
      <c r="A182" s="329" t="s">
        <v>744</v>
      </c>
      <c r="B182" s="329" t="s">
        <v>745</v>
      </c>
      <c r="C182" s="329"/>
      <c r="D182" s="552" t="s">
        <v>746</v>
      </c>
      <c r="E182" s="325">
        <f>SUM(E183:E184)</f>
        <v>0</v>
      </c>
      <c r="F182" s="325">
        <f>SUM(F183:F184)</f>
        <v>0</v>
      </c>
      <c r="G182" s="325">
        <f>SUM(G183:G184)</f>
        <v>0</v>
      </c>
      <c r="H182" s="325">
        <f>SUM(H183:H184)</f>
        <v>0</v>
      </c>
      <c r="I182" s="325">
        <f>SUM(I183:I184)</f>
        <v>0</v>
      </c>
      <c r="J182" s="325">
        <f t="shared" ref="J182:O182" si="143">SUM(J183:J184)</f>
        <v>26000000</v>
      </c>
      <c r="K182" s="325">
        <f t="shared" si="143"/>
        <v>26000000</v>
      </c>
      <c r="L182" s="325">
        <f t="shared" si="143"/>
        <v>0</v>
      </c>
      <c r="M182" s="325">
        <f t="shared" si="143"/>
        <v>0</v>
      </c>
      <c r="N182" s="325">
        <f t="shared" si="143"/>
        <v>0</v>
      </c>
      <c r="O182" s="325">
        <f t="shared" si="143"/>
        <v>26000000</v>
      </c>
      <c r="P182" s="325">
        <f>SUM(P183:P184)</f>
        <v>26000000</v>
      </c>
      <c r="Q182" s="36"/>
      <c r="R182" s="52"/>
    </row>
    <row r="183" spans="1:18" ht="93" thickTop="1" thickBot="1" x14ac:dyDescent="0.25">
      <c r="A183" s="103" t="s">
        <v>367</v>
      </c>
      <c r="B183" s="103" t="s">
        <v>365</v>
      </c>
      <c r="C183" s="103" t="s">
        <v>340</v>
      </c>
      <c r="D183" s="470" t="s">
        <v>366</v>
      </c>
      <c r="E183" s="328">
        <f t="shared" si="113"/>
        <v>0</v>
      </c>
      <c r="F183" s="462"/>
      <c r="G183" s="462"/>
      <c r="H183" s="462"/>
      <c r="I183" s="462"/>
      <c r="J183" s="328">
        <f t="shared" si="139"/>
        <v>26000000</v>
      </c>
      <c r="K183" s="462">
        <f>(20000000)+6000000</f>
        <v>26000000</v>
      </c>
      <c r="L183" s="462"/>
      <c r="M183" s="462"/>
      <c r="N183" s="462"/>
      <c r="O183" s="459">
        <f t="shared" si="141"/>
        <v>26000000</v>
      </c>
      <c r="P183" s="328">
        <f t="shared" si="140"/>
        <v>26000000</v>
      </c>
      <c r="Q183" s="20"/>
      <c r="R183" s="46"/>
    </row>
    <row r="184" spans="1:18" ht="184.5" hidden="1" thickTop="1" thickBot="1" x14ac:dyDescent="0.25">
      <c r="A184" s="41" t="s">
        <v>1074</v>
      </c>
      <c r="B184" s="41" t="s">
        <v>1075</v>
      </c>
      <c r="C184" s="41" t="s">
        <v>340</v>
      </c>
      <c r="D184" s="154" t="s">
        <v>1076</v>
      </c>
      <c r="E184" s="42">
        <f t="shared" si="113"/>
        <v>0</v>
      </c>
      <c r="F184" s="43"/>
      <c r="G184" s="43"/>
      <c r="H184" s="43"/>
      <c r="I184" s="43"/>
      <c r="J184" s="42">
        <f t="shared" si="139"/>
        <v>0</v>
      </c>
      <c r="K184" s="43">
        <v>0</v>
      </c>
      <c r="L184" s="43"/>
      <c r="M184" s="43"/>
      <c r="N184" s="43"/>
      <c r="O184" s="44">
        <f t="shared" si="141"/>
        <v>0</v>
      </c>
      <c r="P184" s="42">
        <f t="shared" si="140"/>
        <v>0</v>
      </c>
      <c r="Q184" s="20"/>
      <c r="R184" s="46"/>
    </row>
    <row r="185" spans="1:18" ht="47.25" hidden="1" thickTop="1" thickBot="1" x14ac:dyDescent="0.25">
      <c r="A185" s="125" t="s">
        <v>751</v>
      </c>
      <c r="B185" s="125" t="s">
        <v>748</v>
      </c>
      <c r="C185" s="125"/>
      <c r="D185" s="125" t="s">
        <v>749</v>
      </c>
      <c r="E185" s="127">
        <f>E189+E186</f>
        <v>0</v>
      </c>
      <c r="F185" s="127">
        <f t="shared" ref="F185:P185" si="144">F189+F186</f>
        <v>0</v>
      </c>
      <c r="G185" s="127">
        <f t="shared" si="144"/>
        <v>0</v>
      </c>
      <c r="H185" s="127">
        <f t="shared" si="144"/>
        <v>0</v>
      </c>
      <c r="I185" s="127">
        <f t="shared" si="144"/>
        <v>0</v>
      </c>
      <c r="J185" s="127">
        <f t="shared" si="144"/>
        <v>13660</v>
      </c>
      <c r="K185" s="127">
        <f t="shared" si="144"/>
        <v>13660</v>
      </c>
      <c r="L185" s="127">
        <f t="shared" si="144"/>
        <v>0</v>
      </c>
      <c r="M185" s="127">
        <f t="shared" si="144"/>
        <v>0</v>
      </c>
      <c r="N185" s="127">
        <f t="shared" si="144"/>
        <v>0</v>
      </c>
      <c r="O185" s="127">
        <f t="shared" si="144"/>
        <v>13660</v>
      </c>
      <c r="P185" s="127">
        <f t="shared" si="144"/>
        <v>13660</v>
      </c>
      <c r="Q185" s="20"/>
      <c r="R185" s="46"/>
    </row>
    <row r="186" spans="1:18" ht="47.25" hidden="1" thickTop="1" thickBot="1" x14ac:dyDescent="0.25">
      <c r="A186" s="136" t="s">
        <v>926</v>
      </c>
      <c r="B186" s="136" t="s">
        <v>803</v>
      </c>
      <c r="C186" s="136"/>
      <c r="D186" s="136" t="s">
        <v>804</v>
      </c>
      <c r="E186" s="137">
        <f>E187</f>
        <v>0</v>
      </c>
      <c r="F186" s="137">
        <f t="shared" ref="F186:P191" si="145">F187</f>
        <v>0</v>
      </c>
      <c r="G186" s="137">
        <f t="shared" si="145"/>
        <v>0</v>
      </c>
      <c r="H186" s="137">
        <f t="shared" si="145"/>
        <v>0</v>
      </c>
      <c r="I186" s="137">
        <f t="shared" si="145"/>
        <v>0</v>
      </c>
      <c r="J186" s="137">
        <f t="shared" si="145"/>
        <v>0</v>
      </c>
      <c r="K186" s="137">
        <f t="shared" si="145"/>
        <v>0</v>
      </c>
      <c r="L186" s="137">
        <f t="shared" si="145"/>
        <v>0</v>
      </c>
      <c r="M186" s="137">
        <f t="shared" si="145"/>
        <v>0</v>
      </c>
      <c r="N186" s="137">
        <f t="shared" si="145"/>
        <v>0</v>
      </c>
      <c r="O186" s="137">
        <f t="shared" si="145"/>
        <v>0</v>
      </c>
      <c r="P186" s="137">
        <f t="shared" si="145"/>
        <v>0</v>
      </c>
      <c r="Q186" s="20"/>
      <c r="R186" s="46"/>
    </row>
    <row r="187" spans="1:18" ht="54.75" hidden="1" thickTop="1" thickBot="1" x14ac:dyDescent="0.25">
      <c r="A187" s="140" t="s">
        <v>923</v>
      </c>
      <c r="B187" s="140" t="s">
        <v>821</v>
      </c>
      <c r="C187" s="140"/>
      <c r="D187" s="140" t="s">
        <v>1493</v>
      </c>
      <c r="E187" s="141">
        <f>E188</f>
        <v>0</v>
      </c>
      <c r="F187" s="141">
        <f t="shared" si="145"/>
        <v>0</v>
      </c>
      <c r="G187" s="141">
        <f t="shared" si="145"/>
        <v>0</v>
      </c>
      <c r="H187" s="141">
        <f t="shared" si="145"/>
        <v>0</v>
      </c>
      <c r="I187" s="141">
        <f t="shared" si="145"/>
        <v>0</v>
      </c>
      <c r="J187" s="141">
        <f t="shared" si="145"/>
        <v>0</v>
      </c>
      <c r="K187" s="141">
        <f t="shared" si="145"/>
        <v>0</v>
      </c>
      <c r="L187" s="141">
        <f t="shared" si="145"/>
        <v>0</v>
      </c>
      <c r="M187" s="141">
        <f t="shared" si="145"/>
        <v>0</v>
      </c>
      <c r="N187" s="141">
        <f t="shared" si="145"/>
        <v>0</v>
      </c>
      <c r="O187" s="141">
        <f t="shared" si="145"/>
        <v>0</v>
      </c>
      <c r="P187" s="141">
        <f t="shared" si="145"/>
        <v>0</v>
      </c>
      <c r="Q187" s="20"/>
      <c r="R187" s="46"/>
    </row>
    <row r="188" spans="1:18" ht="54" hidden="1" thickTop="1" thickBot="1" x14ac:dyDescent="0.25">
      <c r="A188" s="128" t="s">
        <v>924</v>
      </c>
      <c r="B188" s="128" t="s">
        <v>925</v>
      </c>
      <c r="C188" s="128" t="s">
        <v>304</v>
      </c>
      <c r="D188" s="128" t="s">
        <v>1494</v>
      </c>
      <c r="E188" s="127"/>
      <c r="F188" s="134"/>
      <c r="G188" s="134"/>
      <c r="H188" s="134"/>
      <c r="I188" s="134"/>
      <c r="J188" s="127">
        <f>L188+O188</f>
        <v>0</v>
      </c>
      <c r="K188" s="134">
        <v>0</v>
      </c>
      <c r="L188" s="134"/>
      <c r="M188" s="134"/>
      <c r="N188" s="134"/>
      <c r="O188" s="132">
        <f>K188</f>
        <v>0</v>
      </c>
      <c r="P188" s="127">
        <f>E188+J188</f>
        <v>0</v>
      </c>
      <c r="Q188" s="20"/>
      <c r="R188" s="46"/>
    </row>
    <row r="189" spans="1:18" ht="47.25" thickTop="1" thickBot="1" x14ac:dyDescent="0.25">
      <c r="A189" s="313" t="s">
        <v>753</v>
      </c>
      <c r="B189" s="313" t="s">
        <v>691</v>
      </c>
      <c r="C189" s="313"/>
      <c r="D189" s="313" t="s">
        <v>689</v>
      </c>
      <c r="E189" s="315">
        <f>E191+E190</f>
        <v>0</v>
      </c>
      <c r="F189" s="315">
        <f t="shared" ref="F189:I189" si="146">F191+F190</f>
        <v>0</v>
      </c>
      <c r="G189" s="315">
        <f t="shared" si="146"/>
        <v>0</v>
      </c>
      <c r="H189" s="315">
        <f t="shared" si="146"/>
        <v>0</v>
      </c>
      <c r="I189" s="315">
        <f t="shared" si="146"/>
        <v>0</v>
      </c>
      <c r="J189" s="315">
        <f>J191+J190</f>
        <v>13660</v>
      </c>
      <c r="K189" s="315">
        <f t="shared" ref="K189:O189" si="147">K191+K190</f>
        <v>13660</v>
      </c>
      <c r="L189" s="315">
        <f t="shared" si="147"/>
        <v>0</v>
      </c>
      <c r="M189" s="315">
        <f t="shared" si="147"/>
        <v>0</v>
      </c>
      <c r="N189" s="315">
        <f t="shared" si="147"/>
        <v>0</v>
      </c>
      <c r="O189" s="315">
        <f t="shared" si="147"/>
        <v>13660</v>
      </c>
      <c r="P189" s="315">
        <f>P191+P190</f>
        <v>13660</v>
      </c>
      <c r="Q189" s="20"/>
      <c r="R189" s="46"/>
    </row>
    <row r="190" spans="1:18" ht="48" thickTop="1" thickBot="1" x14ac:dyDescent="0.25">
      <c r="A190" s="103" t="s">
        <v>1310</v>
      </c>
      <c r="B190" s="103" t="s">
        <v>212</v>
      </c>
      <c r="C190" s="103" t="s">
        <v>213</v>
      </c>
      <c r="D190" s="103" t="s">
        <v>41</v>
      </c>
      <c r="E190" s="328">
        <f t="shared" ref="E190" si="148">F190</f>
        <v>0</v>
      </c>
      <c r="F190" s="462">
        <v>0</v>
      </c>
      <c r="G190" s="462"/>
      <c r="H190" s="462"/>
      <c r="I190" s="462"/>
      <c r="J190" s="328">
        <f t="shared" ref="J190" si="149">L190+O190</f>
        <v>13660</v>
      </c>
      <c r="K190" s="462">
        <v>13660</v>
      </c>
      <c r="L190" s="462"/>
      <c r="M190" s="462"/>
      <c r="N190" s="462"/>
      <c r="O190" s="459">
        <f t="shared" ref="O190" si="150">K190</f>
        <v>13660</v>
      </c>
      <c r="P190" s="328">
        <f t="shared" ref="P190" si="151">E190+J190</f>
        <v>13660</v>
      </c>
      <c r="Q190" s="20"/>
      <c r="R190" s="46"/>
    </row>
    <row r="191" spans="1:18" ht="48" hidden="1" thickTop="1" thickBot="1" x14ac:dyDescent="0.25">
      <c r="A191" s="140" t="s">
        <v>752</v>
      </c>
      <c r="B191" s="140" t="s">
        <v>694</v>
      </c>
      <c r="C191" s="140"/>
      <c r="D191" s="153" t="s">
        <v>692</v>
      </c>
      <c r="E191" s="141">
        <f>E192</f>
        <v>0</v>
      </c>
      <c r="F191" s="141">
        <f t="shared" si="145"/>
        <v>0</v>
      </c>
      <c r="G191" s="141">
        <f t="shared" si="145"/>
        <v>0</v>
      </c>
      <c r="H191" s="141">
        <f t="shared" si="145"/>
        <v>0</v>
      </c>
      <c r="I191" s="141">
        <f t="shared" si="145"/>
        <v>0</v>
      </c>
      <c r="J191" s="141">
        <f t="shared" si="145"/>
        <v>0</v>
      </c>
      <c r="K191" s="141">
        <f t="shared" si="145"/>
        <v>0</v>
      </c>
      <c r="L191" s="141">
        <f t="shared" si="145"/>
        <v>0</v>
      </c>
      <c r="M191" s="141">
        <f t="shared" si="145"/>
        <v>0</v>
      </c>
      <c r="N191" s="141">
        <f t="shared" si="145"/>
        <v>0</v>
      </c>
      <c r="O191" s="141">
        <f t="shared" si="145"/>
        <v>0</v>
      </c>
      <c r="P191" s="141">
        <f t="shared" si="145"/>
        <v>0</v>
      </c>
      <c r="Q191" s="20"/>
      <c r="R191" s="46"/>
    </row>
    <row r="192" spans="1:18" ht="184.5" hidden="1" thickTop="1" thickBot="1" x14ac:dyDescent="0.7">
      <c r="A192" s="797" t="s">
        <v>423</v>
      </c>
      <c r="B192" s="797" t="s">
        <v>338</v>
      </c>
      <c r="C192" s="797" t="s">
        <v>170</v>
      </c>
      <c r="D192" s="155" t="s">
        <v>440</v>
      </c>
      <c r="E192" s="800">
        <f t="shared" si="113"/>
        <v>0</v>
      </c>
      <c r="F192" s="781"/>
      <c r="G192" s="781"/>
      <c r="H192" s="781"/>
      <c r="I192" s="781"/>
      <c r="J192" s="800">
        <f t="shared" si="139"/>
        <v>0</v>
      </c>
      <c r="K192" s="781"/>
      <c r="L192" s="781"/>
      <c r="M192" s="781"/>
      <c r="N192" s="781"/>
      <c r="O192" s="785">
        <f t="shared" si="141"/>
        <v>0</v>
      </c>
      <c r="P192" s="782">
        <f t="shared" si="140"/>
        <v>0</v>
      </c>
      <c r="Q192" s="20"/>
      <c r="R192" s="50"/>
    </row>
    <row r="193" spans="1:18" ht="93" hidden="1" thickTop="1" thickBot="1" x14ac:dyDescent="0.25">
      <c r="A193" s="783"/>
      <c r="B193" s="805"/>
      <c r="C193" s="783"/>
      <c r="D193" s="156" t="s">
        <v>441</v>
      </c>
      <c r="E193" s="783"/>
      <c r="F193" s="784"/>
      <c r="G193" s="784"/>
      <c r="H193" s="784"/>
      <c r="I193" s="784"/>
      <c r="J193" s="783"/>
      <c r="K193" s="783"/>
      <c r="L193" s="784"/>
      <c r="M193" s="784"/>
      <c r="N193" s="784"/>
      <c r="O193" s="786"/>
      <c r="P193" s="787"/>
      <c r="Q193" s="20"/>
      <c r="R193" s="50"/>
    </row>
    <row r="194" spans="1:18" ht="91.5" thickTop="1" thickBot="1" x14ac:dyDescent="0.25">
      <c r="A194" s="478">
        <v>1000000</v>
      </c>
      <c r="B194" s="478"/>
      <c r="C194" s="478"/>
      <c r="D194" s="479" t="s">
        <v>24</v>
      </c>
      <c r="E194" s="502">
        <f>E195</f>
        <v>173258381</v>
      </c>
      <c r="F194" s="480">
        <f t="shared" ref="F194:G194" si="152">F195</f>
        <v>173258381</v>
      </c>
      <c r="G194" s="480">
        <f t="shared" si="152"/>
        <v>127110999</v>
      </c>
      <c r="H194" s="480">
        <f>H195</f>
        <v>8158262</v>
      </c>
      <c r="I194" s="480">
        <f>I195</f>
        <v>0</v>
      </c>
      <c r="J194" s="502">
        <f>J195</f>
        <v>11133850</v>
      </c>
      <c r="K194" s="480">
        <f>K195</f>
        <v>0</v>
      </c>
      <c r="L194" s="480">
        <f>L195</f>
        <v>10895910</v>
      </c>
      <c r="M194" s="480">
        <f t="shared" ref="M194" si="153">M195</f>
        <v>8032370</v>
      </c>
      <c r="N194" s="480">
        <f>N195</f>
        <v>284620</v>
      </c>
      <c r="O194" s="502">
        <f>O195</f>
        <v>237940</v>
      </c>
      <c r="P194" s="480">
        <f t="shared" ref="P194" si="154">P195</f>
        <v>184392231</v>
      </c>
      <c r="Q194" s="20"/>
    </row>
    <row r="195" spans="1:18" ht="91.5" thickTop="1" thickBot="1" x14ac:dyDescent="0.25">
      <c r="A195" s="481">
        <v>1010000</v>
      </c>
      <c r="B195" s="481"/>
      <c r="C195" s="481"/>
      <c r="D195" s="482" t="s">
        <v>39</v>
      </c>
      <c r="E195" s="483">
        <f>E196+E198+E212+E206</f>
        <v>173258381</v>
      </c>
      <c r="F195" s="483">
        <f>F196+F198+F212+F206</f>
        <v>173258381</v>
      </c>
      <c r="G195" s="483">
        <f>G196+G198+G212+G206</f>
        <v>127110999</v>
      </c>
      <c r="H195" s="483">
        <f>H196+H198+H212+H206</f>
        <v>8158262</v>
      </c>
      <c r="I195" s="483">
        <f>I196+I198+I212+I206</f>
        <v>0</v>
      </c>
      <c r="J195" s="483">
        <f t="shared" ref="J195:J205" si="155">L195+O195</f>
        <v>11133850</v>
      </c>
      <c r="K195" s="483">
        <f>K196+K198+K212+K206</f>
        <v>0</v>
      </c>
      <c r="L195" s="483">
        <f>L196+L198+L212+L206</f>
        <v>10895910</v>
      </c>
      <c r="M195" s="483">
        <f>M196+M198+M212+M206</f>
        <v>8032370</v>
      </c>
      <c r="N195" s="483">
        <f>N196+N198+N212+N206</f>
        <v>284620</v>
      </c>
      <c r="O195" s="483">
        <f>O196+O198+O212+O206</f>
        <v>237940</v>
      </c>
      <c r="P195" s="483">
        <f t="shared" ref="P195:P205" si="156">E195+J195</f>
        <v>184392231</v>
      </c>
      <c r="Q195" s="503" t="b">
        <f>P195=P197+P199+P200+P201+P205+P204+P209</f>
        <v>1</v>
      </c>
      <c r="R195" s="46"/>
    </row>
    <row r="196" spans="1:18" ht="47.25" thickTop="1" thickBot="1" x14ac:dyDescent="0.25">
      <c r="A196" s="311" t="s">
        <v>754</v>
      </c>
      <c r="B196" s="311" t="s">
        <v>708</v>
      </c>
      <c r="C196" s="311"/>
      <c r="D196" s="311" t="s">
        <v>709</v>
      </c>
      <c r="E196" s="328">
        <f>E197</f>
        <v>95924456</v>
      </c>
      <c r="F196" s="328">
        <f t="shared" ref="F196:P196" si="157">F197</f>
        <v>95924456</v>
      </c>
      <c r="G196" s="328">
        <f t="shared" si="157"/>
        <v>73990970</v>
      </c>
      <c r="H196" s="328">
        <f t="shared" si="157"/>
        <v>4617684</v>
      </c>
      <c r="I196" s="328">
        <f t="shared" si="157"/>
        <v>0</v>
      </c>
      <c r="J196" s="328">
        <f t="shared" si="157"/>
        <v>9914660</v>
      </c>
      <c r="K196" s="328">
        <f t="shared" si="157"/>
        <v>0</v>
      </c>
      <c r="L196" s="328">
        <f t="shared" si="157"/>
        <v>9792720</v>
      </c>
      <c r="M196" s="328">
        <f t="shared" si="157"/>
        <v>7465250</v>
      </c>
      <c r="N196" s="328">
        <f t="shared" si="157"/>
        <v>223920</v>
      </c>
      <c r="O196" s="328">
        <f t="shared" si="157"/>
        <v>121940</v>
      </c>
      <c r="P196" s="328">
        <f t="shared" si="157"/>
        <v>105839116</v>
      </c>
      <c r="Q196" s="47"/>
      <c r="R196" s="46"/>
    </row>
    <row r="197" spans="1:18" ht="48" thickTop="1" thickBot="1" x14ac:dyDescent="0.25">
      <c r="A197" s="103" t="s">
        <v>636</v>
      </c>
      <c r="B197" s="103" t="s">
        <v>637</v>
      </c>
      <c r="C197" s="103" t="s">
        <v>181</v>
      </c>
      <c r="D197" s="103" t="s">
        <v>1120</v>
      </c>
      <c r="E197" s="328">
        <f>F197</f>
        <v>95924456</v>
      </c>
      <c r="F197" s="462">
        <f>(95874428)+50028</f>
        <v>95924456</v>
      </c>
      <c r="G197" s="462">
        <v>73990970</v>
      </c>
      <c r="H197" s="462">
        <f>3898302+36160+523522+130800+28900</f>
        <v>4617684</v>
      </c>
      <c r="I197" s="462"/>
      <c r="J197" s="328">
        <f t="shared" si="155"/>
        <v>9914660</v>
      </c>
      <c r="K197" s="462"/>
      <c r="L197" s="462">
        <f>9914660-121940</f>
        <v>9792720</v>
      </c>
      <c r="M197" s="462">
        <v>7465250</v>
      </c>
      <c r="N197" s="462">
        <v>223920</v>
      </c>
      <c r="O197" s="459">
        <f>(K197+121940)</f>
        <v>121940</v>
      </c>
      <c r="P197" s="328">
        <f t="shared" si="156"/>
        <v>105839116</v>
      </c>
      <c r="Q197" s="20"/>
      <c r="R197" s="46"/>
    </row>
    <row r="198" spans="1:18" s="24" customFormat="1" ht="47.25" thickTop="1" thickBot="1" x14ac:dyDescent="0.25">
      <c r="A198" s="311" t="s">
        <v>755</v>
      </c>
      <c r="B198" s="311" t="s">
        <v>756</v>
      </c>
      <c r="C198" s="311"/>
      <c r="D198" s="311" t="s">
        <v>757</v>
      </c>
      <c r="E198" s="328">
        <f t="shared" ref="E198:P198" si="158">SUM(E199:E205)-E203</f>
        <v>76307075</v>
      </c>
      <c r="F198" s="328">
        <f t="shared" si="158"/>
        <v>76307075</v>
      </c>
      <c r="G198" s="328">
        <f t="shared" si="158"/>
        <v>53120029</v>
      </c>
      <c r="H198" s="328">
        <f t="shared" si="158"/>
        <v>3540578</v>
      </c>
      <c r="I198" s="328">
        <f t="shared" si="158"/>
        <v>0</v>
      </c>
      <c r="J198" s="328">
        <f t="shared" si="158"/>
        <v>1219190</v>
      </c>
      <c r="K198" s="328">
        <f t="shared" si="158"/>
        <v>0</v>
      </c>
      <c r="L198" s="328">
        <f t="shared" si="158"/>
        <v>1103190</v>
      </c>
      <c r="M198" s="328">
        <f t="shared" si="158"/>
        <v>567120</v>
      </c>
      <c r="N198" s="328">
        <f t="shared" si="158"/>
        <v>60700</v>
      </c>
      <c r="O198" s="328">
        <f t="shared" si="158"/>
        <v>116000</v>
      </c>
      <c r="P198" s="328">
        <f t="shared" si="158"/>
        <v>77526265</v>
      </c>
      <c r="Q198" s="25"/>
      <c r="R198" s="50"/>
    </row>
    <row r="199" spans="1:18" ht="48" thickTop="1" thickBot="1" x14ac:dyDescent="0.25">
      <c r="A199" s="103" t="s">
        <v>172</v>
      </c>
      <c r="B199" s="103" t="s">
        <v>173</v>
      </c>
      <c r="C199" s="103" t="s">
        <v>174</v>
      </c>
      <c r="D199" s="103" t="s">
        <v>175</v>
      </c>
      <c r="E199" s="328">
        <f t="shared" ref="E199:E202" si="159">F199</f>
        <v>18479775</v>
      </c>
      <c r="F199" s="462">
        <v>18479775</v>
      </c>
      <c r="G199" s="462">
        <v>13552210</v>
      </c>
      <c r="H199" s="462">
        <f>914400+11100+184288+28000+22100</f>
        <v>1159888</v>
      </c>
      <c r="I199" s="462"/>
      <c r="J199" s="328">
        <f t="shared" si="155"/>
        <v>169000</v>
      </c>
      <c r="K199" s="462"/>
      <c r="L199" s="462">
        <v>169000</v>
      </c>
      <c r="M199" s="462">
        <v>31000</v>
      </c>
      <c r="N199" s="462">
        <v>21000</v>
      </c>
      <c r="O199" s="459">
        <f t="shared" ref="O199:O205" si="160">K199</f>
        <v>0</v>
      </c>
      <c r="P199" s="328">
        <f t="shared" si="156"/>
        <v>18648775</v>
      </c>
      <c r="Q199" s="20"/>
      <c r="R199" s="46"/>
    </row>
    <row r="200" spans="1:18" ht="48" thickTop="1" thickBot="1" x14ac:dyDescent="0.25">
      <c r="A200" s="103" t="s">
        <v>176</v>
      </c>
      <c r="B200" s="103" t="s">
        <v>177</v>
      </c>
      <c r="C200" s="103" t="s">
        <v>174</v>
      </c>
      <c r="D200" s="103" t="s">
        <v>463</v>
      </c>
      <c r="E200" s="328">
        <f t="shared" si="159"/>
        <v>2847504</v>
      </c>
      <c r="F200" s="462">
        <v>2847504</v>
      </c>
      <c r="G200" s="462">
        <v>1875700</v>
      </c>
      <c r="H200" s="462">
        <f>344000+5350+135610+4400</f>
        <v>489360</v>
      </c>
      <c r="I200" s="462"/>
      <c r="J200" s="328">
        <f t="shared" si="155"/>
        <v>113790</v>
      </c>
      <c r="K200" s="462"/>
      <c r="L200" s="462">
        <v>113790</v>
      </c>
      <c r="M200" s="462">
        <v>17920</v>
      </c>
      <c r="N200" s="462">
        <v>5700</v>
      </c>
      <c r="O200" s="459">
        <f t="shared" si="160"/>
        <v>0</v>
      </c>
      <c r="P200" s="328">
        <f t="shared" si="156"/>
        <v>2961294</v>
      </c>
      <c r="Q200" s="20"/>
      <c r="R200" s="46"/>
    </row>
    <row r="201" spans="1:18" ht="93" thickTop="1" thickBot="1" x14ac:dyDescent="0.25">
      <c r="A201" s="103" t="s">
        <v>178</v>
      </c>
      <c r="B201" s="103" t="s">
        <v>171</v>
      </c>
      <c r="C201" s="103" t="s">
        <v>179</v>
      </c>
      <c r="D201" s="103" t="s">
        <v>180</v>
      </c>
      <c r="E201" s="328">
        <f t="shared" si="159"/>
        <v>21555193</v>
      </c>
      <c r="F201" s="462">
        <v>21555193</v>
      </c>
      <c r="G201" s="462">
        <v>15462100</v>
      </c>
      <c r="H201" s="462">
        <f>982800+12680+678200+90000+41200</f>
        <v>1804880</v>
      </c>
      <c r="I201" s="462"/>
      <c r="J201" s="328">
        <f t="shared" si="155"/>
        <v>762000</v>
      </c>
      <c r="K201" s="462"/>
      <c r="L201" s="462">
        <f>762000-57400</f>
        <v>704600</v>
      </c>
      <c r="M201" s="462">
        <v>506000</v>
      </c>
      <c r="N201" s="462">
        <v>34000</v>
      </c>
      <c r="O201" s="459">
        <f>(K201+57400)</f>
        <v>57400</v>
      </c>
      <c r="P201" s="328">
        <f t="shared" si="156"/>
        <v>22317193</v>
      </c>
      <c r="Q201" s="20"/>
      <c r="R201" s="46"/>
    </row>
    <row r="202" spans="1:18" ht="48" hidden="1" thickTop="1" thickBot="1" x14ac:dyDescent="0.25">
      <c r="A202" s="128" t="s">
        <v>1194</v>
      </c>
      <c r="B202" s="128" t="s">
        <v>1195</v>
      </c>
      <c r="C202" s="128" t="s">
        <v>1197</v>
      </c>
      <c r="D202" s="128" t="s">
        <v>1196</v>
      </c>
      <c r="E202" s="127">
        <f t="shared" si="159"/>
        <v>0</v>
      </c>
      <c r="F202" s="134"/>
      <c r="G202" s="134"/>
      <c r="H202" s="134"/>
      <c r="I202" s="134"/>
      <c r="J202" s="127">
        <f t="shared" si="155"/>
        <v>0</v>
      </c>
      <c r="K202" s="134"/>
      <c r="L202" s="134"/>
      <c r="M202" s="134"/>
      <c r="N202" s="134"/>
      <c r="O202" s="132">
        <f>(K202)</f>
        <v>0</v>
      </c>
      <c r="P202" s="127">
        <f t="shared" si="156"/>
        <v>0</v>
      </c>
      <c r="Q202" s="20"/>
      <c r="R202" s="46"/>
    </row>
    <row r="203" spans="1:18" ht="48" thickTop="1" thickBot="1" x14ac:dyDescent="0.25">
      <c r="A203" s="329" t="s">
        <v>758</v>
      </c>
      <c r="B203" s="329" t="s">
        <v>759</v>
      </c>
      <c r="C203" s="329"/>
      <c r="D203" s="329" t="s">
        <v>760</v>
      </c>
      <c r="E203" s="325">
        <f>SUM(E204:E205)</f>
        <v>33424603</v>
      </c>
      <c r="F203" s="325">
        <f t="shared" ref="F203:P203" si="161">SUM(F204:F205)</f>
        <v>33424603</v>
      </c>
      <c r="G203" s="325">
        <f t="shared" si="161"/>
        <v>22230019</v>
      </c>
      <c r="H203" s="325">
        <f t="shared" si="161"/>
        <v>86450</v>
      </c>
      <c r="I203" s="325">
        <f t="shared" si="161"/>
        <v>0</v>
      </c>
      <c r="J203" s="325">
        <f t="shared" si="161"/>
        <v>174400</v>
      </c>
      <c r="K203" s="325">
        <f t="shared" si="161"/>
        <v>0</v>
      </c>
      <c r="L203" s="325">
        <f t="shared" si="161"/>
        <v>115800</v>
      </c>
      <c r="M203" s="325">
        <f t="shared" si="161"/>
        <v>12200</v>
      </c>
      <c r="N203" s="325">
        <f t="shared" si="161"/>
        <v>0</v>
      </c>
      <c r="O203" s="325">
        <f t="shared" si="161"/>
        <v>58600</v>
      </c>
      <c r="P203" s="325">
        <f t="shared" si="161"/>
        <v>33599003</v>
      </c>
      <c r="Q203" s="20"/>
      <c r="R203" s="46"/>
    </row>
    <row r="204" spans="1:18" ht="48" thickTop="1" thickBot="1" x14ac:dyDescent="0.25">
      <c r="A204" s="103" t="s">
        <v>333</v>
      </c>
      <c r="B204" s="103" t="s">
        <v>334</v>
      </c>
      <c r="C204" s="103" t="s">
        <v>182</v>
      </c>
      <c r="D204" s="103" t="s">
        <v>464</v>
      </c>
      <c r="E204" s="328">
        <f>F204</f>
        <v>29071503</v>
      </c>
      <c r="F204" s="462">
        <v>29071503</v>
      </c>
      <c r="G204" s="462">
        <v>22230019</v>
      </c>
      <c r="H204" s="462">
        <f>77900+8250+300</f>
        <v>86450</v>
      </c>
      <c r="I204" s="462"/>
      <c r="J204" s="328">
        <f t="shared" si="155"/>
        <v>174400</v>
      </c>
      <c r="K204" s="462"/>
      <c r="L204" s="462">
        <f>174400-58600</f>
        <v>115800</v>
      </c>
      <c r="M204" s="462">
        <v>12200</v>
      </c>
      <c r="N204" s="462"/>
      <c r="O204" s="459">
        <f>(K204+58600)</f>
        <v>58600</v>
      </c>
      <c r="P204" s="328">
        <f t="shared" si="156"/>
        <v>29245903</v>
      </c>
      <c r="Q204" s="20"/>
      <c r="R204" s="46"/>
    </row>
    <row r="205" spans="1:18" ht="48" thickTop="1" thickBot="1" x14ac:dyDescent="0.25">
      <c r="A205" s="103" t="s">
        <v>335</v>
      </c>
      <c r="B205" s="103" t="s">
        <v>336</v>
      </c>
      <c r="C205" s="103" t="s">
        <v>182</v>
      </c>
      <c r="D205" s="103" t="s">
        <v>465</v>
      </c>
      <c r="E205" s="328">
        <f>F205</f>
        <v>4353100</v>
      </c>
      <c r="F205" s="462">
        <v>4353100</v>
      </c>
      <c r="G205" s="462"/>
      <c r="H205" s="462"/>
      <c r="I205" s="462"/>
      <c r="J205" s="328">
        <f t="shared" si="155"/>
        <v>0</v>
      </c>
      <c r="K205" s="462"/>
      <c r="L205" s="462"/>
      <c r="M205" s="462"/>
      <c r="N205" s="462"/>
      <c r="O205" s="459">
        <f t="shared" si="160"/>
        <v>0</v>
      </c>
      <c r="P205" s="328">
        <f t="shared" si="156"/>
        <v>4353100</v>
      </c>
      <c r="Q205" s="20"/>
      <c r="R205" s="50"/>
    </row>
    <row r="206" spans="1:18" ht="47.25" thickTop="1" thickBot="1" x14ac:dyDescent="0.25">
      <c r="A206" s="311" t="s">
        <v>915</v>
      </c>
      <c r="B206" s="311" t="s">
        <v>748</v>
      </c>
      <c r="C206" s="311"/>
      <c r="D206" s="311" t="s">
        <v>749</v>
      </c>
      <c r="E206" s="328">
        <f>SUM(E207)</f>
        <v>1026850</v>
      </c>
      <c r="F206" s="328">
        <f t="shared" ref="F206:P206" si="162">SUM(F207)</f>
        <v>1026850</v>
      </c>
      <c r="G206" s="328">
        <f t="shared" si="162"/>
        <v>0</v>
      </c>
      <c r="H206" s="328">
        <f t="shared" si="162"/>
        <v>0</v>
      </c>
      <c r="I206" s="328">
        <f t="shared" si="162"/>
        <v>0</v>
      </c>
      <c r="J206" s="328">
        <f t="shared" si="162"/>
        <v>0</v>
      </c>
      <c r="K206" s="328">
        <f t="shared" si="162"/>
        <v>0</v>
      </c>
      <c r="L206" s="328">
        <f t="shared" si="162"/>
        <v>0</v>
      </c>
      <c r="M206" s="328">
        <f t="shared" si="162"/>
        <v>0</v>
      </c>
      <c r="N206" s="328">
        <f t="shared" si="162"/>
        <v>0</v>
      </c>
      <c r="O206" s="328">
        <f t="shared" si="162"/>
        <v>0</v>
      </c>
      <c r="P206" s="328">
        <f t="shared" si="162"/>
        <v>1026850</v>
      </c>
      <c r="Q206" s="20"/>
      <c r="R206" s="50"/>
    </row>
    <row r="207" spans="1:18" ht="47.25" thickTop="1" thickBot="1" x14ac:dyDescent="0.25">
      <c r="A207" s="313" t="s">
        <v>916</v>
      </c>
      <c r="B207" s="313" t="s">
        <v>691</v>
      </c>
      <c r="C207" s="313"/>
      <c r="D207" s="313" t="s">
        <v>689</v>
      </c>
      <c r="E207" s="315">
        <f>E208+E211+E210</f>
        <v>1026850</v>
      </c>
      <c r="F207" s="315">
        <f t="shared" ref="F207:P207" si="163">F208+F211+F210</f>
        <v>1026850</v>
      </c>
      <c r="G207" s="315">
        <f t="shared" si="163"/>
        <v>0</v>
      </c>
      <c r="H207" s="315">
        <f t="shared" si="163"/>
        <v>0</v>
      </c>
      <c r="I207" s="315">
        <f t="shared" si="163"/>
        <v>0</v>
      </c>
      <c r="J207" s="315">
        <f t="shared" si="163"/>
        <v>0</v>
      </c>
      <c r="K207" s="315">
        <f t="shared" si="163"/>
        <v>0</v>
      </c>
      <c r="L207" s="315">
        <f t="shared" si="163"/>
        <v>0</v>
      </c>
      <c r="M207" s="315">
        <f t="shared" si="163"/>
        <v>0</v>
      </c>
      <c r="N207" s="315">
        <f t="shared" si="163"/>
        <v>0</v>
      </c>
      <c r="O207" s="315">
        <f t="shared" si="163"/>
        <v>0</v>
      </c>
      <c r="P207" s="315">
        <f t="shared" si="163"/>
        <v>1026850</v>
      </c>
      <c r="Q207" s="20"/>
      <c r="R207" s="50"/>
    </row>
    <row r="208" spans="1:18" ht="48" thickTop="1" thickBot="1" x14ac:dyDescent="0.25">
      <c r="A208" s="329" t="s">
        <v>1032</v>
      </c>
      <c r="B208" s="329" t="s">
        <v>1033</v>
      </c>
      <c r="C208" s="329"/>
      <c r="D208" s="329" t="s">
        <v>1031</v>
      </c>
      <c r="E208" s="325">
        <f>E209</f>
        <v>1026850</v>
      </c>
      <c r="F208" s="325">
        <f t="shared" ref="F208:P208" si="164">F209</f>
        <v>1026850</v>
      </c>
      <c r="G208" s="325">
        <f t="shared" si="164"/>
        <v>0</v>
      </c>
      <c r="H208" s="325">
        <f t="shared" si="164"/>
        <v>0</v>
      </c>
      <c r="I208" s="325">
        <f t="shared" si="164"/>
        <v>0</v>
      </c>
      <c r="J208" s="325">
        <f t="shared" si="164"/>
        <v>0</v>
      </c>
      <c r="K208" s="325">
        <f t="shared" si="164"/>
        <v>0</v>
      </c>
      <c r="L208" s="325">
        <f t="shared" si="164"/>
        <v>0</v>
      </c>
      <c r="M208" s="325">
        <f t="shared" si="164"/>
        <v>0</v>
      </c>
      <c r="N208" s="325">
        <f t="shared" si="164"/>
        <v>0</v>
      </c>
      <c r="O208" s="325">
        <f t="shared" si="164"/>
        <v>0</v>
      </c>
      <c r="P208" s="325">
        <f t="shared" si="164"/>
        <v>1026850</v>
      </c>
      <c r="Q208" s="20"/>
      <c r="R208" s="50"/>
    </row>
    <row r="209" spans="1:18" ht="48" thickTop="1" thickBot="1" x14ac:dyDescent="0.25">
      <c r="A209" s="103" t="s">
        <v>1035</v>
      </c>
      <c r="B209" s="103" t="s">
        <v>1036</v>
      </c>
      <c r="C209" s="103" t="s">
        <v>213</v>
      </c>
      <c r="D209" s="103" t="s">
        <v>1034</v>
      </c>
      <c r="E209" s="328">
        <f>F209</f>
        <v>1026850</v>
      </c>
      <c r="F209" s="462">
        <v>1026850</v>
      </c>
      <c r="G209" s="462"/>
      <c r="H209" s="462"/>
      <c r="I209" s="462"/>
      <c r="J209" s="328">
        <f>L209+O209</f>
        <v>0</v>
      </c>
      <c r="K209" s="462"/>
      <c r="L209" s="462"/>
      <c r="M209" s="462"/>
      <c r="N209" s="462"/>
      <c r="O209" s="459">
        <f>K209</f>
        <v>0</v>
      </c>
      <c r="P209" s="328">
        <f>E209+J209</f>
        <v>1026850</v>
      </c>
      <c r="Q209" s="20"/>
      <c r="R209" s="50"/>
    </row>
    <row r="210" spans="1:18" ht="48" hidden="1" thickTop="1" thickBot="1" x14ac:dyDescent="0.25">
      <c r="A210" s="128" t="s">
        <v>1265</v>
      </c>
      <c r="B210" s="128" t="s">
        <v>212</v>
      </c>
      <c r="C210" s="128" t="s">
        <v>213</v>
      </c>
      <c r="D210" s="128" t="s">
        <v>41</v>
      </c>
      <c r="E210" s="127">
        <f t="shared" ref="E210:E211" si="165">F210</f>
        <v>0</v>
      </c>
      <c r="F210" s="134"/>
      <c r="G210" s="134"/>
      <c r="H210" s="134"/>
      <c r="I210" s="134"/>
      <c r="J210" s="127">
        <f>L210+O210</f>
        <v>0</v>
      </c>
      <c r="K210" s="134"/>
      <c r="L210" s="134"/>
      <c r="M210" s="134"/>
      <c r="N210" s="134"/>
      <c r="O210" s="132">
        <f>K210</f>
        <v>0</v>
      </c>
      <c r="P210" s="127">
        <f>E210+J210</f>
        <v>0</v>
      </c>
      <c r="Q210" s="20"/>
      <c r="R210" s="50"/>
    </row>
    <row r="211" spans="1:18" ht="48" hidden="1" thickTop="1" thickBot="1" x14ac:dyDescent="0.25">
      <c r="A211" s="128" t="s">
        <v>917</v>
      </c>
      <c r="B211" s="128" t="s">
        <v>197</v>
      </c>
      <c r="C211" s="128" t="s">
        <v>170</v>
      </c>
      <c r="D211" s="128" t="s">
        <v>34</v>
      </c>
      <c r="E211" s="127">
        <f t="shared" si="165"/>
        <v>0</v>
      </c>
      <c r="F211" s="134"/>
      <c r="G211" s="134"/>
      <c r="H211" s="134"/>
      <c r="I211" s="134"/>
      <c r="J211" s="127">
        <f t="shared" ref="J211" si="166">L211+O211</f>
        <v>0</v>
      </c>
      <c r="K211" s="134">
        <f>940242-455475-484767</f>
        <v>0</v>
      </c>
      <c r="L211" s="134"/>
      <c r="M211" s="134"/>
      <c r="N211" s="134"/>
      <c r="O211" s="132">
        <f t="shared" ref="O211" si="167">K211</f>
        <v>0</v>
      </c>
      <c r="P211" s="127">
        <f t="shared" ref="P211" si="168">E211+J211</f>
        <v>0</v>
      </c>
      <c r="Q211" s="20"/>
      <c r="R211" s="46"/>
    </row>
    <row r="212" spans="1:18" ht="47.25" hidden="1" thickTop="1" thickBot="1" x14ac:dyDescent="0.25">
      <c r="A212" s="146" t="s">
        <v>761</v>
      </c>
      <c r="B212" s="146" t="s">
        <v>702</v>
      </c>
      <c r="C212" s="146"/>
      <c r="D212" s="146" t="s">
        <v>703</v>
      </c>
      <c r="E212" s="42">
        <f>E213</f>
        <v>0</v>
      </c>
      <c r="F212" s="42">
        <f t="shared" ref="F212:P213" si="169">F213</f>
        <v>0</v>
      </c>
      <c r="G212" s="42">
        <f t="shared" si="169"/>
        <v>0</v>
      </c>
      <c r="H212" s="42">
        <f t="shared" si="169"/>
        <v>0</v>
      </c>
      <c r="I212" s="42">
        <f t="shared" si="169"/>
        <v>0</v>
      </c>
      <c r="J212" s="42">
        <f t="shared" si="169"/>
        <v>0</v>
      </c>
      <c r="K212" s="42">
        <f t="shared" si="169"/>
        <v>0</v>
      </c>
      <c r="L212" s="42">
        <f t="shared" si="169"/>
        <v>0</v>
      </c>
      <c r="M212" s="42">
        <f t="shared" si="169"/>
        <v>0</v>
      </c>
      <c r="N212" s="42">
        <f t="shared" si="169"/>
        <v>0</v>
      </c>
      <c r="O212" s="42">
        <f t="shared" si="169"/>
        <v>0</v>
      </c>
      <c r="P212" s="42">
        <f t="shared" si="169"/>
        <v>0</v>
      </c>
      <c r="Q212" s="20"/>
      <c r="R212" s="50"/>
    </row>
    <row r="213" spans="1:18" ht="91.5" hidden="1" thickTop="1" thickBot="1" x14ac:dyDescent="0.25">
      <c r="A213" s="147" t="s">
        <v>762</v>
      </c>
      <c r="B213" s="147" t="s">
        <v>705</v>
      </c>
      <c r="C213" s="147"/>
      <c r="D213" s="147" t="s">
        <v>706</v>
      </c>
      <c r="E213" s="148">
        <f>E214</f>
        <v>0</v>
      </c>
      <c r="F213" s="148">
        <f t="shared" si="169"/>
        <v>0</v>
      </c>
      <c r="G213" s="148">
        <f t="shared" si="169"/>
        <v>0</v>
      </c>
      <c r="H213" s="148">
        <f t="shared" si="169"/>
        <v>0</v>
      </c>
      <c r="I213" s="148">
        <f t="shared" si="169"/>
        <v>0</v>
      </c>
      <c r="J213" s="148">
        <f t="shared" si="169"/>
        <v>0</v>
      </c>
      <c r="K213" s="148">
        <f t="shared" si="169"/>
        <v>0</v>
      </c>
      <c r="L213" s="148">
        <f t="shared" si="169"/>
        <v>0</v>
      </c>
      <c r="M213" s="148">
        <f t="shared" si="169"/>
        <v>0</v>
      </c>
      <c r="N213" s="148">
        <f t="shared" si="169"/>
        <v>0</v>
      </c>
      <c r="O213" s="148">
        <f t="shared" si="169"/>
        <v>0</v>
      </c>
      <c r="P213" s="148">
        <f t="shared" si="169"/>
        <v>0</v>
      </c>
      <c r="Q213" s="20"/>
      <c r="R213" s="50"/>
    </row>
    <row r="214" spans="1:18" ht="48" hidden="1" thickTop="1" thickBot="1" x14ac:dyDescent="0.25">
      <c r="A214" s="41" t="s">
        <v>586</v>
      </c>
      <c r="B214" s="41" t="s">
        <v>363</v>
      </c>
      <c r="C214" s="41" t="s">
        <v>43</v>
      </c>
      <c r="D214" s="41" t="s">
        <v>364</v>
      </c>
      <c r="E214" s="42">
        <f t="shared" ref="E214" si="170">F214</f>
        <v>0</v>
      </c>
      <c r="F214" s="43">
        <v>0</v>
      </c>
      <c r="G214" s="43"/>
      <c r="H214" s="43"/>
      <c r="I214" s="43"/>
      <c r="J214" s="42">
        <f>L214+O214</f>
        <v>0</v>
      </c>
      <c r="K214" s="43"/>
      <c r="L214" s="43"/>
      <c r="M214" s="43"/>
      <c r="N214" s="43"/>
      <c r="O214" s="44">
        <f>K214</f>
        <v>0</v>
      </c>
      <c r="P214" s="42">
        <f>E214+J214</f>
        <v>0</v>
      </c>
      <c r="Q214" s="20"/>
      <c r="R214" s="50"/>
    </row>
    <row r="215" spans="1:18" ht="91.5" thickTop="1" thickBot="1" x14ac:dyDescent="0.25">
      <c r="A215" s="478" t="s">
        <v>22</v>
      </c>
      <c r="B215" s="478"/>
      <c r="C215" s="478"/>
      <c r="D215" s="479" t="s">
        <v>23</v>
      </c>
      <c r="E215" s="502">
        <f>E216</f>
        <v>124602784</v>
      </c>
      <c r="F215" s="480">
        <f t="shared" ref="F215:G215" si="171">F216</f>
        <v>124602784</v>
      </c>
      <c r="G215" s="480">
        <f t="shared" si="171"/>
        <v>52092425</v>
      </c>
      <c r="H215" s="480">
        <f>H216</f>
        <v>4493410</v>
      </c>
      <c r="I215" s="480">
        <f t="shared" ref="I215" si="172">I216</f>
        <v>0</v>
      </c>
      <c r="J215" s="502">
        <f>J216</f>
        <v>3384506</v>
      </c>
      <c r="K215" s="480">
        <f>K216</f>
        <v>1471064</v>
      </c>
      <c r="L215" s="480">
        <f>L216</f>
        <v>1888442</v>
      </c>
      <c r="M215" s="480">
        <f t="shared" ref="M215" si="173">M216</f>
        <v>704165</v>
      </c>
      <c r="N215" s="480">
        <f>N216</f>
        <v>524376</v>
      </c>
      <c r="O215" s="502">
        <f>O216</f>
        <v>1496064</v>
      </c>
      <c r="P215" s="480">
        <f t="shared" ref="P215" si="174">P216</f>
        <v>127987290</v>
      </c>
      <c r="Q215" s="20"/>
    </row>
    <row r="216" spans="1:18" ht="178.5" customHeight="1" thickTop="1" thickBot="1" x14ac:dyDescent="0.25">
      <c r="A216" s="481" t="s">
        <v>21</v>
      </c>
      <c r="B216" s="481"/>
      <c r="C216" s="481"/>
      <c r="D216" s="482" t="s">
        <v>35</v>
      </c>
      <c r="E216" s="483">
        <f>E217+E223+E238+E241+E248</f>
        <v>124602784</v>
      </c>
      <c r="F216" s="483">
        <f t="shared" ref="F216:I216" si="175">F217+F223+F238+F241+F248</f>
        <v>124602784</v>
      </c>
      <c r="G216" s="483">
        <f t="shared" si="175"/>
        <v>52092425</v>
      </c>
      <c r="H216" s="483">
        <f t="shared" si="175"/>
        <v>4493410</v>
      </c>
      <c r="I216" s="483">
        <f t="shared" si="175"/>
        <v>0</v>
      </c>
      <c r="J216" s="483">
        <f>L216+O216</f>
        <v>3384506</v>
      </c>
      <c r="K216" s="483">
        <f t="shared" ref="K216:O216" si="176">K217+K223+K238+K241+K248</f>
        <v>1471064</v>
      </c>
      <c r="L216" s="483">
        <f t="shared" si="176"/>
        <v>1888442</v>
      </c>
      <c r="M216" s="483">
        <f t="shared" si="176"/>
        <v>704165</v>
      </c>
      <c r="N216" s="483">
        <f t="shared" si="176"/>
        <v>524376</v>
      </c>
      <c r="O216" s="483">
        <f t="shared" si="176"/>
        <v>1496064</v>
      </c>
      <c r="P216" s="483">
        <f>E216+J216</f>
        <v>127987290</v>
      </c>
      <c r="Q216" s="503" t="b">
        <f>P216=P221+P222+P225+P226+P228+P230+P231+P235+P236+P237</f>
        <v>1</v>
      </c>
      <c r="R216" s="46"/>
    </row>
    <row r="217" spans="1:18" ht="47.25" thickTop="1" thickBot="1" x14ac:dyDescent="0.25">
      <c r="A217" s="311" t="s">
        <v>763</v>
      </c>
      <c r="B217" s="311" t="s">
        <v>711</v>
      </c>
      <c r="C217" s="311"/>
      <c r="D217" s="311" t="s">
        <v>712</v>
      </c>
      <c r="E217" s="587">
        <f>SUM(E218:E222)-E218-E220</f>
        <v>13133719</v>
      </c>
      <c r="F217" s="587">
        <f t="shared" ref="F217:P217" si="177">SUM(F218:F222)-F218-F220</f>
        <v>13133719</v>
      </c>
      <c r="G217" s="587">
        <f t="shared" si="177"/>
        <v>5109873</v>
      </c>
      <c r="H217" s="587">
        <f t="shared" si="177"/>
        <v>1033530</v>
      </c>
      <c r="I217" s="587">
        <f t="shared" si="177"/>
        <v>0</v>
      </c>
      <c r="J217" s="587">
        <f t="shared" si="177"/>
        <v>821200</v>
      </c>
      <c r="K217" s="587">
        <f t="shared" si="177"/>
        <v>400000</v>
      </c>
      <c r="L217" s="587">
        <f t="shared" si="177"/>
        <v>421200</v>
      </c>
      <c r="M217" s="587">
        <f t="shared" si="177"/>
        <v>198800</v>
      </c>
      <c r="N217" s="587">
        <f t="shared" si="177"/>
        <v>152665</v>
      </c>
      <c r="O217" s="587">
        <f t="shared" si="177"/>
        <v>400000</v>
      </c>
      <c r="P217" s="587">
        <f t="shared" si="177"/>
        <v>13954919</v>
      </c>
      <c r="Q217" s="47"/>
      <c r="R217" s="46"/>
    </row>
    <row r="218" spans="1:18" s="33" customFormat="1" ht="48" hidden="1" thickTop="1" thickBot="1" x14ac:dyDescent="0.25">
      <c r="A218" s="329" t="s">
        <v>764</v>
      </c>
      <c r="B218" s="329" t="s">
        <v>765</v>
      </c>
      <c r="C218" s="329"/>
      <c r="D218" s="329" t="s">
        <v>766</v>
      </c>
      <c r="E218" s="588">
        <f>E219</f>
        <v>0</v>
      </c>
      <c r="F218" s="588">
        <f t="shared" ref="F218:P218" si="178">F219</f>
        <v>0</v>
      </c>
      <c r="G218" s="588">
        <f t="shared" si="178"/>
        <v>0</v>
      </c>
      <c r="H218" s="588">
        <f t="shared" si="178"/>
        <v>0</v>
      </c>
      <c r="I218" s="588">
        <f t="shared" si="178"/>
        <v>0</v>
      </c>
      <c r="J218" s="588">
        <f t="shared" si="178"/>
        <v>0</v>
      </c>
      <c r="K218" s="588">
        <f t="shared" si="178"/>
        <v>0</v>
      </c>
      <c r="L218" s="588">
        <f t="shared" si="178"/>
        <v>0</v>
      </c>
      <c r="M218" s="588">
        <f t="shared" si="178"/>
        <v>0</v>
      </c>
      <c r="N218" s="588">
        <f t="shared" si="178"/>
        <v>0</v>
      </c>
      <c r="O218" s="588">
        <f t="shared" si="178"/>
        <v>0</v>
      </c>
      <c r="P218" s="588">
        <f t="shared" si="178"/>
        <v>0</v>
      </c>
      <c r="Q218" s="157"/>
      <c r="R218" s="52"/>
    </row>
    <row r="219" spans="1:18" ht="48" hidden="1" thickTop="1" thickBot="1" x14ac:dyDescent="0.25">
      <c r="A219" s="103" t="s">
        <v>183</v>
      </c>
      <c r="B219" s="103" t="s">
        <v>184</v>
      </c>
      <c r="C219" s="103" t="s">
        <v>185</v>
      </c>
      <c r="D219" s="103" t="s">
        <v>638</v>
      </c>
      <c r="E219" s="312">
        <f t="shared" ref="E219:E236" si="179">F219</f>
        <v>0</v>
      </c>
      <c r="F219" s="326">
        <f>(6040461)-6040461</f>
        <v>0</v>
      </c>
      <c r="G219" s="326">
        <f>(4559615)-4559615</f>
        <v>0</v>
      </c>
      <c r="H219" s="326">
        <f>(96665+5295+31600+3840)-137400</f>
        <v>0</v>
      </c>
      <c r="I219" s="326"/>
      <c r="J219" s="328">
        <f t="shared" ref="J219:J247" si="180">L219+O219</f>
        <v>0</v>
      </c>
      <c r="K219" s="326"/>
      <c r="L219" s="458"/>
      <c r="M219" s="458"/>
      <c r="N219" s="458"/>
      <c r="O219" s="459">
        <f t="shared" ref="O219:O247" si="181">K219</f>
        <v>0</v>
      </c>
      <c r="P219" s="328">
        <f>+J219+E219</f>
        <v>0</v>
      </c>
      <c r="Q219" s="50"/>
      <c r="R219" s="50"/>
    </row>
    <row r="220" spans="1:18" s="33" customFormat="1" ht="93" thickTop="1" thickBot="1" x14ac:dyDescent="0.25">
      <c r="A220" s="329" t="s">
        <v>767</v>
      </c>
      <c r="B220" s="329" t="s">
        <v>768</v>
      </c>
      <c r="C220" s="329"/>
      <c r="D220" s="329" t="s">
        <v>1554</v>
      </c>
      <c r="E220" s="466">
        <f>SUM(E221:E222)</f>
        <v>13133719</v>
      </c>
      <c r="F220" s="466">
        <f t="shared" ref="F220:P220" si="182">SUM(F221:F222)</f>
        <v>13133719</v>
      </c>
      <c r="G220" s="466">
        <f t="shared" si="182"/>
        <v>5109873</v>
      </c>
      <c r="H220" s="466">
        <f t="shared" si="182"/>
        <v>1033530</v>
      </c>
      <c r="I220" s="466">
        <f t="shared" si="182"/>
        <v>0</v>
      </c>
      <c r="J220" s="466">
        <f t="shared" si="182"/>
        <v>821200</v>
      </c>
      <c r="K220" s="466">
        <f t="shared" si="182"/>
        <v>400000</v>
      </c>
      <c r="L220" s="466">
        <f t="shared" si="182"/>
        <v>421200</v>
      </c>
      <c r="M220" s="466">
        <f t="shared" si="182"/>
        <v>198800</v>
      </c>
      <c r="N220" s="466">
        <f t="shared" si="182"/>
        <v>152665</v>
      </c>
      <c r="O220" s="466">
        <f t="shared" si="182"/>
        <v>400000</v>
      </c>
      <c r="P220" s="466">
        <f t="shared" si="182"/>
        <v>13954919</v>
      </c>
      <c r="Q220" s="51"/>
      <c r="R220" s="51"/>
    </row>
    <row r="221" spans="1:18" ht="48" thickTop="1" thickBot="1" x14ac:dyDescent="0.25">
      <c r="A221" s="103" t="s">
        <v>189</v>
      </c>
      <c r="B221" s="103" t="s">
        <v>190</v>
      </c>
      <c r="C221" s="103" t="s">
        <v>185</v>
      </c>
      <c r="D221" s="103" t="s">
        <v>10</v>
      </c>
      <c r="E221" s="312">
        <f t="shared" si="179"/>
        <v>5976842</v>
      </c>
      <c r="F221" s="326">
        <v>5976842</v>
      </c>
      <c r="G221" s="326">
        <v>3757524</v>
      </c>
      <c r="H221" s="326">
        <f>640500+6906+191040+3080</f>
        <v>841526</v>
      </c>
      <c r="I221" s="326"/>
      <c r="J221" s="328">
        <f t="shared" si="180"/>
        <v>821200</v>
      </c>
      <c r="K221" s="326">
        <f>(0)+400000</f>
        <v>400000</v>
      </c>
      <c r="L221" s="458">
        <v>421200</v>
      </c>
      <c r="M221" s="458">
        <v>198800</v>
      </c>
      <c r="N221" s="458">
        <v>152665</v>
      </c>
      <c r="O221" s="459">
        <f>K221</f>
        <v>400000</v>
      </c>
      <c r="P221" s="328">
        <f t="shared" ref="P221:P247" si="183">E221+J221</f>
        <v>6798042</v>
      </c>
      <c r="Q221" s="20"/>
      <c r="R221" s="46"/>
    </row>
    <row r="222" spans="1:18" ht="48" thickTop="1" thickBot="1" x14ac:dyDescent="0.25">
      <c r="A222" s="103" t="s">
        <v>351</v>
      </c>
      <c r="B222" s="103" t="s">
        <v>352</v>
      </c>
      <c r="C222" s="103" t="s">
        <v>185</v>
      </c>
      <c r="D222" s="103" t="s">
        <v>353</v>
      </c>
      <c r="E222" s="312">
        <f t="shared" si="179"/>
        <v>7156877</v>
      </c>
      <c r="F222" s="326">
        <v>7156877</v>
      </c>
      <c r="G222" s="326">
        <v>1352349</v>
      </c>
      <c r="H222" s="326">
        <f>102138+6560+80906+2400</f>
        <v>192004</v>
      </c>
      <c r="I222" s="326"/>
      <c r="J222" s="328">
        <f t="shared" si="180"/>
        <v>0</v>
      </c>
      <c r="K222" s="326"/>
      <c r="L222" s="458"/>
      <c r="M222" s="458"/>
      <c r="N222" s="458"/>
      <c r="O222" s="459">
        <f t="shared" si="181"/>
        <v>0</v>
      </c>
      <c r="P222" s="328">
        <f t="shared" si="183"/>
        <v>7156877</v>
      </c>
      <c r="Q222" s="20"/>
      <c r="R222" s="46"/>
    </row>
    <row r="223" spans="1:18" ht="47.25" thickTop="1" thickBot="1" x14ac:dyDescent="0.25">
      <c r="A223" s="311" t="s">
        <v>769</v>
      </c>
      <c r="B223" s="311" t="s">
        <v>770</v>
      </c>
      <c r="C223" s="103"/>
      <c r="D223" s="311" t="s">
        <v>771</v>
      </c>
      <c r="E223" s="312">
        <f t="shared" ref="E223:P223" si="184">SUM(E224:E237)-E224-E227-E229-E234-E232</f>
        <v>111469065</v>
      </c>
      <c r="F223" s="312">
        <f t="shared" si="184"/>
        <v>111469065</v>
      </c>
      <c r="G223" s="312">
        <f t="shared" si="184"/>
        <v>46982552</v>
      </c>
      <c r="H223" s="312">
        <f t="shared" si="184"/>
        <v>3459880</v>
      </c>
      <c r="I223" s="312">
        <f t="shared" si="184"/>
        <v>0</v>
      </c>
      <c r="J223" s="312">
        <f t="shared" si="184"/>
        <v>2563306</v>
      </c>
      <c r="K223" s="312">
        <f t="shared" si="184"/>
        <v>1071064</v>
      </c>
      <c r="L223" s="312">
        <f t="shared" si="184"/>
        <v>1467242</v>
      </c>
      <c r="M223" s="312">
        <f t="shared" si="184"/>
        <v>505365</v>
      </c>
      <c r="N223" s="312">
        <f t="shared" si="184"/>
        <v>371711</v>
      </c>
      <c r="O223" s="312">
        <f t="shared" si="184"/>
        <v>1096064</v>
      </c>
      <c r="P223" s="312">
        <f t="shared" si="184"/>
        <v>114032371</v>
      </c>
      <c r="Q223" s="20"/>
      <c r="R223" s="46"/>
    </row>
    <row r="224" spans="1:18" s="33" customFormat="1" ht="48" thickTop="1" thickBot="1" x14ac:dyDescent="0.25">
      <c r="A224" s="329" t="s">
        <v>772</v>
      </c>
      <c r="B224" s="329" t="s">
        <v>773</v>
      </c>
      <c r="C224" s="329"/>
      <c r="D224" s="329" t="s">
        <v>774</v>
      </c>
      <c r="E224" s="466">
        <f>SUM(E225:E226)</f>
        <v>32699823</v>
      </c>
      <c r="F224" s="466">
        <f t="shared" ref="F224:P224" si="185">SUM(F225:F226)</f>
        <v>32699823</v>
      </c>
      <c r="G224" s="466">
        <f t="shared" si="185"/>
        <v>0</v>
      </c>
      <c r="H224" s="466">
        <f t="shared" si="185"/>
        <v>0</v>
      </c>
      <c r="I224" s="466">
        <f t="shared" si="185"/>
        <v>0</v>
      </c>
      <c r="J224" s="466">
        <f t="shared" si="185"/>
        <v>0</v>
      </c>
      <c r="K224" s="466">
        <f t="shared" si="185"/>
        <v>0</v>
      </c>
      <c r="L224" s="466">
        <f t="shared" si="185"/>
        <v>0</v>
      </c>
      <c r="M224" s="466">
        <f t="shared" si="185"/>
        <v>0</v>
      </c>
      <c r="N224" s="466">
        <f t="shared" si="185"/>
        <v>0</v>
      </c>
      <c r="O224" s="466">
        <f t="shared" si="185"/>
        <v>0</v>
      </c>
      <c r="P224" s="466">
        <f t="shared" si="185"/>
        <v>32699823</v>
      </c>
      <c r="Q224" s="36"/>
      <c r="R224" s="52"/>
    </row>
    <row r="225" spans="1:18" ht="93" thickTop="1" thickBot="1" x14ac:dyDescent="0.25">
      <c r="A225" s="103" t="s">
        <v>44</v>
      </c>
      <c r="B225" s="103" t="s">
        <v>186</v>
      </c>
      <c r="C225" s="103" t="s">
        <v>195</v>
      </c>
      <c r="D225" s="103" t="s">
        <v>45</v>
      </c>
      <c r="E225" s="312">
        <f t="shared" si="179"/>
        <v>29300000</v>
      </c>
      <c r="F225" s="326">
        <f>(27000000)+2300000</f>
        <v>29300000</v>
      </c>
      <c r="G225" s="462"/>
      <c r="H225" s="462"/>
      <c r="I225" s="462"/>
      <c r="J225" s="328">
        <f t="shared" si="180"/>
        <v>0</v>
      </c>
      <c r="K225" s="462"/>
      <c r="L225" s="462"/>
      <c r="M225" s="462"/>
      <c r="N225" s="462"/>
      <c r="O225" s="459">
        <f t="shared" si="181"/>
        <v>0</v>
      </c>
      <c r="P225" s="328">
        <f t="shared" si="183"/>
        <v>29300000</v>
      </c>
      <c r="Q225" s="20"/>
      <c r="R225" s="46"/>
    </row>
    <row r="226" spans="1:18" ht="93" thickTop="1" thickBot="1" x14ac:dyDescent="0.25">
      <c r="A226" s="103" t="s">
        <v>46</v>
      </c>
      <c r="B226" s="103" t="s">
        <v>187</v>
      </c>
      <c r="C226" s="103" t="s">
        <v>195</v>
      </c>
      <c r="D226" s="103" t="s">
        <v>4</v>
      </c>
      <c r="E226" s="312">
        <f t="shared" si="179"/>
        <v>3399823</v>
      </c>
      <c r="F226" s="326">
        <v>3399823</v>
      </c>
      <c r="G226" s="462"/>
      <c r="H226" s="462"/>
      <c r="I226" s="462"/>
      <c r="J226" s="328">
        <f t="shared" si="180"/>
        <v>0</v>
      </c>
      <c r="K226" s="462"/>
      <c r="L226" s="462"/>
      <c r="M226" s="462"/>
      <c r="N226" s="462"/>
      <c r="O226" s="459">
        <f t="shared" si="181"/>
        <v>0</v>
      </c>
      <c r="P226" s="328">
        <f t="shared" si="183"/>
        <v>3399823</v>
      </c>
      <c r="Q226" s="20"/>
      <c r="R226" s="46"/>
    </row>
    <row r="227" spans="1:18" s="33" customFormat="1" ht="93" thickTop="1" thickBot="1" x14ac:dyDescent="0.25">
      <c r="A227" s="329" t="s">
        <v>775</v>
      </c>
      <c r="B227" s="329" t="s">
        <v>776</v>
      </c>
      <c r="C227" s="329"/>
      <c r="D227" s="329" t="s">
        <v>777</v>
      </c>
      <c r="E227" s="466">
        <f>E228</f>
        <v>41300</v>
      </c>
      <c r="F227" s="466">
        <f t="shared" ref="F227:P227" si="186">F228</f>
        <v>41300</v>
      </c>
      <c r="G227" s="466">
        <f t="shared" si="186"/>
        <v>0</v>
      </c>
      <c r="H227" s="466">
        <f t="shared" si="186"/>
        <v>0</v>
      </c>
      <c r="I227" s="466">
        <f t="shared" si="186"/>
        <v>0</v>
      </c>
      <c r="J227" s="466">
        <f t="shared" si="186"/>
        <v>0</v>
      </c>
      <c r="K227" s="466">
        <f t="shared" si="186"/>
        <v>0</v>
      </c>
      <c r="L227" s="466">
        <f t="shared" si="186"/>
        <v>0</v>
      </c>
      <c r="M227" s="466">
        <f t="shared" si="186"/>
        <v>0</v>
      </c>
      <c r="N227" s="466">
        <f t="shared" si="186"/>
        <v>0</v>
      </c>
      <c r="O227" s="466">
        <f t="shared" si="186"/>
        <v>0</v>
      </c>
      <c r="P227" s="466">
        <f t="shared" si="186"/>
        <v>41300</v>
      </c>
      <c r="Q227" s="36"/>
      <c r="R227" s="53"/>
    </row>
    <row r="228" spans="1:18" ht="93" thickTop="1" thickBot="1" x14ac:dyDescent="0.25">
      <c r="A228" s="103" t="s">
        <v>47</v>
      </c>
      <c r="B228" s="103" t="s">
        <v>188</v>
      </c>
      <c r="C228" s="103" t="s">
        <v>195</v>
      </c>
      <c r="D228" s="103" t="s">
        <v>349</v>
      </c>
      <c r="E228" s="312">
        <f>F228</f>
        <v>41300</v>
      </c>
      <c r="F228" s="326">
        <v>41300</v>
      </c>
      <c r="G228" s="326"/>
      <c r="H228" s="326"/>
      <c r="I228" s="462"/>
      <c r="J228" s="328">
        <f t="shared" si="180"/>
        <v>0</v>
      </c>
      <c r="K228" s="462"/>
      <c r="L228" s="326"/>
      <c r="M228" s="326"/>
      <c r="N228" s="326"/>
      <c r="O228" s="459">
        <f t="shared" si="181"/>
        <v>0</v>
      </c>
      <c r="P228" s="328">
        <f t="shared" si="183"/>
        <v>41300</v>
      </c>
      <c r="Q228" s="20"/>
      <c r="R228" s="46"/>
    </row>
    <row r="229" spans="1:18" ht="48" thickTop="1" thickBot="1" x14ac:dyDescent="0.25">
      <c r="A229" s="329" t="s">
        <v>778</v>
      </c>
      <c r="B229" s="329" t="s">
        <v>779</v>
      </c>
      <c r="C229" s="329"/>
      <c r="D229" s="329" t="s">
        <v>780</v>
      </c>
      <c r="E229" s="466">
        <f>SUM(E230:E231)</f>
        <v>70597322</v>
      </c>
      <c r="F229" s="466">
        <f t="shared" ref="F229:P229" si="187">SUM(F230:F231)</f>
        <v>70597322</v>
      </c>
      <c r="G229" s="466">
        <f t="shared" si="187"/>
        <v>45541127</v>
      </c>
      <c r="H229" s="466">
        <f t="shared" si="187"/>
        <v>3459880</v>
      </c>
      <c r="I229" s="466">
        <f t="shared" si="187"/>
        <v>0</v>
      </c>
      <c r="J229" s="466">
        <f t="shared" si="187"/>
        <v>2513306</v>
      </c>
      <c r="K229" s="466">
        <f t="shared" si="187"/>
        <v>1071064</v>
      </c>
      <c r="L229" s="466">
        <f t="shared" si="187"/>
        <v>1417242</v>
      </c>
      <c r="M229" s="466">
        <f t="shared" si="187"/>
        <v>505365</v>
      </c>
      <c r="N229" s="466">
        <f t="shared" si="187"/>
        <v>371711</v>
      </c>
      <c r="O229" s="466">
        <f t="shared" si="187"/>
        <v>1096064</v>
      </c>
      <c r="P229" s="466">
        <f t="shared" si="187"/>
        <v>73110628</v>
      </c>
      <c r="Q229" s="20"/>
      <c r="R229" s="46"/>
    </row>
    <row r="230" spans="1:18" ht="93" thickTop="1" thickBot="1" x14ac:dyDescent="0.25">
      <c r="A230" s="103" t="s">
        <v>28</v>
      </c>
      <c r="B230" s="103" t="s">
        <v>192</v>
      </c>
      <c r="C230" s="103" t="s">
        <v>195</v>
      </c>
      <c r="D230" s="103" t="s">
        <v>48</v>
      </c>
      <c r="E230" s="312">
        <f t="shared" si="179"/>
        <v>63635631</v>
      </c>
      <c r="F230" s="326">
        <f>(63565171)+70460</f>
        <v>63635631</v>
      </c>
      <c r="G230" s="326">
        <f>13791707+13494017+12637962+5617441</f>
        <v>45541127</v>
      </c>
      <c r="H230" s="326">
        <f>582200+114491+553286+67934+483136+25997+376551+57199+5016+21100+12432+180616+368000+5930+382500+11712+147504+59200+5076</f>
        <v>3459880</v>
      </c>
      <c r="I230" s="326"/>
      <c r="J230" s="328">
        <f t="shared" si="180"/>
        <v>2513306</v>
      </c>
      <c r="K230" s="326">
        <f>(1000000)+71064</f>
        <v>1071064</v>
      </c>
      <c r="L230" s="326">
        <f>1442242-25000</f>
        <v>1417242</v>
      </c>
      <c r="M230" s="326">
        <v>505365</v>
      </c>
      <c r="N230" s="326">
        <v>371711</v>
      </c>
      <c r="O230" s="459">
        <f>(K230+25000)</f>
        <v>1096064</v>
      </c>
      <c r="P230" s="328">
        <f t="shared" si="183"/>
        <v>66148937</v>
      </c>
      <c r="Q230" s="20"/>
      <c r="R230" s="46"/>
    </row>
    <row r="231" spans="1:18" ht="93" thickTop="1" thickBot="1" x14ac:dyDescent="0.25">
      <c r="A231" s="103" t="s">
        <v>29</v>
      </c>
      <c r="B231" s="103" t="s">
        <v>193</v>
      </c>
      <c r="C231" s="103" t="s">
        <v>195</v>
      </c>
      <c r="D231" s="103" t="s">
        <v>49</v>
      </c>
      <c r="E231" s="312">
        <f t="shared" si="179"/>
        <v>6961691</v>
      </c>
      <c r="F231" s="326">
        <v>6961691</v>
      </c>
      <c r="G231" s="326"/>
      <c r="H231" s="326"/>
      <c r="I231" s="326"/>
      <c r="J231" s="328">
        <f t="shared" si="180"/>
        <v>0</v>
      </c>
      <c r="K231" s="326">
        <v>0</v>
      </c>
      <c r="L231" s="326"/>
      <c r="M231" s="326"/>
      <c r="N231" s="326"/>
      <c r="O231" s="459">
        <f t="shared" si="181"/>
        <v>0</v>
      </c>
      <c r="P231" s="328">
        <f t="shared" si="183"/>
        <v>6961691</v>
      </c>
      <c r="Q231" s="20"/>
      <c r="R231" s="46"/>
    </row>
    <row r="232" spans="1:18" ht="48" hidden="1" thickTop="1" thickBot="1" x14ac:dyDescent="0.25">
      <c r="A232" s="409" t="s">
        <v>1378</v>
      </c>
      <c r="B232" s="140" t="s">
        <v>816</v>
      </c>
      <c r="C232" s="140"/>
      <c r="D232" s="140" t="s">
        <v>817</v>
      </c>
      <c r="E232" s="158">
        <f>E233</f>
        <v>0</v>
      </c>
      <c r="F232" s="158">
        <f t="shared" ref="F232:P232" si="188">F233</f>
        <v>0</v>
      </c>
      <c r="G232" s="158">
        <f t="shared" si="188"/>
        <v>0</v>
      </c>
      <c r="H232" s="158">
        <f t="shared" si="188"/>
        <v>0</v>
      </c>
      <c r="I232" s="158">
        <f t="shared" si="188"/>
        <v>0</v>
      </c>
      <c r="J232" s="158">
        <f t="shared" si="188"/>
        <v>0</v>
      </c>
      <c r="K232" s="158">
        <f t="shared" si="188"/>
        <v>0</v>
      </c>
      <c r="L232" s="158">
        <f t="shared" si="188"/>
        <v>0</v>
      </c>
      <c r="M232" s="158">
        <f t="shared" si="188"/>
        <v>0</v>
      </c>
      <c r="N232" s="158">
        <f t="shared" si="188"/>
        <v>0</v>
      </c>
      <c r="O232" s="158">
        <f t="shared" si="188"/>
        <v>0</v>
      </c>
      <c r="P232" s="158">
        <f t="shared" si="188"/>
        <v>0</v>
      </c>
      <c r="Q232" s="20"/>
      <c r="R232" s="46"/>
    </row>
    <row r="233" spans="1:18" ht="93" hidden="1" thickTop="1" thickBot="1" x14ac:dyDescent="0.25">
      <c r="A233" s="128" t="s">
        <v>1379</v>
      </c>
      <c r="B233" s="128" t="s">
        <v>1380</v>
      </c>
      <c r="C233" s="128" t="s">
        <v>195</v>
      </c>
      <c r="D233" s="128" t="s">
        <v>1381</v>
      </c>
      <c r="E233" s="152">
        <f t="shared" ref="E233" si="189">F233</f>
        <v>0</v>
      </c>
      <c r="F233" s="129"/>
      <c r="G233" s="129"/>
      <c r="H233" s="129"/>
      <c r="I233" s="129"/>
      <c r="J233" s="127">
        <f t="shared" ref="J233" si="190">L233+O233</f>
        <v>0</v>
      </c>
      <c r="K233" s="129">
        <v>0</v>
      </c>
      <c r="L233" s="129"/>
      <c r="M233" s="129"/>
      <c r="N233" s="129"/>
      <c r="O233" s="132">
        <f t="shared" ref="O233" si="191">K233</f>
        <v>0</v>
      </c>
      <c r="P233" s="127">
        <f t="shared" ref="P233" si="192">E233+J233</f>
        <v>0</v>
      </c>
      <c r="Q233" s="20"/>
      <c r="R233" s="46"/>
    </row>
    <row r="234" spans="1:18" ht="48" thickTop="1" thickBot="1" x14ac:dyDescent="0.25">
      <c r="A234" s="589" t="s">
        <v>781</v>
      </c>
      <c r="B234" s="329" t="s">
        <v>782</v>
      </c>
      <c r="C234" s="329"/>
      <c r="D234" s="329" t="s">
        <v>783</v>
      </c>
      <c r="E234" s="466">
        <f>SUM(E235:E237)</f>
        <v>8130620</v>
      </c>
      <c r="F234" s="466">
        <f t="shared" ref="F234:P234" si="193">SUM(F235:F237)</f>
        <v>8130620</v>
      </c>
      <c r="G234" s="466">
        <f t="shared" si="193"/>
        <v>1441425</v>
      </c>
      <c r="H234" s="466">
        <f t="shared" si="193"/>
        <v>0</v>
      </c>
      <c r="I234" s="466">
        <f t="shared" si="193"/>
        <v>0</v>
      </c>
      <c r="J234" s="466">
        <f t="shared" si="193"/>
        <v>50000</v>
      </c>
      <c r="K234" s="466">
        <f t="shared" si="193"/>
        <v>0</v>
      </c>
      <c r="L234" s="466">
        <f t="shared" si="193"/>
        <v>50000</v>
      </c>
      <c r="M234" s="466">
        <f t="shared" si="193"/>
        <v>0</v>
      </c>
      <c r="N234" s="466">
        <f t="shared" si="193"/>
        <v>0</v>
      </c>
      <c r="O234" s="466">
        <f t="shared" si="193"/>
        <v>0</v>
      </c>
      <c r="P234" s="466">
        <f t="shared" si="193"/>
        <v>8180620</v>
      </c>
      <c r="Q234" s="20"/>
      <c r="R234" s="46"/>
    </row>
    <row r="235" spans="1:18" ht="138.75" thickTop="1" thickBot="1" x14ac:dyDescent="0.25">
      <c r="A235" s="590" t="s">
        <v>30</v>
      </c>
      <c r="B235" s="590" t="s">
        <v>194</v>
      </c>
      <c r="C235" s="590" t="s">
        <v>195</v>
      </c>
      <c r="D235" s="103" t="s">
        <v>31</v>
      </c>
      <c r="E235" s="312">
        <f t="shared" si="179"/>
        <v>775354</v>
      </c>
      <c r="F235" s="326">
        <f>(625354)+150000</f>
        <v>775354</v>
      </c>
      <c r="G235" s="462"/>
      <c r="H235" s="462"/>
      <c r="I235" s="462"/>
      <c r="J235" s="328">
        <f t="shared" si="180"/>
        <v>0</v>
      </c>
      <c r="K235" s="462"/>
      <c r="L235" s="462"/>
      <c r="M235" s="462"/>
      <c r="N235" s="462"/>
      <c r="O235" s="459">
        <f t="shared" si="181"/>
        <v>0</v>
      </c>
      <c r="P235" s="328">
        <f t="shared" si="183"/>
        <v>775354</v>
      </c>
      <c r="Q235" s="20"/>
      <c r="R235" s="46"/>
    </row>
    <row r="236" spans="1:18" ht="93" thickTop="1" thickBot="1" x14ac:dyDescent="0.25">
      <c r="A236" s="590" t="s">
        <v>512</v>
      </c>
      <c r="B236" s="590" t="s">
        <v>510</v>
      </c>
      <c r="C236" s="590" t="s">
        <v>195</v>
      </c>
      <c r="D236" s="103" t="s">
        <v>511</v>
      </c>
      <c r="E236" s="312">
        <f t="shared" si="179"/>
        <v>5242225</v>
      </c>
      <c r="F236" s="326">
        <v>5242225</v>
      </c>
      <c r="G236" s="462"/>
      <c r="H236" s="462"/>
      <c r="I236" s="462"/>
      <c r="J236" s="328">
        <f t="shared" si="180"/>
        <v>0</v>
      </c>
      <c r="K236" s="462"/>
      <c r="L236" s="462"/>
      <c r="M236" s="462"/>
      <c r="N236" s="462"/>
      <c r="O236" s="459">
        <f t="shared" si="181"/>
        <v>0</v>
      </c>
      <c r="P236" s="328">
        <f t="shared" si="183"/>
        <v>5242225</v>
      </c>
      <c r="Q236" s="20"/>
      <c r="R236" s="46"/>
    </row>
    <row r="237" spans="1:18" ht="48" thickTop="1" thickBot="1" x14ac:dyDescent="0.25">
      <c r="A237" s="590" t="s">
        <v>32</v>
      </c>
      <c r="B237" s="590" t="s">
        <v>196</v>
      </c>
      <c r="C237" s="590" t="s">
        <v>195</v>
      </c>
      <c r="D237" s="103" t="s">
        <v>33</v>
      </c>
      <c r="E237" s="312">
        <f>F237</f>
        <v>2113041</v>
      </c>
      <c r="F237" s="326">
        <v>2113041</v>
      </c>
      <c r="G237" s="462">
        <v>1441425</v>
      </c>
      <c r="H237" s="462"/>
      <c r="I237" s="462"/>
      <c r="J237" s="328">
        <f t="shared" si="180"/>
        <v>50000</v>
      </c>
      <c r="K237" s="462"/>
      <c r="L237" s="462">
        <v>50000</v>
      </c>
      <c r="M237" s="462"/>
      <c r="N237" s="462"/>
      <c r="O237" s="459">
        <f t="shared" si="181"/>
        <v>0</v>
      </c>
      <c r="P237" s="328">
        <f t="shared" si="183"/>
        <v>2163041</v>
      </c>
      <c r="Q237" s="20"/>
      <c r="R237" s="46"/>
    </row>
    <row r="238" spans="1:18" ht="47.25" hidden="1" thickTop="1" thickBot="1" x14ac:dyDescent="0.25">
      <c r="A238" s="125" t="s">
        <v>784</v>
      </c>
      <c r="B238" s="125" t="s">
        <v>742</v>
      </c>
      <c r="C238" s="125"/>
      <c r="D238" s="408" t="s">
        <v>743</v>
      </c>
      <c r="E238" s="152">
        <f>E239</f>
        <v>0</v>
      </c>
      <c r="F238" s="152">
        <f t="shared" ref="F238:P239" si="194">F239</f>
        <v>0</v>
      </c>
      <c r="G238" s="152">
        <f t="shared" si="194"/>
        <v>0</v>
      </c>
      <c r="H238" s="152">
        <f t="shared" si="194"/>
        <v>0</v>
      </c>
      <c r="I238" s="152">
        <f t="shared" si="194"/>
        <v>0</v>
      </c>
      <c r="J238" s="152">
        <f t="shared" si="194"/>
        <v>0</v>
      </c>
      <c r="K238" s="152">
        <f t="shared" si="194"/>
        <v>0</v>
      </c>
      <c r="L238" s="152">
        <f t="shared" si="194"/>
        <v>0</v>
      </c>
      <c r="M238" s="152">
        <f t="shared" si="194"/>
        <v>0</v>
      </c>
      <c r="N238" s="152">
        <f t="shared" si="194"/>
        <v>0</v>
      </c>
      <c r="O238" s="152">
        <f t="shared" si="194"/>
        <v>0</v>
      </c>
      <c r="P238" s="152">
        <f t="shared" si="194"/>
        <v>0</v>
      </c>
      <c r="Q238" s="20"/>
      <c r="R238" s="46"/>
    </row>
    <row r="239" spans="1:18" ht="48" hidden="1" thickTop="1" thickBot="1" x14ac:dyDescent="0.25">
      <c r="A239" s="409" t="s">
        <v>785</v>
      </c>
      <c r="B239" s="409" t="s">
        <v>745</v>
      </c>
      <c r="C239" s="409"/>
      <c r="D239" s="140" t="s">
        <v>746</v>
      </c>
      <c r="E239" s="158">
        <f>E240</f>
        <v>0</v>
      </c>
      <c r="F239" s="158">
        <f t="shared" si="194"/>
        <v>0</v>
      </c>
      <c r="G239" s="158">
        <f t="shared" si="194"/>
        <v>0</v>
      </c>
      <c r="H239" s="158">
        <f t="shared" si="194"/>
        <v>0</v>
      </c>
      <c r="I239" s="158">
        <f t="shared" si="194"/>
        <v>0</v>
      </c>
      <c r="J239" s="158">
        <f t="shared" si="194"/>
        <v>0</v>
      </c>
      <c r="K239" s="158">
        <f t="shared" si="194"/>
        <v>0</v>
      </c>
      <c r="L239" s="158">
        <f t="shared" si="194"/>
        <v>0</v>
      </c>
      <c r="M239" s="158">
        <f t="shared" si="194"/>
        <v>0</v>
      </c>
      <c r="N239" s="158">
        <f t="shared" si="194"/>
        <v>0</v>
      </c>
      <c r="O239" s="158">
        <f t="shared" si="194"/>
        <v>0</v>
      </c>
      <c r="P239" s="158">
        <f t="shared" si="194"/>
        <v>0</v>
      </c>
      <c r="Q239" s="20"/>
      <c r="R239" s="46"/>
    </row>
    <row r="240" spans="1:18" ht="138.75" hidden="1" thickTop="1" thickBot="1" x14ac:dyDescent="0.25">
      <c r="A240" s="410" t="s">
        <v>342</v>
      </c>
      <c r="B240" s="410" t="s">
        <v>341</v>
      </c>
      <c r="C240" s="410" t="s">
        <v>340</v>
      </c>
      <c r="D240" s="128" t="s">
        <v>639</v>
      </c>
      <c r="E240" s="152">
        <f>F240</f>
        <v>0</v>
      </c>
      <c r="F240" s="129"/>
      <c r="G240" s="134"/>
      <c r="H240" s="134"/>
      <c r="I240" s="134"/>
      <c r="J240" s="127">
        <f t="shared" si="180"/>
        <v>0</v>
      </c>
      <c r="K240" s="134"/>
      <c r="L240" s="134"/>
      <c r="M240" s="134"/>
      <c r="N240" s="134"/>
      <c r="O240" s="132">
        <f t="shared" si="181"/>
        <v>0</v>
      </c>
      <c r="P240" s="127">
        <f t="shared" si="183"/>
        <v>0</v>
      </c>
      <c r="Q240" s="20"/>
      <c r="R240" s="50"/>
    </row>
    <row r="241" spans="1:18" ht="47.25" hidden="1" thickTop="1" thickBot="1" x14ac:dyDescent="0.25">
      <c r="A241" s="125" t="s">
        <v>786</v>
      </c>
      <c r="B241" s="125" t="s">
        <v>748</v>
      </c>
      <c r="C241" s="125"/>
      <c r="D241" s="125" t="s">
        <v>749</v>
      </c>
      <c r="E241" s="152">
        <f>E245+E242</f>
        <v>0</v>
      </c>
      <c r="F241" s="152">
        <f t="shared" ref="F241:P241" si="195">F245+F242</f>
        <v>0</v>
      </c>
      <c r="G241" s="152">
        <f t="shared" si="195"/>
        <v>0</v>
      </c>
      <c r="H241" s="152">
        <f t="shared" si="195"/>
        <v>0</v>
      </c>
      <c r="I241" s="152">
        <f t="shared" si="195"/>
        <v>0</v>
      </c>
      <c r="J241" s="152">
        <f t="shared" si="195"/>
        <v>0</v>
      </c>
      <c r="K241" s="152">
        <f t="shared" si="195"/>
        <v>0</v>
      </c>
      <c r="L241" s="152">
        <f t="shared" si="195"/>
        <v>0</v>
      </c>
      <c r="M241" s="152">
        <f t="shared" si="195"/>
        <v>0</v>
      </c>
      <c r="N241" s="152">
        <f t="shared" si="195"/>
        <v>0</v>
      </c>
      <c r="O241" s="152">
        <f t="shared" si="195"/>
        <v>0</v>
      </c>
      <c r="P241" s="152">
        <f t="shared" si="195"/>
        <v>0</v>
      </c>
      <c r="Q241" s="20"/>
      <c r="R241" s="50"/>
    </row>
    <row r="242" spans="1:18" ht="47.25" hidden="1" thickTop="1" thickBot="1" x14ac:dyDescent="0.25">
      <c r="A242" s="136" t="s">
        <v>1099</v>
      </c>
      <c r="B242" s="136" t="s">
        <v>803</v>
      </c>
      <c r="C242" s="136"/>
      <c r="D242" s="136" t="s">
        <v>804</v>
      </c>
      <c r="E242" s="137">
        <f>E243</f>
        <v>0</v>
      </c>
      <c r="F242" s="137">
        <f t="shared" ref="F242:P243" si="196">F243</f>
        <v>0</v>
      </c>
      <c r="G242" s="137">
        <f t="shared" si="196"/>
        <v>0</v>
      </c>
      <c r="H242" s="137">
        <f t="shared" si="196"/>
        <v>0</v>
      </c>
      <c r="I242" s="137">
        <f t="shared" si="196"/>
        <v>0</v>
      </c>
      <c r="J242" s="137">
        <f t="shared" si="196"/>
        <v>0</v>
      </c>
      <c r="K242" s="137">
        <f t="shared" si="196"/>
        <v>0</v>
      </c>
      <c r="L242" s="137">
        <f t="shared" si="196"/>
        <v>0</v>
      </c>
      <c r="M242" s="137">
        <f t="shared" si="196"/>
        <v>0</v>
      </c>
      <c r="N242" s="137">
        <f t="shared" si="196"/>
        <v>0</v>
      </c>
      <c r="O242" s="137">
        <f t="shared" si="196"/>
        <v>0</v>
      </c>
      <c r="P242" s="137">
        <f t="shared" si="196"/>
        <v>0</v>
      </c>
      <c r="Q242" s="20"/>
      <c r="R242" s="50"/>
    </row>
    <row r="243" spans="1:18" ht="54" hidden="1" thickTop="1" thickBot="1" x14ac:dyDescent="0.25">
      <c r="A243" s="140" t="s">
        <v>1100</v>
      </c>
      <c r="B243" s="140" t="s">
        <v>821</v>
      </c>
      <c r="C243" s="140"/>
      <c r="D243" s="140" t="s">
        <v>1491</v>
      </c>
      <c r="E243" s="141">
        <f>E244</f>
        <v>0</v>
      </c>
      <c r="F243" s="141">
        <f t="shared" si="196"/>
        <v>0</v>
      </c>
      <c r="G243" s="141">
        <f t="shared" si="196"/>
        <v>0</v>
      </c>
      <c r="H243" s="141">
        <f t="shared" si="196"/>
        <v>0</v>
      </c>
      <c r="I243" s="141">
        <f t="shared" si="196"/>
        <v>0</v>
      </c>
      <c r="J243" s="141">
        <f t="shared" si="196"/>
        <v>0</v>
      </c>
      <c r="K243" s="141">
        <f t="shared" si="196"/>
        <v>0</v>
      </c>
      <c r="L243" s="141">
        <f t="shared" si="196"/>
        <v>0</v>
      </c>
      <c r="M243" s="141">
        <f t="shared" si="196"/>
        <v>0</v>
      </c>
      <c r="N243" s="141">
        <f t="shared" si="196"/>
        <v>0</v>
      </c>
      <c r="O243" s="141">
        <f t="shared" si="196"/>
        <v>0</v>
      </c>
      <c r="P243" s="141">
        <f t="shared" si="196"/>
        <v>0</v>
      </c>
      <c r="Q243" s="20"/>
      <c r="R243" s="50"/>
    </row>
    <row r="244" spans="1:18" ht="54" hidden="1" thickTop="1" thickBot="1" x14ac:dyDescent="0.25">
      <c r="A244" s="128" t="s">
        <v>1101</v>
      </c>
      <c r="B244" s="128" t="s">
        <v>313</v>
      </c>
      <c r="C244" s="128" t="s">
        <v>304</v>
      </c>
      <c r="D244" s="128" t="s">
        <v>1237</v>
      </c>
      <c r="E244" s="127">
        <f t="shared" ref="E244" si="197">F244</f>
        <v>0</v>
      </c>
      <c r="F244" s="134"/>
      <c r="G244" s="134"/>
      <c r="H244" s="134"/>
      <c r="I244" s="134"/>
      <c r="J244" s="127">
        <f t="shared" ref="J244" si="198">L244+O244</f>
        <v>0</v>
      </c>
      <c r="K244" s="134">
        <f>49500-49500</f>
        <v>0</v>
      </c>
      <c r="L244" s="134"/>
      <c r="M244" s="134"/>
      <c r="N244" s="134"/>
      <c r="O244" s="132">
        <f t="shared" ref="O244" si="199">K244</f>
        <v>0</v>
      </c>
      <c r="P244" s="127">
        <f>E244+J244</f>
        <v>0</v>
      </c>
      <c r="Q244" s="20"/>
      <c r="R244" s="50"/>
    </row>
    <row r="245" spans="1:18" ht="47.25" hidden="1" thickTop="1" thickBot="1" x14ac:dyDescent="0.25">
      <c r="A245" s="136" t="s">
        <v>787</v>
      </c>
      <c r="B245" s="136" t="s">
        <v>691</v>
      </c>
      <c r="C245" s="136"/>
      <c r="D245" s="136" t="s">
        <v>689</v>
      </c>
      <c r="E245" s="159">
        <f>E247+E246</f>
        <v>0</v>
      </c>
      <c r="F245" s="159">
        <f t="shared" ref="F245:H245" si="200">F247+F246</f>
        <v>0</v>
      </c>
      <c r="G245" s="159">
        <f t="shared" si="200"/>
        <v>0</v>
      </c>
      <c r="H245" s="159">
        <f t="shared" si="200"/>
        <v>0</v>
      </c>
      <c r="I245" s="159">
        <f>I247+I246</f>
        <v>0</v>
      </c>
      <c r="J245" s="159">
        <f>J247+J246</f>
        <v>0</v>
      </c>
      <c r="K245" s="159">
        <f>K247+K246</f>
        <v>0</v>
      </c>
      <c r="L245" s="159">
        <f t="shared" ref="L245:O245" si="201">L247+L246</f>
        <v>0</v>
      </c>
      <c r="M245" s="159">
        <f t="shared" si="201"/>
        <v>0</v>
      </c>
      <c r="N245" s="159">
        <f t="shared" si="201"/>
        <v>0</v>
      </c>
      <c r="O245" s="159">
        <f t="shared" si="201"/>
        <v>0</v>
      </c>
      <c r="P245" s="159">
        <f>P247+P246</f>
        <v>0</v>
      </c>
      <c r="Q245" s="20"/>
      <c r="R245" s="50"/>
    </row>
    <row r="246" spans="1:18" ht="48" hidden="1" thickTop="1" thickBot="1" x14ac:dyDescent="0.25">
      <c r="A246" s="410" t="s">
        <v>1336</v>
      </c>
      <c r="B246" s="410" t="s">
        <v>212</v>
      </c>
      <c r="C246" s="410"/>
      <c r="D246" s="128" t="s">
        <v>41</v>
      </c>
      <c r="E246" s="152">
        <f>F246</f>
        <v>0</v>
      </c>
      <c r="F246" s="129"/>
      <c r="G246" s="134"/>
      <c r="H246" s="134"/>
      <c r="I246" s="134"/>
      <c r="J246" s="127">
        <f t="shared" ref="J246" si="202">L246+O246</f>
        <v>0</v>
      </c>
      <c r="K246" s="134"/>
      <c r="L246" s="134"/>
      <c r="M246" s="134"/>
      <c r="N246" s="134"/>
      <c r="O246" s="132">
        <f t="shared" ref="O246" si="203">K246</f>
        <v>0</v>
      </c>
      <c r="P246" s="127">
        <f t="shared" ref="P246" si="204">E246+J246</f>
        <v>0</v>
      </c>
      <c r="Q246" s="20"/>
      <c r="R246" s="50"/>
    </row>
    <row r="247" spans="1:18" ht="48" hidden="1" thickTop="1" thickBot="1" x14ac:dyDescent="0.25">
      <c r="A247" s="128" t="s">
        <v>607</v>
      </c>
      <c r="B247" s="128" t="s">
        <v>197</v>
      </c>
      <c r="C247" s="128" t="s">
        <v>170</v>
      </c>
      <c r="D247" s="128" t="s">
        <v>34</v>
      </c>
      <c r="E247" s="127">
        <f t="shared" ref="E247" si="205">F247</f>
        <v>0</v>
      </c>
      <c r="F247" s="134"/>
      <c r="G247" s="134"/>
      <c r="H247" s="134"/>
      <c r="I247" s="134"/>
      <c r="J247" s="127">
        <f t="shared" si="180"/>
        <v>0</v>
      </c>
      <c r="K247" s="134"/>
      <c r="L247" s="134"/>
      <c r="M247" s="134"/>
      <c r="N247" s="134"/>
      <c r="O247" s="132">
        <f t="shared" si="181"/>
        <v>0</v>
      </c>
      <c r="P247" s="127">
        <f t="shared" si="183"/>
        <v>0</v>
      </c>
      <c r="Q247" s="20"/>
      <c r="R247" s="46"/>
    </row>
    <row r="248" spans="1:18" ht="47.25" hidden="1" thickTop="1" thickBot="1" x14ac:dyDescent="0.25">
      <c r="A248" s="146" t="s">
        <v>1107</v>
      </c>
      <c r="B248" s="146" t="s">
        <v>702</v>
      </c>
      <c r="C248" s="146"/>
      <c r="D248" s="146" t="s">
        <v>703</v>
      </c>
      <c r="E248" s="42">
        <f>E249</f>
        <v>0</v>
      </c>
      <c r="F248" s="42">
        <f t="shared" ref="F248:P249" si="206">F249</f>
        <v>0</v>
      </c>
      <c r="G248" s="42">
        <f t="shared" si="206"/>
        <v>0</v>
      </c>
      <c r="H248" s="42">
        <f t="shared" si="206"/>
        <v>0</v>
      </c>
      <c r="I248" s="42">
        <f t="shared" si="206"/>
        <v>0</v>
      </c>
      <c r="J248" s="42">
        <f t="shared" si="206"/>
        <v>0</v>
      </c>
      <c r="K248" s="42">
        <f t="shared" si="206"/>
        <v>0</v>
      </c>
      <c r="L248" s="42">
        <f t="shared" si="206"/>
        <v>0</v>
      </c>
      <c r="M248" s="42">
        <f t="shared" si="206"/>
        <v>0</v>
      </c>
      <c r="N248" s="42">
        <f t="shared" si="206"/>
        <v>0</v>
      </c>
      <c r="O248" s="42">
        <f t="shared" si="206"/>
        <v>0</v>
      </c>
      <c r="P248" s="42">
        <f t="shared" si="206"/>
        <v>0</v>
      </c>
      <c r="Q248" s="20"/>
      <c r="R248" s="46"/>
    </row>
    <row r="249" spans="1:18" ht="91.5" hidden="1" thickTop="1" thickBot="1" x14ac:dyDescent="0.25">
      <c r="A249" s="147" t="s">
        <v>1108</v>
      </c>
      <c r="B249" s="147" t="s">
        <v>705</v>
      </c>
      <c r="C249" s="147"/>
      <c r="D249" s="147" t="s">
        <v>706</v>
      </c>
      <c r="E249" s="148">
        <f>E250</f>
        <v>0</v>
      </c>
      <c r="F249" s="148">
        <f t="shared" si="206"/>
        <v>0</v>
      </c>
      <c r="G249" s="148">
        <f t="shared" si="206"/>
        <v>0</v>
      </c>
      <c r="H249" s="148">
        <f t="shared" si="206"/>
        <v>0</v>
      </c>
      <c r="I249" s="148">
        <f t="shared" si="206"/>
        <v>0</v>
      </c>
      <c r="J249" s="148">
        <f t="shared" si="206"/>
        <v>0</v>
      </c>
      <c r="K249" s="148">
        <f t="shared" si="206"/>
        <v>0</v>
      </c>
      <c r="L249" s="148">
        <f t="shared" si="206"/>
        <v>0</v>
      </c>
      <c r="M249" s="148">
        <f t="shared" si="206"/>
        <v>0</v>
      </c>
      <c r="N249" s="148">
        <f t="shared" si="206"/>
        <v>0</v>
      </c>
      <c r="O249" s="148">
        <f t="shared" si="206"/>
        <v>0</v>
      </c>
      <c r="P249" s="148">
        <f t="shared" si="206"/>
        <v>0</v>
      </c>
      <c r="Q249" s="20"/>
      <c r="R249" s="46"/>
    </row>
    <row r="250" spans="1:18" ht="48" hidden="1" thickTop="1" thickBot="1" x14ac:dyDescent="0.25">
      <c r="A250" s="41" t="s">
        <v>1109</v>
      </c>
      <c r="B250" s="41" t="s">
        <v>363</v>
      </c>
      <c r="C250" s="41" t="s">
        <v>43</v>
      </c>
      <c r="D250" s="41" t="s">
        <v>364</v>
      </c>
      <c r="E250" s="42">
        <f t="shared" ref="E250" si="207">F250</f>
        <v>0</v>
      </c>
      <c r="F250" s="43">
        <v>0</v>
      </c>
      <c r="G250" s="43"/>
      <c r="H250" s="43"/>
      <c r="I250" s="43"/>
      <c r="J250" s="42">
        <f>L250+O250</f>
        <v>0</v>
      </c>
      <c r="K250" s="43">
        <v>0</v>
      </c>
      <c r="L250" s="43"/>
      <c r="M250" s="43"/>
      <c r="N250" s="43"/>
      <c r="O250" s="44">
        <f>K250</f>
        <v>0</v>
      </c>
      <c r="P250" s="42">
        <f>E250+J250</f>
        <v>0</v>
      </c>
      <c r="Q250" s="20"/>
      <c r="R250" s="46"/>
    </row>
    <row r="251" spans="1:18" ht="91.5" thickTop="1" thickBot="1" x14ac:dyDescent="0.25">
      <c r="A251" s="478" t="s">
        <v>158</v>
      </c>
      <c r="B251" s="478"/>
      <c r="C251" s="478"/>
      <c r="D251" s="479" t="s">
        <v>561</v>
      </c>
      <c r="E251" s="502">
        <f>E252</f>
        <v>34412774</v>
      </c>
      <c r="F251" s="480">
        <f t="shared" ref="F251:G251" si="208">F252</f>
        <v>34412774</v>
      </c>
      <c r="G251" s="480">
        <f t="shared" si="208"/>
        <v>6530800</v>
      </c>
      <c r="H251" s="480">
        <f>H252</f>
        <v>510883</v>
      </c>
      <c r="I251" s="480">
        <f t="shared" ref="I251" si="209">I252</f>
        <v>0</v>
      </c>
      <c r="J251" s="502">
        <f>J252</f>
        <v>6904400</v>
      </c>
      <c r="K251" s="480">
        <f>K252</f>
        <v>6904400</v>
      </c>
      <c r="L251" s="480">
        <f>L252</f>
        <v>0</v>
      </c>
      <c r="M251" s="480">
        <f t="shared" ref="M251" si="210">M252</f>
        <v>0</v>
      </c>
      <c r="N251" s="480">
        <f>N252</f>
        <v>0</v>
      </c>
      <c r="O251" s="502">
        <f>O252</f>
        <v>6904400</v>
      </c>
      <c r="P251" s="480">
        <f>P252</f>
        <v>41317174</v>
      </c>
      <c r="Q251" s="20"/>
      <c r="R251" s="50"/>
    </row>
    <row r="252" spans="1:18" ht="91.5" thickTop="1" thickBot="1" x14ac:dyDescent="0.25">
      <c r="A252" s="481" t="s">
        <v>159</v>
      </c>
      <c r="B252" s="481"/>
      <c r="C252" s="481"/>
      <c r="D252" s="482" t="s">
        <v>562</v>
      </c>
      <c r="E252" s="483">
        <f>E253+E257+E265+E274</f>
        <v>34412774</v>
      </c>
      <c r="F252" s="483">
        <f>F253+F257+F265+F274</f>
        <v>34412774</v>
      </c>
      <c r="G252" s="483">
        <f>G253+G257+G265+G274</f>
        <v>6530800</v>
      </c>
      <c r="H252" s="483">
        <f>H253+H257+H265+H274</f>
        <v>510883</v>
      </c>
      <c r="I252" s="483">
        <f>I253+I257+I265+I274</f>
        <v>0</v>
      </c>
      <c r="J252" s="483">
        <f t="shared" ref="J252:J272" si="211">L252+O252</f>
        <v>6904400</v>
      </c>
      <c r="K252" s="483">
        <f>K253+K257+K265+K274</f>
        <v>6904400</v>
      </c>
      <c r="L252" s="483">
        <f>L253+L257+L265+L274</f>
        <v>0</v>
      </c>
      <c r="M252" s="483">
        <f>M253+M257+M265+M274</f>
        <v>0</v>
      </c>
      <c r="N252" s="483">
        <f>N253+N257+N265+N274</f>
        <v>0</v>
      </c>
      <c r="O252" s="483">
        <f>O253+O257+O265+O274</f>
        <v>6904400</v>
      </c>
      <c r="P252" s="483">
        <f>E252+J252</f>
        <v>41317174</v>
      </c>
      <c r="Q252" s="503" t="b">
        <f>P252=P254+P259+P260+P262+P263+P264+P267+P269+P270+P276</f>
        <v>1</v>
      </c>
      <c r="R252" s="54"/>
    </row>
    <row r="253" spans="1:18" ht="47.25" thickTop="1" thickBot="1" x14ac:dyDescent="0.25">
      <c r="A253" s="311" t="s">
        <v>788</v>
      </c>
      <c r="B253" s="311" t="s">
        <v>684</v>
      </c>
      <c r="C253" s="311"/>
      <c r="D253" s="311" t="s">
        <v>685</v>
      </c>
      <c r="E253" s="328">
        <f>SUM(E254:E256)</f>
        <v>9067321</v>
      </c>
      <c r="F253" s="328">
        <f t="shared" ref="F253:N253" si="212">SUM(F254:F256)</f>
        <v>9067321</v>
      </c>
      <c r="G253" s="328">
        <f t="shared" si="212"/>
        <v>6530800</v>
      </c>
      <c r="H253" s="328">
        <f t="shared" si="212"/>
        <v>510883</v>
      </c>
      <c r="I253" s="328">
        <f t="shared" si="212"/>
        <v>0</v>
      </c>
      <c r="J253" s="328">
        <f t="shared" si="212"/>
        <v>0</v>
      </c>
      <c r="K253" s="328">
        <f t="shared" si="212"/>
        <v>0</v>
      </c>
      <c r="L253" s="328">
        <f t="shared" si="212"/>
        <v>0</v>
      </c>
      <c r="M253" s="328">
        <f t="shared" si="212"/>
        <v>0</v>
      </c>
      <c r="N253" s="328">
        <f t="shared" si="212"/>
        <v>0</v>
      </c>
      <c r="O253" s="328">
        <f>SUM(O254:O256)</f>
        <v>0</v>
      </c>
      <c r="P253" s="328">
        <f>SUM(P254:P256)</f>
        <v>9067321</v>
      </c>
      <c r="Q253" s="47"/>
      <c r="R253" s="54"/>
    </row>
    <row r="254" spans="1:18" ht="93" thickTop="1" thickBot="1" x14ac:dyDescent="0.25">
      <c r="A254" s="103" t="s">
        <v>421</v>
      </c>
      <c r="B254" s="103" t="s">
        <v>236</v>
      </c>
      <c r="C254" s="103" t="s">
        <v>234</v>
      </c>
      <c r="D254" s="103" t="s">
        <v>235</v>
      </c>
      <c r="E254" s="312">
        <f>F254</f>
        <v>9067321</v>
      </c>
      <c r="F254" s="326">
        <v>9067321</v>
      </c>
      <c r="G254" s="326">
        <v>6530800</v>
      </c>
      <c r="H254" s="326">
        <v>510883</v>
      </c>
      <c r="I254" s="326"/>
      <c r="J254" s="328">
        <f t="shared" si="211"/>
        <v>0</v>
      </c>
      <c r="K254" s="326">
        <v>0</v>
      </c>
      <c r="L254" s="458"/>
      <c r="M254" s="458"/>
      <c r="N254" s="458"/>
      <c r="O254" s="459">
        <f t="shared" ref="O254:O270" si="213">K254</f>
        <v>0</v>
      </c>
      <c r="P254" s="328">
        <f t="shared" ref="P254:P262" si="214">+J254+E254</f>
        <v>9067321</v>
      </c>
      <c r="Q254" s="20"/>
      <c r="R254" s="54"/>
    </row>
    <row r="255" spans="1:18" ht="93" hidden="1" thickTop="1" thickBot="1" x14ac:dyDescent="0.25">
      <c r="A255" s="128" t="s">
        <v>627</v>
      </c>
      <c r="B255" s="128" t="s">
        <v>362</v>
      </c>
      <c r="C255" s="128" t="s">
        <v>625</v>
      </c>
      <c r="D255" s="128" t="s">
        <v>626</v>
      </c>
      <c r="E255" s="127">
        <f t="shared" ref="E255:E256" si="215">F255</f>
        <v>0</v>
      </c>
      <c r="F255" s="129">
        <v>0</v>
      </c>
      <c r="G255" s="129"/>
      <c r="H255" s="129"/>
      <c r="I255" s="129"/>
      <c r="J255" s="127">
        <f t="shared" si="211"/>
        <v>0</v>
      </c>
      <c r="K255" s="129"/>
      <c r="L255" s="130"/>
      <c r="M255" s="131"/>
      <c r="N255" s="131"/>
      <c r="O255" s="132">
        <f t="shared" si="213"/>
        <v>0</v>
      </c>
      <c r="P255" s="127">
        <f>+J255+E255</f>
        <v>0</v>
      </c>
      <c r="Q255" s="20"/>
      <c r="R255" s="54"/>
    </row>
    <row r="256" spans="1:18" ht="48" hidden="1" thickTop="1" thickBot="1" x14ac:dyDescent="0.25">
      <c r="A256" s="128" t="s">
        <v>1143</v>
      </c>
      <c r="B256" s="128" t="s">
        <v>43</v>
      </c>
      <c r="C256" s="128" t="s">
        <v>42</v>
      </c>
      <c r="D256" s="128" t="s">
        <v>248</v>
      </c>
      <c r="E256" s="127">
        <f t="shared" si="215"/>
        <v>0</v>
      </c>
      <c r="F256" s="129"/>
      <c r="G256" s="129"/>
      <c r="H256" s="129"/>
      <c r="I256" s="129"/>
      <c r="J256" s="127">
        <f t="shared" si="211"/>
        <v>0</v>
      </c>
      <c r="K256" s="129"/>
      <c r="L256" s="130"/>
      <c r="M256" s="131"/>
      <c r="N256" s="131"/>
      <c r="O256" s="132"/>
      <c r="P256" s="127">
        <f>+J256+E256</f>
        <v>0</v>
      </c>
      <c r="Q256" s="20"/>
      <c r="R256" s="54"/>
    </row>
    <row r="257" spans="1:18" ht="47.25" thickTop="1" thickBot="1" x14ac:dyDescent="0.25">
      <c r="A257" s="311" t="s">
        <v>789</v>
      </c>
      <c r="B257" s="311" t="s">
        <v>742</v>
      </c>
      <c r="C257" s="311"/>
      <c r="D257" s="347" t="s">
        <v>743</v>
      </c>
      <c r="E257" s="328">
        <f>SUM(E258:E264)-E258</f>
        <v>18821200</v>
      </c>
      <c r="F257" s="328">
        <f t="shared" ref="F257:P257" si="216">SUM(F258:F264)-F258</f>
        <v>18821200</v>
      </c>
      <c r="G257" s="328">
        <f t="shared" si="216"/>
        <v>0</v>
      </c>
      <c r="H257" s="328">
        <f t="shared" si="216"/>
        <v>0</v>
      </c>
      <c r="I257" s="328">
        <f t="shared" si="216"/>
        <v>0</v>
      </c>
      <c r="J257" s="328">
        <f>SUM(J258:J264)-J258</f>
        <v>5604400</v>
      </c>
      <c r="K257" s="328">
        <f t="shared" si="216"/>
        <v>5604400</v>
      </c>
      <c r="L257" s="328">
        <f t="shared" si="216"/>
        <v>0</v>
      </c>
      <c r="M257" s="328">
        <f t="shared" si="216"/>
        <v>0</v>
      </c>
      <c r="N257" s="328">
        <f t="shared" si="216"/>
        <v>0</v>
      </c>
      <c r="O257" s="328">
        <f t="shared" si="216"/>
        <v>5604400</v>
      </c>
      <c r="P257" s="328">
        <f t="shared" si="216"/>
        <v>24425600</v>
      </c>
      <c r="Q257" s="20"/>
      <c r="R257" s="54"/>
    </row>
    <row r="258" spans="1:18" s="33" customFormat="1" ht="93" thickTop="1" thickBot="1" x14ac:dyDescent="0.25">
      <c r="A258" s="329" t="s">
        <v>790</v>
      </c>
      <c r="B258" s="329" t="s">
        <v>791</v>
      </c>
      <c r="C258" s="329"/>
      <c r="D258" s="329" t="s">
        <v>792</v>
      </c>
      <c r="E258" s="325">
        <f>SUM(E259:E261)</f>
        <v>3272200</v>
      </c>
      <c r="F258" s="325">
        <f t="shared" ref="F258:P258" si="217">SUM(F259:F261)</f>
        <v>3272200</v>
      </c>
      <c r="G258" s="325">
        <f t="shared" si="217"/>
        <v>0</v>
      </c>
      <c r="H258" s="325">
        <f t="shared" si="217"/>
        <v>0</v>
      </c>
      <c r="I258" s="325">
        <f t="shared" si="217"/>
        <v>0</v>
      </c>
      <c r="J258" s="325">
        <f t="shared" si="217"/>
        <v>5334400</v>
      </c>
      <c r="K258" s="325">
        <f t="shared" si="217"/>
        <v>5334400</v>
      </c>
      <c r="L258" s="325">
        <f t="shared" si="217"/>
        <v>0</v>
      </c>
      <c r="M258" s="325">
        <f t="shared" si="217"/>
        <v>0</v>
      </c>
      <c r="N258" s="325">
        <f t="shared" si="217"/>
        <v>0</v>
      </c>
      <c r="O258" s="325">
        <f t="shared" si="217"/>
        <v>5334400</v>
      </c>
      <c r="P258" s="325">
        <f t="shared" si="217"/>
        <v>8606600</v>
      </c>
      <c r="Q258" s="36"/>
      <c r="R258" s="54"/>
    </row>
    <row r="259" spans="1:18" ht="48" thickTop="1" thickBot="1" x14ac:dyDescent="0.25">
      <c r="A259" s="103" t="s">
        <v>280</v>
      </c>
      <c r="B259" s="103" t="s">
        <v>281</v>
      </c>
      <c r="C259" s="103" t="s">
        <v>340</v>
      </c>
      <c r="D259" s="103" t="s">
        <v>282</v>
      </c>
      <c r="E259" s="312">
        <f>F259</f>
        <v>3272200</v>
      </c>
      <c r="F259" s="326">
        <f>(3162200)+110000</f>
        <v>3272200</v>
      </c>
      <c r="G259" s="326"/>
      <c r="H259" s="326"/>
      <c r="I259" s="326"/>
      <c r="J259" s="328">
        <f t="shared" si="211"/>
        <v>1334400</v>
      </c>
      <c r="K259" s="326">
        <f>(200000)+1134400</f>
        <v>1334400</v>
      </c>
      <c r="L259" s="458"/>
      <c r="M259" s="458"/>
      <c r="N259" s="458"/>
      <c r="O259" s="459">
        <f t="shared" si="213"/>
        <v>1334400</v>
      </c>
      <c r="P259" s="328">
        <f t="shared" si="214"/>
        <v>4606600</v>
      </c>
      <c r="Q259" s="20"/>
      <c r="R259" s="54"/>
    </row>
    <row r="260" spans="1:18" ht="48" thickTop="1" thickBot="1" x14ac:dyDescent="0.25">
      <c r="A260" s="103" t="s">
        <v>301</v>
      </c>
      <c r="B260" s="103" t="s">
        <v>302</v>
      </c>
      <c r="C260" s="103" t="s">
        <v>283</v>
      </c>
      <c r="D260" s="103" t="s">
        <v>303</v>
      </c>
      <c r="E260" s="312">
        <f t="shared" ref="E260:E272" si="218">F260</f>
        <v>0</v>
      </c>
      <c r="F260" s="326"/>
      <c r="G260" s="326"/>
      <c r="H260" s="326"/>
      <c r="I260" s="326"/>
      <c r="J260" s="328">
        <f t="shared" si="211"/>
        <v>4000000</v>
      </c>
      <c r="K260" s="326">
        <f>(2000000)+2000000</f>
        <v>4000000</v>
      </c>
      <c r="L260" s="458"/>
      <c r="M260" s="458"/>
      <c r="N260" s="458"/>
      <c r="O260" s="459">
        <f t="shared" si="213"/>
        <v>4000000</v>
      </c>
      <c r="P260" s="328">
        <f t="shared" si="214"/>
        <v>4000000</v>
      </c>
      <c r="Q260" s="20"/>
      <c r="R260" s="54"/>
    </row>
    <row r="261" spans="1:18" ht="93" hidden="1" thickTop="1" thickBot="1" x14ac:dyDescent="0.25">
      <c r="A261" s="128" t="s">
        <v>284</v>
      </c>
      <c r="B261" s="128" t="s">
        <v>285</v>
      </c>
      <c r="C261" s="128" t="s">
        <v>283</v>
      </c>
      <c r="D261" s="128" t="s">
        <v>466</v>
      </c>
      <c r="E261" s="152">
        <f t="shared" si="218"/>
        <v>0</v>
      </c>
      <c r="F261" s="129">
        <f>(((16700000-15000000)-1000000)-700000)+2500000-2500000</f>
        <v>0</v>
      </c>
      <c r="G261" s="129"/>
      <c r="H261" s="129"/>
      <c r="I261" s="129"/>
      <c r="J261" s="127">
        <f t="shared" si="211"/>
        <v>0</v>
      </c>
      <c r="K261" s="129">
        <v>0</v>
      </c>
      <c r="L261" s="130"/>
      <c r="M261" s="130"/>
      <c r="N261" s="130"/>
      <c r="O261" s="132">
        <f t="shared" si="213"/>
        <v>0</v>
      </c>
      <c r="P261" s="127">
        <f t="shared" si="214"/>
        <v>0</v>
      </c>
      <c r="Q261" s="20"/>
      <c r="R261" s="54"/>
    </row>
    <row r="262" spans="1:18" ht="93" thickTop="1" thickBot="1" x14ac:dyDescent="0.25">
      <c r="A262" s="103" t="s">
        <v>929</v>
      </c>
      <c r="B262" s="103" t="s">
        <v>297</v>
      </c>
      <c r="C262" s="103" t="s">
        <v>283</v>
      </c>
      <c r="D262" s="103" t="s">
        <v>298</v>
      </c>
      <c r="E262" s="312">
        <f t="shared" si="218"/>
        <v>5500000</v>
      </c>
      <c r="F262" s="326">
        <v>5500000</v>
      </c>
      <c r="G262" s="326"/>
      <c r="H262" s="326"/>
      <c r="I262" s="326"/>
      <c r="J262" s="328">
        <f t="shared" si="211"/>
        <v>0</v>
      </c>
      <c r="K262" s="326"/>
      <c r="L262" s="458"/>
      <c r="M262" s="458"/>
      <c r="N262" s="458"/>
      <c r="O262" s="459">
        <f t="shared" si="213"/>
        <v>0</v>
      </c>
      <c r="P262" s="328">
        <f t="shared" si="214"/>
        <v>5500000</v>
      </c>
      <c r="Q262" s="20"/>
      <c r="R262" s="54"/>
    </row>
    <row r="263" spans="1:18" ht="48" thickTop="1" thickBot="1" x14ac:dyDescent="0.25">
      <c r="A263" s="103" t="s">
        <v>288</v>
      </c>
      <c r="B263" s="103" t="s">
        <v>289</v>
      </c>
      <c r="C263" s="103" t="s">
        <v>283</v>
      </c>
      <c r="D263" s="103" t="s">
        <v>290</v>
      </c>
      <c r="E263" s="312">
        <f t="shared" si="218"/>
        <v>8000000</v>
      </c>
      <c r="F263" s="326">
        <f>(5000000)+3000000</f>
        <v>8000000</v>
      </c>
      <c r="G263" s="326"/>
      <c r="H263" s="326"/>
      <c r="I263" s="326"/>
      <c r="J263" s="328">
        <f t="shared" si="211"/>
        <v>270000</v>
      </c>
      <c r="K263" s="462">
        <f>(0)+270000</f>
        <v>270000</v>
      </c>
      <c r="L263" s="326"/>
      <c r="M263" s="326"/>
      <c r="N263" s="326"/>
      <c r="O263" s="459">
        <f t="shared" si="213"/>
        <v>270000</v>
      </c>
      <c r="P263" s="328">
        <f t="shared" ref="P263:P264" si="219">E263+J263</f>
        <v>8270000</v>
      </c>
      <c r="Q263" s="20"/>
      <c r="R263" s="50"/>
    </row>
    <row r="264" spans="1:18" ht="48" thickTop="1" thickBot="1" x14ac:dyDescent="0.25">
      <c r="A264" s="103" t="s">
        <v>1261</v>
      </c>
      <c r="B264" s="103" t="s">
        <v>1149</v>
      </c>
      <c r="C264" s="103" t="s">
        <v>1150</v>
      </c>
      <c r="D264" s="103" t="s">
        <v>1147</v>
      </c>
      <c r="E264" s="312">
        <f t="shared" si="218"/>
        <v>2049000</v>
      </c>
      <c r="F264" s="326">
        <v>2049000</v>
      </c>
      <c r="G264" s="326"/>
      <c r="H264" s="326"/>
      <c r="I264" s="326"/>
      <c r="J264" s="328">
        <f t="shared" si="211"/>
        <v>0</v>
      </c>
      <c r="K264" s="462"/>
      <c r="L264" s="326"/>
      <c r="M264" s="326"/>
      <c r="N264" s="326"/>
      <c r="O264" s="459">
        <f t="shared" si="213"/>
        <v>0</v>
      </c>
      <c r="P264" s="328">
        <f t="shared" si="219"/>
        <v>2049000</v>
      </c>
      <c r="Q264" s="20"/>
      <c r="R264" s="50"/>
    </row>
    <row r="265" spans="1:18" ht="47.25" thickTop="1" thickBot="1" x14ac:dyDescent="0.25">
      <c r="A265" s="311" t="s">
        <v>793</v>
      </c>
      <c r="B265" s="311" t="s">
        <v>748</v>
      </c>
      <c r="C265" s="311"/>
      <c r="D265" s="311" t="s">
        <v>794</v>
      </c>
      <c r="E265" s="312">
        <f>E268+E266</f>
        <v>3674517</v>
      </c>
      <c r="F265" s="312">
        <f t="shared" ref="F265:P265" si="220">F268+F266</f>
        <v>3674517</v>
      </c>
      <c r="G265" s="312">
        <f t="shared" si="220"/>
        <v>0</v>
      </c>
      <c r="H265" s="312">
        <f t="shared" si="220"/>
        <v>0</v>
      </c>
      <c r="I265" s="312">
        <f t="shared" si="220"/>
        <v>0</v>
      </c>
      <c r="J265" s="312">
        <f t="shared" si="220"/>
        <v>1300000</v>
      </c>
      <c r="K265" s="312">
        <f t="shared" si="220"/>
        <v>1300000</v>
      </c>
      <c r="L265" s="312">
        <f t="shared" si="220"/>
        <v>0</v>
      </c>
      <c r="M265" s="312">
        <f t="shared" si="220"/>
        <v>0</v>
      </c>
      <c r="N265" s="312">
        <f t="shared" si="220"/>
        <v>0</v>
      </c>
      <c r="O265" s="312">
        <f t="shared" si="220"/>
        <v>1300000</v>
      </c>
      <c r="P265" s="312">
        <f t="shared" si="220"/>
        <v>4974517</v>
      </c>
      <c r="Q265" s="20"/>
      <c r="R265" s="50"/>
    </row>
    <row r="266" spans="1:18" ht="47.25" thickTop="1" thickBot="1" x14ac:dyDescent="0.25">
      <c r="A266" s="313" t="s">
        <v>1145</v>
      </c>
      <c r="B266" s="313" t="s">
        <v>803</v>
      </c>
      <c r="C266" s="313"/>
      <c r="D266" s="313" t="s">
        <v>804</v>
      </c>
      <c r="E266" s="314">
        <f>E267</f>
        <v>0</v>
      </c>
      <c r="F266" s="314">
        <f t="shared" ref="F266:P266" si="221">F267</f>
        <v>0</v>
      </c>
      <c r="G266" s="314">
        <f t="shared" si="221"/>
        <v>0</v>
      </c>
      <c r="H266" s="314">
        <f t="shared" si="221"/>
        <v>0</v>
      </c>
      <c r="I266" s="314">
        <f t="shared" si="221"/>
        <v>0</v>
      </c>
      <c r="J266" s="314">
        <f t="shared" si="221"/>
        <v>1000000</v>
      </c>
      <c r="K266" s="314">
        <f t="shared" si="221"/>
        <v>1000000</v>
      </c>
      <c r="L266" s="314">
        <f t="shared" si="221"/>
        <v>0</v>
      </c>
      <c r="M266" s="314">
        <f t="shared" si="221"/>
        <v>0</v>
      </c>
      <c r="N266" s="314">
        <f t="shared" si="221"/>
        <v>0</v>
      </c>
      <c r="O266" s="314">
        <f t="shared" si="221"/>
        <v>1000000</v>
      </c>
      <c r="P266" s="314">
        <f t="shared" si="221"/>
        <v>1000000</v>
      </c>
      <c r="Q266" s="20"/>
      <c r="R266" s="50"/>
    </row>
    <row r="267" spans="1:18" ht="54" thickTop="1" thickBot="1" x14ac:dyDescent="0.25">
      <c r="A267" s="103" t="s">
        <v>1146</v>
      </c>
      <c r="B267" s="103" t="s">
        <v>305</v>
      </c>
      <c r="C267" s="103" t="s">
        <v>304</v>
      </c>
      <c r="D267" s="103" t="s">
        <v>1502</v>
      </c>
      <c r="E267" s="312">
        <f t="shared" ref="E267" si="222">F267</f>
        <v>0</v>
      </c>
      <c r="F267" s="326"/>
      <c r="G267" s="326"/>
      <c r="H267" s="326"/>
      <c r="I267" s="326"/>
      <c r="J267" s="328">
        <f>L267+O267</f>
        <v>1000000</v>
      </c>
      <c r="K267" s="462">
        <f>(300000)+700000</f>
        <v>1000000</v>
      </c>
      <c r="L267" s="326"/>
      <c r="M267" s="326"/>
      <c r="N267" s="326"/>
      <c r="O267" s="459">
        <f>K267</f>
        <v>1000000</v>
      </c>
      <c r="P267" s="328">
        <f t="shared" ref="P267" si="223">E267+J267</f>
        <v>1000000</v>
      </c>
      <c r="Q267" s="20"/>
      <c r="R267" s="50"/>
    </row>
    <row r="268" spans="1:18" ht="47.25" thickTop="1" thickBot="1" x14ac:dyDescent="0.25">
      <c r="A268" s="313" t="s">
        <v>795</v>
      </c>
      <c r="B268" s="313" t="s">
        <v>691</v>
      </c>
      <c r="C268" s="313"/>
      <c r="D268" s="313" t="s">
        <v>689</v>
      </c>
      <c r="E268" s="314">
        <f>E269+E271+E270</f>
        <v>3674517</v>
      </c>
      <c r="F268" s="314">
        <f t="shared" ref="F268:P268" si="224">F269+F271+F270</f>
        <v>3674517</v>
      </c>
      <c r="G268" s="314">
        <f t="shared" si="224"/>
        <v>0</v>
      </c>
      <c r="H268" s="314">
        <f t="shared" si="224"/>
        <v>0</v>
      </c>
      <c r="I268" s="314">
        <f t="shared" si="224"/>
        <v>0</v>
      </c>
      <c r="J268" s="314">
        <f>J269+J271+J270</f>
        <v>300000</v>
      </c>
      <c r="K268" s="314">
        <f t="shared" si="224"/>
        <v>300000</v>
      </c>
      <c r="L268" s="314">
        <f t="shared" si="224"/>
        <v>0</v>
      </c>
      <c r="M268" s="314">
        <f t="shared" si="224"/>
        <v>0</v>
      </c>
      <c r="N268" s="314">
        <f t="shared" si="224"/>
        <v>0</v>
      </c>
      <c r="O268" s="314">
        <f t="shared" si="224"/>
        <v>300000</v>
      </c>
      <c r="P268" s="314">
        <f t="shared" si="224"/>
        <v>3974517</v>
      </c>
      <c r="Q268" s="20"/>
      <c r="R268" s="50"/>
    </row>
    <row r="269" spans="1:18" ht="48" thickTop="1" thickBot="1" x14ac:dyDescent="0.25">
      <c r="A269" s="103" t="s">
        <v>296</v>
      </c>
      <c r="B269" s="103" t="s">
        <v>212</v>
      </c>
      <c r="C269" s="103" t="s">
        <v>213</v>
      </c>
      <c r="D269" s="103" t="s">
        <v>41</v>
      </c>
      <c r="E269" s="312">
        <f t="shared" si="218"/>
        <v>3674517</v>
      </c>
      <c r="F269" s="326">
        <f>(2000000)+1674517</f>
        <v>3674517</v>
      </c>
      <c r="G269" s="326"/>
      <c r="H269" s="326"/>
      <c r="I269" s="326"/>
      <c r="J269" s="328">
        <f t="shared" si="211"/>
        <v>0</v>
      </c>
      <c r="K269" s="462"/>
      <c r="L269" s="326"/>
      <c r="M269" s="326"/>
      <c r="N269" s="326"/>
      <c r="O269" s="459">
        <f t="shared" si="213"/>
        <v>0</v>
      </c>
      <c r="P269" s="328">
        <f>E269+J269</f>
        <v>3674517</v>
      </c>
      <c r="Q269" s="20"/>
      <c r="R269" s="54"/>
    </row>
    <row r="270" spans="1:18" ht="48" thickTop="1" thickBot="1" x14ac:dyDescent="0.25">
      <c r="A270" s="103" t="s">
        <v>918</v>
      </c>
      <c r="B270" s="103" t="s">
        <v>197</v>
      </c>
      <c r="C270" s="103" t="s">
        <v>170</v>
      </c>
      <c r="D270" s="103" t="s">
        <v>34</v>
      </c>
      <c r="E270" s="312">
        <f t="shared" si="218"/>
        <v>0</v>
      </c>
      <c r="F270" s="326"/>
      <c r="G270" s="326"/>
      <c r="H270" s="326"/>
      <c r="I270" s="326"/>
      <c r="J270" s="328">
        <f t="shared" si="211"/>
        <v>300000</v>
      </c>
      <c r="K270" s="462">
        <v>300000</v>
      </c>
      <c r="L270" s="326"/>
      <c r="M270" s="326"/>
      <c r="N270" s="326"/>
      <c r="O270" s="459">
        <f t="shared" si="213"/>
        <v>300000</v>
      </c>
      <c r="P270" s="328">
        <f>E270+J270</f>
        <v>300000</v>
      </c>
      <c r="Q270" s="20"/>
      <c r="R270" s="54"/>
    </row>
    <row r="271" spans="1:18" ht="48" hidden="1" thickTop="1" thickBot="1" x14ac:dyDescent="0.25">
      <c r="A271" s="140" t="s">
        <v>796</v>
      </c>
      <c r="B271" s="140" t="s">
        <v>694</v>
      </c>
      <c r="C271" s="140"/>
      <c r="D271" s="140" t="s">
        <v>797</v>
      </c>
      <c r="E271" s="158">
        <f>E272</f>
        <v>0</v>
      </c>
      <c r="F271" s="158">
        <f t="shared" ref="F271:P271" si="225">F272</f>
        <v>0</v>
      </c>
      <c r="G271" s="158">
        <f t="shared" si="225"/>
        <v>0</v>
      </c>
      <c r="H271" s="158">
        <f t="shared" si="225"/>
        <v>0</v>
      </c>
      <c r="I271" s="158">
        <f t="shared" si="225"/>
        <v>0</v>
      </c>
      <c r="J271" s="158">
        <f t="shared" si="225"/>
        <v>0</v>
      </c>
      <c r="K271" s="158">
        <f t="shared" si="225"/>
        <v>0</v>
      </c>
      <c r="L271" s="158">
        <f t="shared" si="225"/>
        <v>0</v>
      </c>
      <c r="M271" s="158">
        <f t="shared" si="225"/>
        <v>0</v>
      </c>
      <c r="N271" s="158">
        <f t="shared" si="225"/>
        <v>0</v>
      </c>
      <c r="O271" s="158">
        <f t="shared" si="225"/>
        <v>0</v>
      </c>
      <c r="P271" s="158">
        <f t="shared" si="225"/>
        <v>0</v>
      </c>
      <c r="Q271" s="20"/>
      <c r="R271" s="50"/>
    </row>
    <row r="272" spans="1:18" ht="214.5" hidden="1" customHeight="1" thickTop="1" thickBot="1" x14ac:dyDescent="0.7">
      <c r="A272" s="797" t="s">
        <v>424</v>
      </c>
      <c r="B272" s="797" t="s">
        <v>338</v>
      </c>
      <c r="C272" s="797" t="s">
        <v>170</v>
      </c>
      <c r="D272" s="155" t="s">
        <v>440</v>
      </c>
      <c r="E272" s="800">
        <f t="shared" si="218"/>
        <v>0</v>
      </c>
      <c r="F272" s="781"/>
      <c r="G272" s="781"/>
      <c r="H272" s="781"/>
      <c r="I272" s="781"/>
      <c r="J272" s="800">
        <f t="shared" si="211"/>
        <v>0</v>
      </c>
      <c r="K272" s="781"/>
      <c r="L272" s="781">
        <v>0</v>
      </c>
      <c r="M272" s="781"/>
      <c r="N272" s="781"/>
      <c r="O272" s="785">
        <f>((K272+884000)-450000)-434000</f>
        <v>0</v>
      </c>
      <c r="P272" s="782">
        <f>E272+J272</f>
        <v>0</v>
      </c>
      <c r="Q272" s="20"/>
      <c r="R272" s="50"/>
    </row>
    <row r="273" spans="1:18" ht="93" hidden="1" thickTop="1" thickBot="1" x14ac:dyDescent="0.25">
      <c r="A273" s="797"/>
      <c r="B273" s="797"/>
      <c r="C273" s="797"/>
      <c r="D273" s="156" t="s">
        <v>441</v>
      </c>
      <c r="E273" s="800"/>
      <c r="F273" s="781"/>
      <c r="G273" s="781"/>
      <c r="H273" s="781"/>
      <c r="I273" s="781"/>
      <c r="J273" s="800"/>
      <c r="K273" s="781"/>
      <c r="L273" s="781"/>
      <c r="M273" s="781"/>
      <c r="N273" s="781"/>
      <c r="O273" s="785"/>
      <c r="P273" s="782"/>
      <c r="Q273" s="20"/>
      <c r="R273" s="50"/>
    </row>
    <row r="274" spans="1:18" ht="47.25" thickTop="1" thickBot="1" x14ac:dyDescent="0.25">
      <c r="A274" s="311" t="s">
        <v>1230</v>
      </c>
      <c r="B274" s="311" t="s">
        <v>696</v>
      </c>
      <c r="C274" s="311"/>
      <c r="D274" s="311" t="s">
        <v>697</v>
      </c>
      <c r="E274" s="328">
        <f>E277+E275</f>
        <v>2849736</v>
      </c>
      <c r="F274" s="328">
        <f t="shared" ref="F274:I274" si="226">F277+F275</f>
        <v>2849736</v>
      </c>
      <c r="G274" s="328">
        <f t="shared" si="226"/>
        <v>0</v>
      </c>
      <c r="H274" s="328">
        <f t="shared" si="226"/>
        <v>0</v>
      </c>
      <c r="I274" s="328">
        <f t="shared" si="226"/>
        <v>0</v>
      </c>
      <c r="J274" s="328">
        <f>J277+J275</f>
        <v>0</v>
      </c>
      <c r="K274" s="328">
        <f t="shared" ref="K274:N274" si="227">K277+K275</f>
        <v>0</v>
      </c>
      <c r="L274" s="328">
        <f t="shared" si="227"/>
        <v>0</v>
      </c>
      <c r="M274" s="328">
        <f t="shared" si="227"/>
        <v>0</v>
      </c>
      <c r="N274" s="328">
        <f t="shared" si="227"/>
        <v>0</v>
      </c>
      <c r="O274" s="328">
        <f>O277+O275</f>
        <v>0</v>
      </c>
      <c r="P274" s="328">
        <f>P277+P275</f>
        <v>2849736</v>
      </c>
      <c r="Q274" s="20"/>
      <c r="R274" s="50"/>
    </row>
    <row r="275" spans="1:18" ht="47.25" thickTop="1" thickBot="1" x14ac:dyDescent="0.25">
      <c r="A275" s="313" t="s">
        <v>1500</v>
      </c>
      <c r="B275" s="313" t="s">
        <v>812</v>
      </c>
      <c r="C275" s="313"/>
      <c r="D275" s="356" t="s">
        <v>1281</v>
      </c>
      <c r="E275" s="315">
        <f>SUM(E276:E278)</f>
        <v>2849736</v>
      </c>
      <c r="F275" s="315">
        <f t="shared" ref="F275:P275" si="228">SUM(F276:F278)</f>
        <v>2849736</v>
      </c>
      <c r="G275" s="315">
        <f t="shared" si="228"/>
        <v>0</v>
      </c>
      <c r="H275" s="315">
        <f t="shared" si="228"/>
        <v>0</v>
      </c>
      <c r="I275" s="315">
        <f t="shared" si="228"/>
        <v>0</v>
      </c>
      <c r="J275" s="315">
        <f t="shared" si="228"/>
        <v>0</v>
      </c>
      <c r="K275" s="315">
        <f t="shared" si="228"/>
        <v>0</v>
      </c>
      <c r="L275" s="315">
        <f t="shared" si="228"/>
        <v>0</v>
      </c>
      <c r="M275" s="315">
        <f t="shared" si="228"/>
        <v>0</v>
      </c>
      <c r="N275" s="315">
        <f t="shared" si="228"/>
        <v>0</v>
      </c>
      <c r="O275" s="315">
        <f t="shared" si="228"/>
        <v>0</v>
      </c>
      <c r="P275" s="315">
        <f t="shared" si="228"/>
        <v>2849736</v>
      </c>
      <c r="Q275" s="20"/>
      <c r="R275" s="50"/>
    </row>
    <row r="276" spans="1:18" ht="93" thickTop="1" thickBot="1" x14ac:dyDescent="0.25">
      <c r="A276" s="103" t="s">
        <v>1501</v>
      </c>
      <c r="B276" s="103" t="s">
        <v>518</v>
      </c>
      <c r="C276" s="103" t="s">
        <v>251</v>
      </c>
      <c r="D276" s="103" t="s">
        <v>519</v>
      </c>
      <c r="E276" s="312">
        <f>F276</f>
        <v>2849736</v>
      </c>
      <c r="F276" s="326">
        <f>(2812463)+37273</f>
        <v>2849736</v>
      </c>
      <c r="G276" s="326"/>
      <c r="H276" s="326"/>
      <c r="I276" s="326"/>
      <c r="J276" s="328">
        <f>L276+O276</f>
        <v>0</v>
      </c>
      <c r="K276" s="462"/>
      <c r="L276" s="326"/>
      <c r="M276" s="326"/>
      <c r="N276" s="326"/>
      <c r="O276" s="459">
        <f>K276</f>
        <v>0</v>
      </c>
      <c r="P276" s="328">
        <f>E276+J276</f>
        <v>2849736</v>
      </c>
      <c r="Q276" s="20"/>
      <c r="R276" s="50"/>
    </row>
    <row r="277" spans="1:18" ht="47.25" hidden="1" thickTop="1" thickBot="1" x14ac:dyDescent="0.25">
      <c r="A277" s="136" t="s">
        <v>1231</v>
      </c>
      <c r="B277" s="136" t="s">
        <v>1186</v>
      </c>
      <c r="C277" s="136"/>
      <c r="D277" s="136" t="s">
        <v>1184</v>
      </c>
      <c r="E277" s="137">
        <f t="shared" ref="E277:P277" si="229">SUM(E278:E278)</f>
        <v>0</v>
      </c>
      <c r="F277" s="137">
        <f t="shared" si="229"/>
        <v>0</v>
      </c>
      <c r="G277" s="137">
        <f t="shared" si="229"/>
        <v>0</v>
      </c>
      <c r="H277" s="137">
        <f t="shared" si="229"/>
        <v>0</v>
      </c>
      <c r="I277" s="137">
        <f t="shared" si="229"/>
        <v>0</v>
      </c>
      <c r="J277" s="137">
        <f t="shared" si="229"/>
        <v>0</v>
      </c>
      <c r="K277" s="137">
        <f t="shared" si="229"/>
        <v>0</v>
      </c>
      <c r="L277" s="137">
        <f t="shared" si="229"/>
        <v>0</v>
      </c>
      <c r="M277" s="137">
        <f t="shared" si="229"/>
        <v>0</v>
      </c>
      <c r="N277" s="137">
        <f t="shared" si="229"/>
        <v>0</v>
      </c>
      <c r="O277" s="137">
        <f t="shared" si="229"/>
        <v>0</v>
      </c>
      <c r="P277" s="137">
        <f t="shared" si="229"/>
        <v>0</v>
      </c>
      <c r="Q277" s="20"/>
      <c r="R277" s="50"/>
    </row>
    <row r="278" spans="1:18" ht="48" hidden="1" thickTop="1" thickBot="1" x14ac:dyDescent="0.25">
      <c r="A278" s="128" t="s">
        <v>1232</v>
      </c>
      <c r="B278" s="128" t="s">
        <v>1213</v>
      </c>
      <c r="C278" s="128" t="s">
        <v>1188</v>
      </c>
      <c r="D278" s="128" t="s">
        <v>1214</v>
      </c>
      <c r="E278" s="127">
        <f>F278</f>
        <v>0</v>
      </c>
      <c r="F278" s="134"/>
      <c r="G278" s="134"/>
      <c r="H278" s="134"/>
      <c r="I278" s="134"/>
      <c r="J278" s="127">
        <f>L278+O278</f>
        <v>0</v>
      </c>
      <c r="K278" s="134"/>
      <c r="L278" s="134"/>
      <c r="M278" s="134"/>
      <c r="N278" s="134"/>
      <c r="O278" s="132">
        <f>K278</f>
        <v>0</v>
      </c>
      <c r="P278" s="127">
        <f>E278+J278</f>
        <v>0</v>
      </c>
      <c r="Q278" s="20"/>
      <c r="R278" s="50"/>
    </row>
    <row r="279" spans="1:18" ht="91.5" thickTop="1" thickBot="1" x14ac:dyDescent="0.25">
      <c r="A279" s="478" t="s">
        <v>540</v>
      </c>
      <c r="B279" s="478"/>
      <c r="C279" s="478"/>
      <c r="D279" s="479" t="s">
        <v>559</v>
      </c>
      <c r="E279" s="502">
        <f>E280</f>
        <v>382643547</v>
      </c>
      <c r="F279" s="480">
        <f t="shared" ref="F279:G279" si="230">F280</f>
        <v>382643547</v>
      </c>
      <c r="G279" s="480">
        <f t="shared" si="230"/>
        <v>8690079</v>
      </c>
      <c r="H279" s="480">
        <f>H280</f>
        <v>239084</v>
      </c>
      <c r="I279" s="480">
        <f t="shared" ref="I279" si="231">I280</f>
        <v>0</v>
      </c>
      <c r="J279" s="502">
        <f>J280</f>
        <v>25880415</v>
      </c>
      <c r="K279" s="480">
        <f>K280</f>
        <v>25880415</v>
      </c>
      <c r="L279" s="480">
        <f>L280</f>
        <v>0</v>
      </c>
      <c r="M279" s="480">
        <f t="shared" ref="M279" si="232">M280</f>
        <v>0</v>
      </c>
      <c r="N279" s="480">
        <f>N280</f>
        <v>0</v>
      </c>
      <c r="O279" s="502">
        <f>O280</f>
        <v>25880415</v>
      </c>
      <c r="P279" s="480">
        <f>P280</f>
        <v>408523962</v>
      </c>
      <c r="Q279" s="20"/>
      <c r="R279" s="50"/>
    </row>
    <row r="280" spans="1:18" ht="91.5" thickTop="1" thickBot="1" x14ac:dyDescent="0.25">
      <c r="A280" s="481" t="s">
        <v>541</v>
      </c>
      <c r="B280" s="481"/>
      <c r="C280" s="481"/>
      <c r="D280" s="482" t="s">
        <v>560</v>
      </c>
      <c r="E280" s="483">
        <f>E281+E285+E293+E306+E311</f>
        <v>382643547</v>
      </c>
      <c r="F280" s="483">
        <f>F281+F285+F293+F306+F311</f>
        <v>382643547</v>
      </c>
      <c r="G280" s="483">
        <f>G281+G285+G293+G306+G311</f>
        <v>8690079</v>
      </c>
      <c r="H280" s="483">
        <f>H281+H285+H293+H306+H311</f>
        <v>239084</v>
      </c>
      <c r="I280" s="483">
        <f>I281+I285+I293+I306+I311</f>
        <v>0</v>
      </c>
      <c r="J280" s="483">
        <f t="shared" ref="J280:J303" si="233">L280+O280</f>
        <v>25880415</v>
      </c>
      <c r="K280" s="483">
        <f>K281+K285+K293+K306+K311</f>
        <v>25880415</v>
      </c>
      <c r="L280" s="483">
        <f>L281+L285+L293+L306+L311</f>
        <v>0</v>
      </c>
      <c r="M280" s="483">
        <f>M281+M285+M293+M306+M311</f>
        <v>0</v>
      </c>
      <c r="N280" s="483">
        <f>N281+N285+N293+N306+N311</f>
        <v>0</v>
      </c>
      <c r="O280" s="483">
        <f>O281+O285+O293+O306+O311</f>
        <v>25880415</v>
      </c>
      <c r="P280" s="483">
        <f>E280+J280</f>
        <v>408523962</v>
      </c>
      <c r="Q280" s="503" t="b">
        <f>P280=P282+P287+P288+P290+P291+P292+P295+P298+P300+P301+P308+P309</f>
        <v>1</v>
      </c>
      <c r="R280" s="45"/>
    </row>
    <row r="281" spans="1:18" ht="47.25" thickTop="1" thickBot="1" x14ac:dyDescent="0.25">
      <c r="A281" s="311" t="s">
        <v>798</v>
      </c>
      <c r="B281" s="311" t="s">
        <v>684</v>
      </c>
      <c r="C281" s="311"/>
      <c r="D281" s="311" t="s">
        <v>685</v>
      </c>
      <c r="E281" s="328">
        <f>SUM(E282:E284)</f>
        <v>8901631</v>
      </c>
      <c r="F281" s="328">
        <f t="shared" ref="F281:P281" si="234">SUM(F282:F284)</f>
        <v>8901631</v>
      </c>
      <c r="G281" s="328">
        <f t="shared" si="234"/>
        <v>6736115</v>
      </c>
      <c r="H281" s="328">
        <f t="shared" si="234"/>
        <v>180204</v>
      </c>
      <c r="I281" s="328">
        <f t="shared" si="234"/>
        <v>0</v>
      </c>
      <c r="J281" s="328">
        <f t="shared" si="234"/>
        <v>39000</v>
      </c>
      <c r="K281" s="328">
        <f t="shared" si="234"/>
        <v>39000</v>
      </c>
      <c r="L281" s="328">
        <f t="shared" si="234"/>
        <v>0</v>
      </c>
      <c r="M281" s="328">
        <f t="shared" si="234"/>
        <v>0</v>
      </c>
      <c r="N281" s="328">
        <f t="shared" si="234"/>
        <v>0</v>
      </c>
      <c r="O281" s="328">
        <f t="shared" si="234"/>
        <v>39000</v>
      </c>
      <c r="P281" s="328">
        <f t="shared" si="234"/>
        <v>8940631</v>
      </c>
      <c r="Q281" s="47"/>
      <c r="R281" s="45"/>
    </row>
    <row r="282" spans="1:18" ht="93" thickTop="1" thickBot="1" x14ac:dyDescent="0.25">
      <c r="A282" s="103" t="s">
        <v>542</v>
      </c>
      <c r="B282" s="103" t="s">
        <v>236</v>
      </c>
      <c r="C282" s="103" t="s">
        <v>234</v>
      </c>
      <c r="D282" s="103" t="s">
        <v>235</v>
      </c>
      <c r="E282" s="312">
        <f>F282</f>
        <v>8901631</v>
      </c>
      <c r="F282" s="326">
        <v>8901631</v>
      </c>
      <c r="G282" s="326">
        <v>6736115</v>
      </c>
      <c r="H282" s="326">
        <v>180204</v>
      </c>
      <c r="I282" s="326"/>
      <c r="J282" s="328">
        <f t="shared" si="233"/>
        <v>39000</v>
      </c>
      <c r="K282" s="326">
        <v>39000</v>
      </c>
      <c r="L282" s="458"/>
      <c r="M282" s="458"/>
      <c r="N282" s="458"/>
      <c r="O282" s="459">
        <f t="shared" ref="O282:O301" si="235">K282</f>
        <v>39000</v>
      </c>
      <c r="P282" s="328">
        <f t="shared" ref="P282:P289" si="236">+J282+E282</f>
        <v>8940631</v>
      </c>
      <c r="Q282" s="20"/>
      <c r="R282" s="45"/>
    </row>
    <row r="283" spans="1:18" ht="93" hidden="1" thickTop="1" thickBot="1" x14ac:dyDescent="0.25">
      <c r="A283" s="128" t="s">
        <v>629</v>
      </c>
      <c r="B283" s="128" t="s">
        <v>362</v>
      </c>
      <c r="C283" s="128" t="s">
        <v>625</v>
      </c>
      <c r="D283" s="128" t="s">
        <v>626</v>
      </c>
      <c r="E283" s="152">
        <f>F283</f>
        <v>0</v>
      </c>
      <c r="F283" s="129"/>
      <c r="G283" s="129"/>
      <c r="H283" s="129"/>
      <c r="I283" s="129"/>
      <c r="J283" s="127">
        <f t="shared" si="233"/>
        <v>0</v>
      </c>
      <c r="K283" s="129"/>
      <c r="L283" s="130"/>
      <c r="M283" s="130"/>
      <c r="N283" s="130"/>
      <c r="O283" s="132">
        <f t="shared" si="235"/>
        <v>0</v>
      </c>
      <c r="P283" s="127">
        <f t="shared" si="236"/>
        <v>0</v>
      </c>
      <c r="Q283" s="20"/>
      <c r="R283" s="45"/>
    </row>
    <row r="284" spans="1:18" ht="48" hidden="1" thickTop="1" thickBot="1" x14ac:dyDescent="0.25">
      <c r="A284" s="128" t="s">
        <v>543</v>
      </c>
      <c r="B284" s="128" t="s">
        <v>43</v>
      </c>
      <c r="C284" s="128" t="s">
        <v>42</v>
      </c>
      <c r="D284" s="128" t="s">
        <v>248</v>
      </c>
      <c r="E284" s="152">
        <f>F284</f>
        <v>0</v>
      </c>
      <c r="F284" s="129">
        <v>0</v>
      </c>
      <c r="G284" s="129"/>
      <c r="H284" s="129"/>
      <c r="I284" s="129"/>
      <c r="J284" s="127">
        <f t="shared" si="233"/>
        <v>0</v>
      </c>
      <c r="K284" s="129"/>
      <c r="L284" s="130"/>
      <c r="M284" s="130"/>
      <c r="N284" s="130"/>
      <c r="O284" s="132">
        <f t="shared" si="235"/>
        <v>0</v>
      </c>
      <c r="P284" s="127">
        <f t="shared" si="236"/>
        <v>0</v>
      </c>
      <c r="Q284" s="20"/>
      <c r="R284" s="50"/>
    </row>
    <row r="285" spans="1:18" ht="47.25" thickTop="1" thickBot="1" x14ac:dyDescent="0.25">
      <c r="A285" s="311" t="s">
        <v>799</v>
      </c>
      <c r="B285" s="311" t="s">
        <v>742</v>
      </c>
      <c r="C285" s="311"/>
      <c r="D285" s="347" t="s">
        <v>743</v>
      </c>
      <c r="E285" s="312">
        <f>SUM(E286:E292)-E286</f>
        <v>357226771</v>
      </c>
      <c r="F285" s="312">
        <f t="shared" ref="F285:P285" si="237">SUM(F286:F292)-F286</f>
        <v>357226771</v>
      </c>
      <c r="G285" s="312">
        <f t="shared" si="237"/>
        <v>0</v>
      </c>
      <c r="H285" s="312">
        <f t="shared" si="237"/>
        <v>5000</v>
      </c>
      <c r="I285" s="312">
        <f t="shared" si="237"/>
        <v>0</v>
      </c>
      <c r="J285" s="312">
        <f t="shared" si="237"/>
        <v>953993</v>
      </c>
      <c r="K285" s="312">
        <f t="shared" si="237"/>
        <v>953993</v>
      </c>
      <c r="L285" s="312">
        <f t="shared" si="237"/>
        <v>0</v>
      </c>
      <c r="M285" s="312">
        <f t="shared" si="237"/>
        <v>0</v>
      </c>
      <c r="N285" s="312">
        <f t="shared" si="237"/>
        <v>0</v>
      </c>
      <c r="O285" s="312">
        <f t="shared" si="237"/>
        <v>953993</v>
      </c>
      <c r="P285" s="312">
        <f t="shared" si="237"/>
        <v>358180764</v>
      </c>
      <c r="Q285" s="20"/>
      <c r="R285" s="50"/>
    </row>
    <row r="286" spans="1:18" ht="93" thickTop="1" thickBot="1" x14ac:dyDescent="0.25">
      <c r="A286" s="329" t="s">
        <v>800</v>
      </c>
      <c r="B286" s="329" t="s">
        <v>791</v>
      </c>
      <c r="C286" s="329"/>
      <c r="D286" s="329" t="s">
        <v>792</v>
      </c>
      <c r="E286" s="466">
        <f>SUM(E287:E289)</f>
        <v>65550000</v>
      </c>
      <c r="F286" s="466">
        <f t="shared" ref="F286:P286" si="238">SUM(F287:F289)</f>
        <v>65550000</v>
      </c>
      <c r="G286" s="466">
        <f t="shared" si="238"/>
        <v>0</v>
      </c>
      <c r="H286" s="466">
        <f t="shared" si="238"/>
        <v>0</v>
      </c>
      <c r="I286" s="466">
        <f t="shared" si="238"/>
        <v>0</v>
      </c>
      <c r="J286" s="466">
        <f t="shared" si="238"/>
        <v>953993</v>
      </c>
      <c r="K286" s="466">
        <f t="shared" si="238"/>
        <v>953993</v>
      </c>
      <c r="L286" s="466">
        <f t="shared" si="238"/>
        <v>0</v>
      </c>
      <c r="M286" s="466">
        <f t="shared" si="238"/>
        <v>0</v>
      </c>
      <c r="N286" s="466">
        <f t="shared" si="238"/>
        <v>0</v>
      </c>
      <c r="O286" s="466">
        <f t="shared" si="238"/>
        <v>953993</v>
      </c>
      <c r="P286" s="466">
        <f t="shared" si="238"/>
        <v>66503993</v>
      </c>
      <c r="Q286" s="20"/>
      <c r="R286" s="50"/>
    </row>
    <row r="287" spans="1:18" ht="93" thickTop="1" thickBot="1" x14ac:dyDescent="0.25">
      <c r="A287" s="103" t="s">
        <v>544</v>
      </c>
      <c r="B287" s="103" t="s">
        <v>376</v>
      </c>
      <c r="C287" s="103" t="s">
        <v>283</v>
      </c>
      <c r="D287" s="103" t="s">
        <v>377</v>
      </c>
      <c r="E287" s="312">
        <f t="shared" ref="E287:E301" si="239">F287</f>
        <v>40000000</v>
      </c>
      <c r="F287" s="326">
        <f>(20000000)+20000000</f>
        <v>40000000</v>
      </c>
      <c r="G287" s="326"/>
      <c r="H287" s="326"/>
      <c r="I287" s="326"/>
      <c r="J287" s="328">
        <f t="shared" si="233"/>
        <v>0</v>
      </c>
      <c r="K287" s="326"/>
      <c r="L287" s="458"/>
      <c r="M287" s="458"/>
      <c r="N287" s="458"/>
      <c r="O287" s="459">
        <f t="shared" si="235"/>
        <v>0</v>
      </c>
      <c r="P287" s="328">
        <f t="shared" si="236"/>
        <v>40000000</v>
      </c>
      <c r="Q287" s="20"/>
      <c r="R287" s="50"/>
    </row>
    <row r="288" spans="1:18" ht="48" thickTop="1" thickBot="1" x14ac:dyDescent="0.25">
      <c r="A288" s="103" t="s">
        <v>545</v>
      </c>
      <c r="B288" s="103" t="s">
        <v>286</v>
      </c>
      <c r="C288" s="103" t="s">
        <v>283</v>
      </c>
      <c r="D288" s="103" t="s">
        <v>287</v>
      </c>
      <c r="E288" s="312">
        <f t="shared" si="239"/>
        <v>25550000</v>
      </c>
      <c r="F288" s="326">
        <f>(10550000)+15000000</f>
        <v>25550000</v>
      </c>
      <c r="G288" s="129"/>
      <c r="H288" s="129"/>
      <c r="I288" s="129"/>
      <c r="J288" s="328">
        <f t="shared" si="233"/>
        <v>953993</v>
      </c>
      <c r="K288" s="326">
        <f>(185707)+768286</f>
        <v>953993</v>
      </c>
      <c r="L288" s="458"/>
      <c r="M288" s="458"/>
      <c r="N288" s="458"/>
      <c r="O288" s="459">
        <f t="shared" si="235"/>
        <v>953993</v>
      </c>
      <c r="P288" s="328">
        <f t="shared" si="236"/>
        <v>26503993</v>
      </c>
      <c r="Q288" s="20"/>
      <c r="R288" s="50"/>
    </row>
    <row r="289" spans="1:18" ht="93" hidden="1" thickTop="1" thickBot="1" x14ac:dyDescent="0.25">
      <c r="A289" s="128" t="s">
        <v>1410</v>
      </c>
      <c r="B289" s="128" t="s">
        <v>1411</v>
      </c>
      <c r="C289" s="128" t="s">
        <v>283</v>
      </c>
      <c r="D289" s="128" t="s">
        <v>1412</v>
      </c>
      <c r="E289" s="152">
        <f t="shared" si="239"/>
        <v>0</v>
      </c>
      <c r="F289" s="129">
        <v>0</v>
      </c>
      <c r="G289" s="129"/>
      <c r="H289" s="129"/>
      <c r="I289" s="129"/>
      <c r="J289" s="328">
        <f t="shared" si="233"/>
        <v>0</v>
      </c>
      <c r="K289" s="326"/>
      <c r="L289" s="458"/>
      <c r="M289" s="458"/>
      <c r="N289" s="458"/>
      <c r="O289" s="459">
        <f t="shared" si="235"/>
        <v>0</v>
      </c>
      <c r="P289" s="328">
        <f t="shared" si="236"/>
        <v>0</v>
      </c>
      <c r="Q289" s="20"/>
      <c r="R289" s="50"/>
    </row>
    <row r="290" spans="1:18" ht="93" thickTop="1" thickBot="1" x14ac:dyDescent="0.25">
      <c r="A290" s="103" t="s">
        <v>546</v>
      </c>
      <c r="B290" s="103" t="s">
        <v>297</v>
      </c>
      <c r="C290" s="103" t="s">
        <v>283</v>
      </c>
      <c r="D290" s="103" t="s">
        <v>298</v>
      </c>
      <c r="E290" s="312">
        <f t="shared" si="239"/>
        <v>1350000</v>
      </c>
      <c r="F290" s="326">
        <f>(700000)+650000</f>
        <v>1350000</v>
      </c>
      <c r="G290" s="129"/>
      <c r="H290" s="129"/>
      <c r="I290" s="129"/>
      <c r="J290" s="328">
        <f t="shared" si="233"/>
        <v>0</v>
      </c>
      <c r="K290" s="462"/>
      <c r="L290" s="326"/>
      <c r="M290" s="326"/>
      <c r="N290" s="326"/>
      <c r="O290" s="459">
        <f t="shared" si="235"/>
        <v>0</v>
      </c>
      <c r="P290" s="328">
        <f t="shared" ref="P290:P295" si="240">E290+J290</f>
        <v>1350000</v>
      </c>
      <c r="Q290" s="20"/>
      <c r="R290" s="50"/>
    </row>
    <row r="291" spans="1:18" ht="48" thickTop="1" thickBot="1" x14ac:dyDescent="0.25">
      <c r="A291" s="103" t="s">
        <v>547</v>
      </c>
      <c r="B291" s="103" t="s">
        <v>289</v>
      </c>
      <c r="C291" s="103" t="s">
        <v>283</v>
      </c>
      <c r="D291" s="103" t="s">
        <v>290</v>
      </c>
      <c r="E291" s="312">
        <f t="shared" si="239"/>
        <v>290067971</v>
      </c>
      <c r="F291" s="326">
        <f>(273808011-650000-8450000)+25359960</f>
        <v>290067971</v>
      </c>
      <c r="G291" s="129"/>
      <c r="H291" s="326">
        <v>5000</v>
      </c>
      <c r="I291" s="129"/>
      <c r="J291" s="328">
        <f t="shared" si="233"/>
        <v>0</v>
      </c>
      <c r="K291" s="462">
        <v>0</v>
      </c>
      <c r="L291" s="326"/>
      <c r="M291" s="326"/>
      <c r="N291" s="326"/>
      <c r="O291" s="459">
        <f t="shared" si="235"/>
        <v>0</v>
      </c>
      <c r="P291" s="328">
        <f t="shared" si="240"/>
        <v>290067971</v>
      </c>
      <c r="Q291" s="20"/>
      <c r="R291" s="45"/>
    </row>
    <row r="292" spans="1:18" ht="48" thickTop="1" thickBot="1" x14ac:dyDescent="0.25">
      <c r="A292" s="103" t="s">
        <v>1148</v>
      </c>
      <c r="B292" s="103" t="s">
        <v>1149</v>
      </c>
      <c r="C292" s="103" t="s">
        <v>1150</v>
      </c>
      <c r="D292" s="103" t="s">
        <v>1147</v>
      </c>
      <c r="E292" s="312">
        <f t="shared" si="239"/>
        <v>258800</v>
      </c>
      <c r="F292" s="326">
        <v>258800</v>
      </c>
      <c r="G292" s="326"/>
      <c r="H292" s="326"/>
      <c r="I292" s="326"/>
      <c r="J292" s="328">
        <f t="shared" si="233"/>
        <v>0</v>
      </c>
      <c r="K292" s="462"/>
      <c r="L292" s="326"/>
      <c r="M292" s="326"/>
      <c r="N292" s="326"/>
      <c r="O292" s="459">
        <f t="shared" si="235"/>
        <v>0</v>
      </c>
      <c r="P292" s="328">
        <f t="shared" si="240"/>
        <v>258800</v>
      </c>
      <c r="Q292" s="20"/>
      <c r="R292" s="45"/>
    </row>
    <row r="293" spans="1:18" ht="47.25" thickTop="1" thickBot="1" x14ac:dyDescent="0.25">
      <c r="A293" s="311" t="s">
        <v>801</v>
      </c>
      <c r="B293" s="311" t="s">
        <v>748</v>
      </c>
      <c r="C293" s="311"/>
      <c r="D293" s="311" t="s">
        <v>749</v>
      </c>
      <c r="E293" s="312">
        <f>E294+E296+E299</f>
        <v>12000000</v>
      </c>
      <c r="F293" s="312">
        <f t="shared" ref="F293:P293" si="241">F294+F296+F299</f>
        <v>12000000</v>
      </c>
      <c r="G293" s="312">
        <f t="shared" si="241"/>
        <v>0</v>
      </c>
      <c r="H293" s="312">
        <f t="shared" si="241"/>
        <v>0</v>
      </c>
      <c r="I293" s="312">
        <f t="shared" si="241"/>
        <v>0</v>
      </c>
      <c r="J293" s="312">
        <f>J294+J296+J299</f>
        <v>24887422</v>
      </c>
      <c r="K293" s="312">
        <f t="shared" si="241"/>
        <v>24887422</v>
      </c>
      <c r="L293" s="312">
        <f t="shared" si="241"/>
        <v>0</v>
      </c>
      <c r="M293" s="312">
        <f t="shared" si="241"/>
        <v>0</v>
      </c>
      <c r="N293" s="312">
        <f t="shared" si="241"/>
        <v>0</v>
      </c>
      <c r="O293" s="312">
        <f t="shared" si="241"/>
        <v>24887422</v>
      </c>
      <c r="P293" s="312">
        <f t="shared" si="241"/>
        <v>36887422</v>
      </c>
      <c r="Q293" s="20"/>
      <c r="R293" s="50"/>
    </row>
    <row r="294" spans="1:18" ht="47.25" thickTop="1" thickBot="1" x14ac:dyDescent="0.25">
      <c r="A294" s="313" t="s">
        <v>802</v>
      </c>
      <c r="B294" s="313" t="s">
        <v>803</v>
      </c>
      <c r="C294" s="313"/>
      <c r="D294" s="313" t="s">
        <v>804</v>
      </c>
      <c r="E294" s="314">
        <f>E295</f>
        <v>0</v>
      </c>
      <c r="F294" s="314">
        <f t="shared" ref="F294:P294" si="242">F295</f>
        <v>0</v>
      </c>
      <c r="G294" s="314">
        <f t="shared" si="242"/>
        <v>0</v>
      </c>
      <c r="H294" s="314">
        <f t="shared" si="242"/>
        <v>0</v>
      </c>
      <c r="I294" s="314">
        <f t="shared" si="242"/>
        <v>0</v>
      </c>
      <c r="J294" s="314">
        <f t="shared" si="242"/>
        <v>0</v>
      </c>
      <c r="K294" s="314">
        <f t="shared" si="242"/>
        <v>0</v>
      </c>
      <c r="L294" s="314">
        <f t="shared" si="242"/>
        <v>0</v>
      </c>
      <c r="M294" s="314">
        <f t="shared" si="242"/>
        <v>0</v>
      </c>
      <c r="N294" s="314">
        <f t="shared" si="242"/>
        <v>0</v>
      </c>
      <c r="O294" s="314">
        <f t="shared" si="242"/>
        <v>0</v>
      </c>
      <c r="P294" s="314">
        <f t="shared" si="242"/>
        <v>0</v>
      </c>
      <c r="Q294" s="20"/>
      <c r="R294" s="50"/>
    </row>
    <row r="295" spans="1:18" ht="54" thickTop="1" thickBot="1" x14ac:dyDescent="0.25">
      <c r="A295" s="103" t="s">
        <v>548</v>
      </c>
      <c r="B295" s="103" t="s">
        <v>305</v>
      </c>
      <c r="C295" s="103" t="s">
        <v>304</v>
      </c>
      <c r="D295" s="103" t="s">
        <v>1502</v>
      </c>
      <c r="E295" s="312">
        <f t="shared" si="239"/>
        <v>0</v>
      </c>
      <c r="F295" s="326"/>
      <c r="G295" s="326"/>
      <c r="H295" s="326"/>
      <c r="I295" s="326"/>
      <c r="J295" s="328">
        <f>L295+O295</f>
        <v>0</v>
      </c>
      <c r="K295" s="462">
        <f>(131720)-131720</f>
        <v>0</v>
      </c>
      <c r="L295" s="326"/>
      <c r="M295" s="326"/>
      <c r="N295" s="326"/>
      <c r="O295" s="459">
        <f>K295</f>
        <v>0</v>
      </c>
      <c r="P295" s="328">
        <f t="shared" si="240"/>
        <v>0</v>
      </c>
      <c r="Q295" s="20"/>
      <c r="R295" s="45"/>
    </row>
    <row r="296" spans="1:18" ht="47.25" thickTop="1" thickBot="1" x14ac:dyDescent="0.25">
      <c r="A296" s="313" t="s">
        <v>805</v>
      </c>
      <c r="B296" s="313" t="s">
        <v>806</v>
      </c>
      <c r="C296" s="313"/>
      <c r="D296" s="313" t="s">
        <v>807</v>
      </c>
      <c r="E296" s="314">
        <f t="shared" ref="E296:P297" si="243">E297</f>
        <v>12000000</v>
      </c>
      <c r="F296" s="314">
        <f t="shared" si="243"/>
        <v>12000000</v>
      </c>
      <c r="G296" s="314">
        <f t="shared" si="243"/>
        <v>0</v>
      </c>
      <c r="H296" s="314">
        <f t="shared" si="243"/>
        <v>0</v>
      </c>
      <c r="I296" s="314">
        <f t="shared" si="243"/>
        <v>0</v>
      </c>
      <c r="J296" s="314">
        <f t="shared" si="243"/>
        <v>2935752</v>
      </c>
      <c r="K296" s="314">
        <f t="shared" si="243"/>
        <v>2935752</v>
      </c>
      <c r="L296" s="314">
        <f t="shared" si="243"/>
        <v>0</v>
      </c>
      <c r="M296" s="314">
        <f t="shared" si="243"/>
        <v>0</v>
      </c>
      <c r="N296" s="314">
        <f t="shared" si="243"/>
        <v>0</v>
      </c>
      <c r="O296" s="314">
        <f t="shared" si="243"/>
        <v>2935752</v>
      </c>
      <c r="P296" s="314">
        <f t="shared" si="243"/>
        <v>14935752</v>
      </c>
      <c r="Q296" s="20"/>
      <c r="R296" s="50"/>
    </row>
    <row r="297" spans="1:18" ht="93" thickTop="1" thickBot="1" x14ac:dyDescent="0.25">
      <c r="A297" s="103" t="s">
        <v>957</v>
      </c>
      <c r="B297" s="329" t="s">
        <v>958</v>
      </c>
      <c r="C297" s="313"/>
      <c r="D297" s="329" t="s">
        <v>959</v>
      </c>
      <c r="E297" s="466">
        <f t="shared" si="243"/>
        <v>12000000</v>
      </c>
      <c r="F297" s="466">
        <f t="shared" si="243"/>
        <v>12000000</v>
      </c>
      <c r="G297" s="466">
        <f t="shared" si="243"/>
        <v>0</v>
      </c>
      <c r="H297" s="466">
        <f t="shared" si="243"/>
        <v>0</v>
      </c>
      <c r="I297" s="466">
        <f t="shared" si="243"/>
        <v>0</v>
      </c>
      <c r="J297" s="466">
        <f t="shared" si="243"/>
        <v>2935752</v>
      </c>
      <c r="K297" s="466">
        <f t="shared" si="243"/>
        <v>2935752</v>
      </c>
      <c r="L297" s="466">
        <f t="shared" si="243"/>
        <v>0</v>
      </c>
      <c r="M297" s="466">
        <f t="shared" si="243"/>
        <v>0</v>
      </c>
      <c r="N297" s="466">
        <f t="shared" si="243"/>
        <v>0</v>
      </c>
      <c r="O297" s="466">
        <f t="shared" si="243"/>
        <v>2935752</v>
      </c>
      <c r="P297" s="466">
        <f t="shared" si="243"/>
        <v>14935752</v>
      </c>
      <c r="Q297" s="20"/>
      <c r="R297" s="50"/>
    </row>
    <row r="298" spans="1:18" ht="93" thickTop="1" thickBot="1" x14ac:dyDescent="0.25">
      <c r="A298" s="103" t="s">
        <v>549</v>
      </c>
      <c r="B298" s="103" t="s">
        <v>293</v>
      </c>
      <c r="C298" s="103" t="s">
        <v>295</v>
      </c>
      <c r="D298" s="103" t="s">
        <v>294</v>
      </c>
      <c r="E298" s="312">
        <f t="shared" si="239"/>
        <v>12000000</v>
      </c>
      <c r="F298" s="326">
        <f>18000000-3000000-3000000</f>
        <v>12000000</v>
      </c>
      <c r="G298" s="326"/>
      <c r="H298" s="326"/>
      <c r="I298" s="326"/>
      <c r="J298" s="328">
        <f t="shared" si="233"/>
        <v>2935752</v>
      </c>
      <c r="K298" s="326">
        <f>(2000000)+935752</f>
        <v>2935752</v>
      </c>
      <c r="L298" s="458"/>
      <c r="M298" s="458"/>
      <c r="N298" s="458"/>
      <c r="O298" s="459">
        <f>K298</f>
        <v>2935752</v>
      </c>
      <c r="P298" s="328">
        <f>+J298+E298</f>
        <v>14935752</v>
      </c>
      <c r="Q298" s="20"/>
      <c r="R298" s="45"/>
    </row>
    <row r="299" spans="1:18" ht="47.25" thickTop="1" thickBot="1" x14ac:dyDescent="0.25">
      <c r="A299" s="313" t="s">
        <v>808</v>
      </c>
      <c r="B299" s="313" t="s">
        <v>691</v>
      </c>
      <c r="C299" s="313"/>
      <c r="D299" s="313" t="s">
        <v>689</v>
      </c>
      <c r="E299" s="314">
        <f>SUM(E300:E305)-E302</f>
        <v>0</v>
      </c>
      <c r="F299" s="314">
        <f t="shared" ref="F299:P299" si="244">SUM(F300:F305)-F302</f>
        <v>0</v>
      </c>
      <c r="G299" s="314">
        <f t="shared" si="244"/>
        <v>0</v>
      </c>
      <c r="H299" s="314">
        <f t="shared" si="244"/>
        <v>0</v>
      </c>
      <c r="I299" s="314">
        <f t="shared" si="244"/>
        <v>0</v>
      </c>
      <c r="J299" s="314">
        <f t="shared" si="244"/>
        <v>21951670</v>
      </c>
      <c r="K299" s="314">
        <f t="shared" si="244"/>
        <v>21951670</v>
      </c>
      <c r="L299" s="314">
        <f t="shared" si="244"/>
        <v>0</v>
      </c>
      <c r="M299" s="314">
        <f t="shared" si="244"/>
        <v>0</v>
      </c>
      <c r="N299" s="314">
        <f t="shared" si="244"/>
        <v>0</v>
      </c>
      <c r="O299" s="314">
        <f t="shared" si="244"/>
        <v>21951670</v>
      </c>
      <c r="P299" s="314">
        <f t="shared" si="244"/>
        <v>21951670</v>
      </c>
      <c r="Q299" s="20"/>
      <c r="R299" s="45"/>
    </row>
    <row r="300" spans="1:18" ht="48" thickTop="1" thickBot="1" x14ac:dyDescent="0.25">
      <c r="A300" s="103" t="s">
        <v>550</v>
      </c>
      <c r="B300" s="103" t="s">
        <v>212</v>
      </c>
      <c r="C300" s="103" t="s">
        <v>213</v>
      </c>
      <c r="D300" s="103" t="s">
        <v>41</v>
      </c>
      <c r="E300" s="312">
        <f t="shared" si="239"/>
        <v>0</v>
      </c>
      <c r="F300" s="326"/>
      <c r="G300" s="326"/>
      <c r="H300" s="326"/>
      <c r="I300" s="326"/>
      <c r="J300" s="328">
        <f t="shared" si="233"/>
        <v>15563884</v>
      </c>
      <c r="K300" s="462">
        <f>(9760000)+5803884</f>
        <v>15563884</v>
      </c>
      <c r="L300" s="326"/>
      <c r="M300" s="326"/>
      <c r="N300" s="326"/>
      <c r="O300" s="459">
        <f t="shared" si="235"/>
        <v>15563884</v>
      </c>
      <c r="P300" s="328">
        <f>E300+J300</f>
        <v>15563884</v>
      </c>
      <c r="Q300" s="20"/>
      <c r="R300" s="45"/>
    </row>
    <row r="301" spans="1:18" ht="48" thickTop="1" thickBot="1" x14ac:dyDescent="0.25">
      <c r="A301" s="103" t="s">
        <v>551</v>
      </c>
      <c r="B301" s="103" t="s">
        <v>197</v>
      </c>
      <c r="C301" s="103" t="s">
        <v>170</v>
      </c>
      <c r="D301" s="103" t="s">
        <v>34</v>
      </c>
      <c r="E301" s="312">
        <f t="shared" si="239"/>
        <v>0</v>
      </c>
      <c r="F301" s="326"/>
      <c r="G301" s="326"/>
      <c r="H301" s="326"/>
      <c r="I301" s="326"/>
      <c r="J301" s="328">
        <f t="shared" si="233"/>
        <v>6387786</v>
      </c>
      <c r="K301" s="462">
        <f>(96120)+6291666</f>
        <v>6387786</v>
      </c>
      <c r="L301" s="326"/>
      <c r="M301" s="326"/>
      <c r="N301" s="326"/>
      <c r="O301" s="459">
        <f t="shared" si="235"/>
        <v>6387786</v>
      </c>
      <c r="P301" s="328">
        <f>E301+J301</f>
        <v>6387786</v>
      </c>
      <c r="Q301" s="20"/>
      <c r="R301" s="45"/>
    </row>
    <row r="302" spans="1:18" ht="48" hidden="1" thickTop="1" thickBot="1" x14ac:dyDescent="0.25">
      <c r="A302" s="329" t="s">
        <v>809</v>
      </c>
      <c r="B302" s="329" t="s">
        <v>694</v>
      </c>
      <c r="C302" s="140"/>
      <c r="D302" s="140" t="s">
        <v>797</v>
      </c>
      <c r="E302" s="158">
        <f t="shared" ref="E302:P302" si="245">E303+E305</f>
        <v>0</v>
      </c>
      <c r="F302" s="158">
        <f t="shared" si="245"/>
        <v>0</v>
      </c>
      <c r="G302" s="158">
        <f t="shared" si="245"/>
        <v>0</v>
      </c>
      <c r="H302" s="158">
        <f t="shared" si="245"/>
        <v>0</v>
      </c>
      <c r="I302" s="158">
        <f t="shared" si="245"/>
        <v>0</v>
      </c>
      <c r="J302" s="158">
        <f t="shared" si="245"/>
        <v>0</v>
      </c>
      <c r="K302" s="158">
        <f t="shared" si="245"/>
        <v>0</v>
      </c>
      <c r="L302" s="158">
        <f t="shared" si="245"/>
        <v>0</v>
      </c>
      <c r="M302" s="158">
        <f t="shared" si="245"/>
        <v>0</v>
      </c>
      <c r="N302" s="158">
        <f t="shared" si="245"/>
        <v>0</v>
      </c>
      <c r="O302" s="158">
        <f t="shared" si="245"/>
        <v>0</v>
      </c>
      <c r="P302" s="158">
        <f t="shared" si="245"/>
        <v>0</v>
      </c>
      <c r="Q302" s="20"/>
      <c r="R302" s="50"/>
    </row>
    <row r="303" spans="1:18" ht="211.5" hidden="1" customHeight="1" thickTop="1" thickBot="1" x14ac:dyDescent="0.7">
      <c r="A303" s="796" t="s">
        <v>552</v>
      </c>
      <c r="B303" s="796" t="s">
        <v>338</v>
      </c>
      <c r="C303" s="797" t="s">
        <v>170</v>
      </c>
      <c r="D303" s="155" t="s">
        <v>440</v>
      </c>
      <c r="E303" s="800"/>
      <c r="F303" s="781"/>
      <c r="G303" s="781"/>
      <c r="H303" s="781"/>
      <c r="I303" s="781"/>
      <c r="J303" s="800">
        <f t="shared" si="233"/>
        <v>0</v>
      </c>
      <c r="K303" s="781"/>
      <c r="L303" s="781">
        <v>0</v>
      </c>
      <c r="M303" s="781"/>
      <c r="N303" s="781"/>
      <c r="O303" s="785"/>
      <c r="P303" s="782">
        <f>E303+J303</f>
        <v>0</v>
      </c>
      <c r="Q303" s="20"/>
      <c r="R303" s="50"/>
    </row>
    <row r="304" spans="1:18" ht="130.5" hidden="1" customHeight="1" thickTop="1" thickBot="1" x14ac:dyDescent="0.25">
      <c r="A304" s="796"/>
      <c r="B304" s="796"/>
      <c r="C304" s="797"/>
      <c r="D304" s="156" t="s">
        <v>441</v>
      </c>
      <c r="E304" s="800"/>
      <c r="F304" s="781"/>
      <c r="G304" s="781"/>
      <c r="H304" s="781"/>
      <c r="I304" s="781"/>
      <c r="J304" s="800"/>
      <c r="K304" s="781"/>
      <c r="L304" s="781"/>
      <c r="M304" s="781"/>
      <c r="N304" s="781"/>
      <c r="O304" s="785"/>
      <c r="P304" s="782"/>
      <c r="Q304" s="20"/>
      <c r="R304" s="50"/>
    </row>
    <row r="305" spans="1:18" ht="39" hidden="1" customHeight="1" thickTop="1" thickBot="1" x14ac:dyDescent="0.25">
      <c r="A305" s="103" t="s">
        <v>1183</v>
      </c>
      <c r="B305" s="103" t="s">
        <v>257</v>
      </c>
      <c r="C305" s="128" t="s">
        <v>170</v>
      </c>
      <c r="D305" s="156" t="s">
        <v>255</v>
      </c>
      <c r="E305" s="152">
        <f t="shared" ref="E305" si="246">F305</f>
        <v>0</v>
      </c>
      <c r="F305" s="129"/>
      <c r="G305" s="129"/>
      <c r="H305" s="129"/>
      <c r="I305" s="129"/>
      <c r="J305" s="127">
        <f t="shared" ref="J305" si="247">L305+O305</f>
        <v>0</v>
      </c>
      <c r="K305" s="134"/>
      <c r="L305" s="129"/>
      <c r="M305" s="129"/>
      <c r="N305" s="129"/>
      <c r="O305" s="132">
        <f t="shared" ref="O305" si="248">K305</f>
        <v>0</v>
      </c>
      <c r="P305" s="127">
        <f>E305+J305</f>
        <v>0</v>
      </c>
      <c r="Q305" s="20"/>
      <c r="R305" s="50"/>
    </row>
    <row r="306" spans="1:18" ht="47.25" thickTop="1" thickBot="1" x14ac:dyDescent="0.25">
      <c r="A306" s="311" t="s">
        <v>810</v>
      </c>
      <c r="B306" s="311" t="s">
        <v>696</v>
      </c>
      <c r="C306" s="311"/>
      <c r="D306" s="471" t="s">
        <v>697</v>
      </c>
      <c r="E306" s="328">
        <f>E307</f>
        <v>4515145</v>
      </c>
      <c r="F306" s="328">
        <f t="shared" ref="F306:P306" si="249">F307</f>
        <v>4515145</v>
      </c>
      <c r="G306" s="328">
        <f t="shared" si="249"/>
        <v>1953964</v>
      </c>
      <c r="H306" s="328">
        <f t="shared" si="249"/>
        <v>53880</v>
      </c>
      <c r="I306" s="328">
        <f t="shared" si="249"/>
        <v>0</v>
      </c>
      <c r="J306" s="328">
        <f t="shared" si="249"/>
        <v>0</v>
      </c>
      <c r="K306" s="328">
        <f t="shared" si="249"/>
        <v>0</v>
      </c>
      <c r="L306" s="328">
        <f t="shared" si="249"/>
        <v>0</v>
      </c>
      <c r="M306" s="328">
        <f t="shared" si="249"/>
        <v>0</v>
      </c>
      <c r="N306" s="328">
        <f t="shared" si="249"/>
        <v>0</v>
      </c>
      <c r="O306" s="328">
        <f t="shared" si="249"/>
        <v>0</v>
      </c>
      <c r="P306" s="328">
        <f t="shared" si="249"/>
        <v>4515145</v>
      </c>
      <c r="Q306" s="20"/>
      <c r="R306" s="50"/>
    </row>
    <row r="307" spans="1:18" ht="47.25" thickTop="1" thickBot="1" x14ac:dyDescent="0.25">
      <c r="A307" s="313" t="s">
        <v>811</v>
      </c>
      <c r="B307" s="313" t="s">
        <v>812</v>
      </c>
      <c r="C307" s="313"/>
      <c r="D307" s="356" t="s">
        <v>1281</v>
      </c>
      <c r="E307" s="315">
        <f>SUM(E308:E310)</f>
        <v>4515145</v>
      </c>
      <c r="F307" s="315">
        <f t="shared" ref="F307:P307" si="250">SUM(F308:F310)</f>
        <v>4515145</v>
      </c>
      <c r="G307" s="315">
        <f t="shared" si="250"/>
        <v>1953964</v>
      </c>
      <c r="H307" s="315">
        <f t="shared" si="250"/>
        <v>53880</v>
      </c>
      <c r="I307" s="315">
        <f t="shared" si="250"/>
        <v>0</v>
      </c>
      <c r="J307" s="315">
        <f t="shared" si="250"/>
        <v>0</v>
      </c>
      <c r="K307" s="315">
        <f t="shared" si="250"/>
        <v>0</v>
      </c>
      <c r="L307" s="315">
        <f t="shared" si="250"/>
        <v>0</v>
      </c>
      <c r="M307" s="315">
        <f t="shared" si="250"/>
        <v>0</v>
      </c>
      <c r="N307" s="315">
        <f t="shared" si="250"/>
        <v>0</v>
      </c>
      <c r="O307" s="315">
        <f t="shared" si="250"/>
        <v>0</v>
      </c>
      <c r="P307" s="315">
        <f t="shared" si="250"/>
        <v>4515145</v>
      </c>
      <c r="Q307" s="20"/>
      <c r="R307" s="50"/>
    </row>
    <row r="308" spans="1:18" ht="93" thickTop="1" thickBot="1" x14ac:dyDescent="0.25">
      <c r="A308" s="103" t="s">
        <v>553</v>
      </c>
      <c r="B308" s="103" t="s">
        <v>518</v>
      </c>
      <c r="C308" s="103" t="s">
        <v>251</v>
      </c>
      <c r="D308" s="103" t="s">
        <v>519</v>
      </c>
      <c r="E308" s="312">
        <f>F308</f>
        <v>2000000</v>
      </c>
      <c r="F308" s="326">
        <v>2000000</v>
      </c>
      <c r="G308" s="326"/>
      <c r="H308" s="326"/>
      <c r="I308" s="326"/>
      <c r="J308" s="328">
        <f>L308+O308</f>
        <v>0</v>
      </c>
      <c r="K308" s="462">
        <v>0</v>
      </c>
      <c r="L308" s="326"/>
      <c r="M308" s="326"/>
      <c r="N308" s="326"/>
      <c r="O308" s="459">
        <f>K308</f>
        <v>0</v>
      </c>
      <c r="P308" s="328">
        <f>E308+J308</f>
        <v>2000000</v>
      </c>
      <c r="Q308" s="20"/>
      <c r="R308" s="50"/>
    </row>
    <row r="309" spans="1:18" ht="48" thickTop="1" thickBot="1" x14ac:dyDescent="0.25">
      <c r="A309" s="103" t="s">
        <v>554</v>
      </c>
      <c r="B309" s="103" t="s">
        <v>250</v>
      </c>
      <c r="C309" s="103" t="s">
        <v>251</v>
      </c>
      <c r="D309" s="103" t="s">
        <v>249</v>
      </c>
      <c r="E309" s="312">
        <f t="shared" ref="E309:E310" si="251">F309</f>
        <v>2515145</v>
      </c>
      <c r="F309" s="326">
        <v>2515145</v>
      </c>
      <c r="G309" s="326">
        <v>1953964</v>
      </c>
      <c r="H309" s="326">
        <f>2500+35000+16380</f>
        <v>53880</v>
      </c>
      <c r="I309" s="326"/>
      <c r="J309" s="328">
        <f>L309+O309</f>
        <v>0</v>
      </c>
      <c r="K309" s="462">
        <v>0</v>
      </c>
      <c r="L309" s="326"/>
      <c r="M309" s="326"/>
      <c r="N309" s="326"/>
      <c r="O309" s="459">
        <f>K309</f>
        <v>0</v>
      </c>
      <c r="P309" s="328">
        <f>E309+J309</f>
        <v>2515145</v>
      </c>
      <c r="Q309" s="20"/>
      <c r="R309" s="46"/>
    </row>
    <row r="310" spans="1:18" ht="48" hidden="1" thickTop="1" thickBot="1" x14ac:dyDescent="0.25">
      <c r="A310" s="41" t="s">
        <v>555</v>
      </c>
      <c r="B310" s="41" t="s">
        <v>556</v>
      </c>
      <c r="C310" s="41" t="s">
        <v>251</v>
      </c>
      <c r="D310" s="41" t="s">
        <v>557</v>
      </c>
      <c r="E310" s="160">
        <f t="shared" si="251"/>
        <v>0</v>
      </c>
      <c r="F310" s="161">
        <f>(1219000)-1219000</f>
        <v>0</v>
      </c>
      <c r="G310" s="161">
        <f>(354000+540000)-894000</f>
        <v>0</v>
      </c>
      <c r="H310" s="161">
        <f>(6000+3000)-9000</f>
        <v>0</v>
      </c>
      <c r="I310" s="161"/>
      <c r="J310" s="42">
        <f>L310+O310</f>
        <v>0</v>
      </c>
      <c r="K310" s="43"/>
      <c r="L310" s="161"/>
      <c r="M310" s="161"/>
      <c r="N310" s="161"/>
      <c r="O310" s="44">
        <f>K310</f>
        <v>0</v>
      </c>
      <c r="P310" s="42">
        <f>E310+J310</f>
        <v>0</v>
      </c>
      <c r="Q310" s="20"/>
      <c r="R310" s="50"/>
    </row>
    <row r="311" spans="1:18" ht="47.25" hidden="1" thickTop="1" thickBot="1" x14ac:dyDescent="0.25">
      <c r="A311" s="125" t="s">
        <v>1483</v>
      </c>
      <c r="B311" s="125" t="s">
        <v>702</v>
      </c>
      <c r="C311" s="125"/>
      <c r="D311" s="125" t="s">
        <v>703</v>
      </c>
      <c r="E311" s="127">
        <f>E312</f>
        <v>0</v>
      </c>
      <c r="F311" s="127">
        <f t="shared" ref="F311:P312" si="252">F312</f>
        <v>0</v>
      </c>
      <c r="G311" s="127">
        <f t="shared" si="252"/>
        <v>0</v>
      </c>
      <c r="H311" s="127">
        <f t="shared" si="252"/>
        <v>0</v>
      </c>
      <c r="I311" s="127">
        <f t="shared" si="252"/>
        <v>0</v>
      </c>
      <c r="J311" s="127">
        <f t="shared" si="252"/>
        <v>0</v>
      </c>
      <c r="K311" s="127">
        <f t="shared" si="252"/>
        <v>0</v>
      </c>
      <c r="L311" s="127">
        <f t="shared" si="252"/>
        <v>0</v>
      </c>
      <c r="M311" s="127">
        <f t="shared" si="252"/>
        <v>0</v>
      </c>
      <c r="N311" s="127">
        <f t="shared" si="252"/>
        <v>0</v>
      </c>
      <c r="O311" s="127">
        <f t="shared" si="252"/>
        <v>0</v>
      </c>
      <c r="P311" s="127">
        <f t="shared" si="252"/>
        <v>0</v>
      </c>
      <c r="Q311" s="20"/>
      <c r="R311" s="50"/>
    </row>
    <row r="312" spans="1:18" ht="91.5" hidden="1" thickTop="1" thickBot="1" x14ac:dyDescent="0.25">
      <c r="A312" s="136" t="s">
        <v>1484</v>
      </c>
      <c r="B312" s="136" t="s">
        <v>705</v>
      </c>
      <c r="C312" s="136"/>
      <c r="D312" s="136" t="s">
        <v>706</v>
      </c>
      <c r="E312" s="137">
        <f>E313</f>
        <v>0</v>
      </c>
      <c r="F312" s="137">
        <f t="shared" si="252"/>
        <v>0</v>
      </c>
      <c r="G312" s="137">
        <f t="shared" si="252"/>
        <v>0</v>
      </c>
      <c r="H312" s="137">
        <f t="shared" si="252"/>
        <v>0</v>
      </c>
      <c r="I312" s="137">
        <f t="shared" si="252"/>
        <v>0</v>
      </c>
      <c r="J312" s="137">
        <f t="shared" si="252"/>
        <v>0</v>
      </c>
      <c r="K312" s="137">
        <f t="shared" si="252"/>
        <v>0</v>
      </c>
      <c r="L312" s="137">
        <f t="shared" si="252"/>
        <v>0</v>
      </c>
      <c r="M312" s="137">
        <f t="shared" si="252"/>
        <v>0</v>
      </c>
      <c r="N312" s="137">
        <f t="shared" si="252"/>
        <v>0</v>
      </c>
      <c r="O312" s="137">
        <f t="shared" si="252"/>
        <v>0</v>
      </c>
      <c r="P312" s="137">
        <f t="shared" si="252"/>
        <v>0</v>
      </c>
      <c r="Q312" s="20"/>
      <c r="R312" s="50"/>
    </row>
    <row r="313" spans="1:18" ht="48" hidden="1" thickTop="1" thickBot="1" x14ac:dyDescent="0.25">
      <c r="A313" s="128" t="s">
        <v>1485</v>
      </c>
      <c r="B313" s="128" t="s">
        <v>363</v>
      </c>
      <c r="C313" s="128" t="s">
        <v>43</v>
      </c>
      <c r="D313" s="128" t="s">
        <v>364</v>
      </c>
      <c r="E313" s="127">
        <f t="shared" ref="E313" si="253">F313</f>
        <v>0</v>
      </c>
      <c r="F313" s="134"/>
      <c r="G313" s="134"/>
      <c r="H313" s="134"/>
      <c r="I313" s="134"/>
      <c r="J313" s="127">
        <f>L313+O313</f>
        <v>0</v>
      </c>
      <c r="K313" s="134">
        <v>0</v>
      </c>
      <c r="L313" s="134"/>
      <c r="M313" s="134"/>
      <c r="N313" s="134"/>
      <c r="O313" s="132">
        <f>K313</f>
        <v>0</v>
      </c>
      <c r="P313" s="127">
        <f>E313+J313</f>
        <v>0</v>
      </c>
      <c r="Q313" s="20"/>
      <c r="R313" s="50"/>
    </row>
    <row r="314" spans="1:18" ht="91.5" thickTop="1" thickBot="1" x14ac:dyDescent="0.25">
      <c r="A314" s="478" t="s">
        <v>25</v>
      </c>
      <c r="B314" s="478"/>
      <c r="C314" s="478"/>
      <c r="D314" s="479" t="s">
        <v>1347</v>
      </c>
      <c r="E314" s="502">
        <f>E315</f>
        <v>3767165</v>
      </c>
      <c r="F314" s="480">
        <f t="shared" ref="F314:G314" si="254">F315</f>
        <v>3767165</v>
      </c>
      <c r="G314" s="480">
        <f t="shared" si="254"/>
        <v>2744545</v>
      </c>
      <c r="H314" s="480">
        <f>H315</f>
        <v>129800</v>
      </c>
      <c r="I314" s="480">
        <f t="shared" ref="I314" si="255">I315</f>
        <v>0</v>
      </c>
      <c r="J314" s="502">
        <f>J315</f>
        <v>45425815.939999998</v>
      </c>
      <c r="K314" s="480">
        <f>K315</f>
        <v>45425815.939999998</v>
      </c>
      <c r="L314" s="480">
        <f>L315</f>
        <v>0</v>
      </c>
      <c r="M314" s="480">
        <f t="shared" ref="M314" si="256">M315</f>
        <v>0</v>
      </c>
      <c r="N314" s="480">
        <f>N315</f>
        <v>0</v>
      </c>
      <c r="O314" s="502">
        <f>O315</f>
        <v>45425815.939999998</v>
      </c>
      <c r="P314" s="480">
        <f t="shared" ref="P314" si="257">P315</f>
        <v>49192980.939999998</v>
      </c>
      <c r="Q314" s="20"/>
    </row>
    <row r="315" spans="1:18" ht="91.5" thickTop="1" thickBot="1" x14ac:dyDescent="0.25">
      <c r="A315" s="481" t="s">
        <v>26</v>
      </c>
      <c r="B315" s="481"/>
      <c r="C315" s="481"/>
      <c r="D315" s="482" t="s">
        <v>892</v>
      </c>
      <c r="E315" s="483">
        <f>E316+E322+E325+E320</f>
        <v>3767165</v>
      </c>
      <c r="F315" s="483">
        <f>F316+F322+F325+F320</f>
        <v>3767165</v>
      </c>
      <c r="G315" s="483">
        <f>G316+G322+G325+G320</f>
        <v>2744545</v>
      </c>
      <c r="H315" s="483">
        <f>H316+H322+H325+H320</f>
        <v>129800</v>
      </c>
      <c r="I315" s="483">
        <f>I316+I322+I325+I320</f>
        <v>0</v>
      </c>
      <c r="J315" s="483">
        <f>L315+O315</f>
        <v>45425815.939999998</v>
      </c>
      <c r="K315" s="483">
        <f>K316+K322+K325+K320</f>
        <v>45425815.939999998</v>
      </c>
      <c r="L315" s="483">
        <f>L316+L322+L325+L320</f>
        <v>0</v>
      </c>
      <c r="M315" s="483">
        <f>M316+M322+M325+M320</f>
        <v>0</v>
      </c>
      <c r="N315" s="483">
        <f>N316+N322+N325+N320</f>
        <v>0</v>
      </c>
      <c r="O315" s="483">
        <f>O316+O322+O325+O320</f>
        <v>45425815.939999998</v>
      </c>
      <c r="P315" s="483">
        <f>E315+J315</f>
        <v>49192980.939999998</v>
      </c>
      <c r="Q315" s="503" t="b">
        <f>P315=P317+P329+P332+P321</f>
        <v>1</v>
      </c>
      <c r="R315" s="46"/>
    </row>
    <row r="316" spans="1:18" ht="47.25" thickTop="1" thickBot="1" x14ac:dyDescent="0.25">
      <c r="A316" s="311" t="s">
        <v>813</v>
      </c>
      <c r="B316" s="311" t="s">
        <v>684</v>
      </c>
      <c r="C316" s="311"/>
      <c r="D316" s="311" t="s">
        <v>685</v>
      </c>
      <c r="E316" s="328">
        <f t="shared" ref="E316:P316" si="258">SUM(E317:E319)</f>
        <v>3767165</v>
      </c>
      <c r="F316" s="328">
        <f t="shared" si="258"/>
        <v>3767165</v>
      </c>
      <c r="G316" s="328">
        <f t="shared" si="258"/>
        <v>2744545</v>
      </c>
      <c r="H316" s="328">
        <f t="shared" si="258"/>
        <v>129800</v>
      </c>
      <c r="I316" s="328">
        <f t="shared" si="258"/>
        <v>0</v>
      </c>
      <c r="J316" s="328">
        <f t="shared" si="258"/>
        <v>0</v>
      </c>
      <c r="K316" s="328">
        <f t="shared" si="258"/>
        <v>0</v>
      </c>
      <c r="L316" s="328">
        <f t="shared" si="258"/>
        <v>0</v>
      </c>
      <c r="M316" s="328">
        <f t="shared" si="258"/>
        <v>0</v>
      </c>
      <c r="N316" s="328">
        <f t="shared" si="258"/>
        <v>0</v>
      </c>
      <c r="O316" s="328">
        <f t="shared" si="258"/>
        <v>0</v>
      </c>
      <c r="P316" s="328">
        <f t="shared" si="258"/>
        <v>3767165</v>
      </c>
      <c r="Q316" s="47"/>
      <c r="R316" s="46"/>
    </row>
    <row r="317" spans="1:18" ht="93" thickTop="1" thickBot="1" x14ac:dyDescent="0.25">
      <c r="A317" s="103" t="s">
        <v>417</v>
      </c>
      <c r="B317" s="103" t="s">
        <v>236</v>
      </c>
      <c r="C317" s="103" t="s">
        <v>234</v>
      </c>
      <c r="D317" s="103" t="s">
        <v>235</v>
      </c>
      <c r="E317" s="328">
        <f>F317</f>
        <v>3767165</v>
      </c>
      <c r="F317" s="462">
        <v>3767165</v>
      </c>
      <c r="G317" s="462">
        <v>2744545</v>
      </c>
      <c r="H317" s="462">
        <v>129800</v>
      </c>
      <c r="I317" s="462"/>
      <c r="J317" s="328">
        <f t="shared" ref="J317:J333" si="259">L317+O317</f>
        <v>0</v>
      </c>
      <c r="K317" s="462"/>
      <c r="L317" s="462"/>
      <c r="M317" s="462"/>
      <c r="N317" s="462"/>
      <c r="O317" s="459">
        <f>K317</f>
        <v>0</v>
      </c>
      <c r="P317" s="328">
        <f t="shared" ref="P317:P333" si="260">E317+J317</f>
        <v>3767165</v>
      </c>
      <c r="Q317" s="47"/>
      <c r="R317" s="50"/>
    </row>
    <row r="318" spans="1:18" ht="93" hidden="1" thickTop="1" thickBot="1" x14ac:dyDescent="0.25">
      <c r="A318" s="128" t="s">
        <v>630</v>
      </c>
      <c r="B318" s="128" t="s">
        <v>362</v>
      </c>
      <c r="C318" s="128" t="s">
        <v>625</v>
      </c>
      <c r="D318" s="128" t="s">
        <v>626</v>
      </c>
      <c r="E318" s="152">
        <f>F318</f>
        <v>0</v>
      </c>
      <c r="F318" s="129">
        <v>0</v>
      </c>
      <c r="G318" s="129"/>
      <c r="H318" s="129"/>
      <c r="I318" s="129"/>
      <c r="J318" s="127">
        <f t="shared" si="259"/>
        <v>0</v>
      </c>
      <c r="K318" s="129"/>
      <c r="L318" s="130"/>
      <c r="M318" s="130"/>
      <c r="N318" s="130"/>
      <c r="O318" s="132">
        <f t="shared" ref="O318:O319" si="261">K318</f>
        <v>0</v>
      </c>
      <c r="P318" s="127">
        <f t="shared" ref="P318:P319" si="262">+J318+E318</f>
        <v>0</v>
      </c>
      <c r="Q318" s="47"/>
      <c r="R318" s="50"/>
    </row>
    <row r="319" spans="1:18" ht="48" hidden="1" thickTop="1" thickBot="1" x14ac:dyDescent="0.25">
      <c r="A319" s="128" t="s">
        <v>928</v>
      </c>
      <c r="B319" s="128" t="s">
        <v>43</v>
      </c>
      <c r="C319" s="128" t="s">
        <v>42</v>
      </c>
      <c r="D319" s="128" t="s">
        <v>248</v>
      </c>
      <c r="E319" s="127">
        <f>F319</f>
        <v>0</v>
      </c>
      <c r="F319" s="134">
        <v>0</v>
      </c>
      <c r="G319" s="134"/>
      <c r="H319" s="134"/>
      <c r="I319" s="134"/>
      <c r="J319" s="127">
        <f t="shared" si="259"/>
        <v>0</v>
      </c>
      <c r="K319" s="129"/>
      <c r="L319" s="130"/>
      <c r="M319" s="130"/>
      <c r="N319" s="130"/>
      <c r="O319" s="132">
        <f t="shared" si="261"/>
        <v>0</v>
      </c>
      <c r="P319" s="127">
        <f t="shared" si="262"/>
        <v>0</v>
      </c>
      <c r="Q319" s="47"/>
      <c r="R319" s="50"/>
    </row>
    <row r="320" spans="1:18" ht="47.25" thickTop="1" thickBot="1" x14ac:dyDescent="0.25">
      <c r="A320" s="311" t="s">
        <v>1235</v>
      </c>
      <c r="B320" s="311" t="s">
        <v>711</v>
      </c>
      <c r="C320" s="311"/>
      <c r="D320" s="311" t="s">
        <v>712</v>
      </c>
      <c r="E320" s="328">
        <f t="shared" ref="E320:P320" si="263">SUM(E321:E321)</f>
        <v>0</v>
      </c>
      <c r="F320" s="328">
        <f t="shared" si="263"/>
        <v>0</v>
      </c>
      <c r="G320" s="328">
        <f t="shared" si="263"/>
        <v>0</v>
      </c>
      <c r="H320" s="328">
        <f t="shared" si="263"/>
        <v>0</v>
      </c>
      <c r="I320" s="328">
        <f t="shared" si="263"/>
        <v>0</v>
      </c>
      <c r="J320" s="328">
        <f t="shared" si="263"/>
        <v>1900000</v>
      </c>
      <c r="K320" s="328">
        <f t="shared" si="263"/>
        <v>1900000</v>
      </c>
      <c r="L320" s="328">
        <f t="shared" si="263"/>
        <v>0</v>
      </c>
      <c r="M320" s="328">
        <f t="shared" si="263"/>
        <v>0</v>
      </c>
      <c r="N320" s="328">
        <f t="shared" si="263"/>
        <v>0</v>
      </c>
      <c r="O320" s="328">
        <f t="shared" si="263"/>
        <v>1900000</v>
      </c>
      <c r="P320" s="328">
        <f t="shared" si="263"/>
        <v>1900000</v>
      </c>
      <c r="Q320" s="47"/>
      <c r="R320" s="50"/>
    </row>
    <row r="321" spans="1:18" ht="93" thickTop="1" thickBot="1" x14ac:dyDescent="0.25">
      <c r="A321" s="103" t="s">
        <v>1236</v>
      </c>
      <c r="B321" s="103" t="s">
        <v>1200</v>
      </c>
      <c r="C321" s="103" t="s">
        <v>206</v>
      </c>
      <c r="D321" s="470" t="s">
        <v>1201</v>
      </c>
      <c r="E321" s="328">
        <f t="shared" ref="E321" si="264">F321</f>
        <v>0</v>
      </c>
      <c r="F321" s="462">
        <v>0</v>
      </c>
      <c r="G321" s="462"/>
      <c r="H321" s="462"/>
      <c r="I321" s="462"/>
      <c r="J321" s="328">
        <f>L321+O321</f>
        <v>1900000</v>
      </c>
      <c r="K321" s="462">
        <f>(0)+2000000-100000</f>
        <v>1900000</v>
      </c>
      <c r="L321" s="462"/>
      <c r="M321" s="462"/>
      <c r="N321" s="462"/>
      <c r="O321" s="459">
        <f>K321</f>
        <v>1900000</v>
      </c>
      <c r="P321" s="328">
        <f>E321+J321</f>
        <v>1900000</v>
      </c>
      <c r="Q321" s="47"/>
      <c r="R321" s="50"/>
    </row>
    <row r="322" spans="1:18" ht="47.25" hidden="1" thickTop="1" thickBot="1" x14ac:dyDescent="0.25">
      <c r="A322" s="125" t="s">
        <v>814</v>
      </c>
      <c r="B322" s="125" t="s">
        <v>770</v>
      </c>
      <c r="C322" s="128"/>
      <c r="D322" s="125" t="s">
        <v>771</v>
      </c>
      <c r="E322" s="152">
        <f>E323</f>
        <v>0</v>
      </c>
      <c r="F322" s="152">
        <f t="shared" ref="F322:P323" si="265">F323</f>
        <v>0</v>
      </c>
      <c r="G322" s="152">
        <f t="shared" si="265"/>
        <v>0</v>
      </c>
      <c r="H322" s="152">
        <f t="shared" si="265"/>
        <v>0</v>
      </c>
      <c r="I322" s="152">
        <f t="shared" si="265"/>
        <v>0</v>
      </c>
      <c r="J322" s="152">
        <f t="shared" si="265"/>
        <v>0</v>
      </c>
      <c r="K322" s="152">
        <f t="shared" si="265"/>
        <v>0</v>
      </c>
      <c r="L322" s="152">
        <f t="shared" si="265"/>
        <v>0</v>
      </c>
      <c r="M322" s="152">
        <f t="shared" si="265"/>
        <v>0</v>
      </c>
      <c r="N322" s="152">
        <f t="shared" si="265"/>
        <v>0</v>
      </c>
      <c r="O322" s="152">
        <f t="shared" si="265"/>
        <v>0</v>
      </c>
      <c r="P322" s="152">
        <f t="shared" si="265"/>
        <v>0</v>
      </c>
      <c r="Q322" s="47"/>
      <c r="R322" s="50"/>
    </row>
    <row r="323" spans="1:18" ht="48" hidden="1" thickTop="1" thickBot="1" x14ac:dyDescent="0.25">
      <c r="A323" s="140" t="s">
        <v>815</v>
      </c>
      <c r="B323" s="140" t="s">
        <v>816</v>
      </c>
      <c r="C323" s="140"/>
      <c r="D323" s="140" t="s">
        <v>817</v>
      </c>
      <c r="E323" s="158">
        <f>E324</f>
        <v>0</v>
      </c>
      <c r="F323" s="158">
        <f t="shared" si="265"/>
        <v>0</v>
      </c>
      <c r="G323" s="158">
        <f t="shared" si="265"/>
        <v>0</v>
      </c>
      <c r="H323" s="158">
        <f t="shared" si="265"/>
        <v>0</v>
      </c>
      <c r="I323" s="158">
        <f t="shared" si="265"/>
        <v>0</v>
      </c>
      <c r="J323" s="158">
        <f t="shared" si="265"/>
        <v>0</v>
      </c>
      <c r="K323" s="158">
        <f t="shared" si="265"/>
        <v>0</v>
      </c>
      <c r="L323" s="158">
        <f t="shared" si="265"/>
        <v>0</v>
      </c>
      <c r="M323" s="158">
        <f t="shared" si="265"/>
        <v>0</v>
      </c>
      <c r="N323" s="158">
        <f t="shared" si="265"/>
        <v>0</v>
      </c>
      <c r="O323" s="158">
        <f t="shared" si="265"/>
        <v>0</v>
      </c>
      <c r="P323" s="158">
        <f t="shared" si="265"/>
        <v>0</v>
      </c>
      <c r="Q323" s="47"/>
      <c r="R323" s="50"/>
    </row>
    <row r="324" spans="1:18" ht="184.5" hidden="1" thickTop="1" thickBot="1" x14ac:dyDescent="0.25">
      <c r="A324" s="128" t="s">
        <v>433</v>
      </c>
      <c r="B324" s="128" t="s">
        <v>434</v>
      </c>
      <c r="C324" s="128" t="s">
        <v>195</v>
      </c>
      <c r="D324" s="128" t="s">
        <v>1178</v>
      </c>
      <c r="E324" s="127">
        <f t="shared" ref="E324:E331" si="266">F324</f>
        <v>0</v>
      </c>
      <c r="F324" s="134"/>
      <c r="G324" s="134"/>
      <c r="H324" s="134"/>
      <c r="I324" s="134"/>
      <c r="J324" s="127">
        <f t="shared" si="259"/>
        <v>0</v>
      </c>
      <c r="K324" s="134">
        <v>0</v>
      </c>
      <c r="L324" s="134"/>
      <c r="M324" s="134"/>
      <c r="N324" s="134"/>
      <c r="O324" s="132">
        <f t="shared" ref="O324" si="267">K324</f>
        <v>0</v>
      </c>
      <c r="P324" s="127">
        <f t="shared" si="260"/>
        <v>0</v>
      </c>
      <c r="Q324" s="47"/>
      <c r="R324" s="46"/>
    </row>
    <row r="325" spans="1:18" ht="47.25" thickTop="1" thickBot="1" x14ac:dyDescent="0.25">
      <c r="A325" s="311" t="s">
        <v>818</v>
      </c>
      <c r="B325" s="311" t="s">
        <v>748</v>
      </c>
      <c r="C325" s="103"/>
      <c r="D325" s="311" t="s">
        <v>794</v>
      </c>
      <c r="E325" s="328">
        <f>E326+E334</f>
        <v>0</v>
      </c>
      <c r="F325" s="328">
        <f t="shared" ref="F325:P325" si="268">F326+F334</f>
        <v>0</v>
      </c>
      <c r="G325" s="328">
        <f t="shared" si="268"/>
        <v>0</v>
      </c>
      <c r="H325" s="328">
        <f t="shared" si="268"/>
        <v>0</v>
      </c>
      <c r="I325" s="328">
        <f t="shared" si="268"/>
        <v>0</v>
      </c>
      <c r="J325" s="328">
        <f t="shared" si="268"/>
        <v>43525815.939999998</v>
      </c>
      <c r="K325" s="328">
        <f t="shared" si="268"/>
        <v>43525815.939999998</v>
      </c>
      <c r="L325" s="328">
        <f t="shared" si="268"/>
        <v>0</v>
      </c>
      <c r="M325" s="328">
        <f t="shared" si="268"/>
        <v>0</v>
      </c>
      <c r="N325" s="328">
        <f t="shared" si="268"/>
        <v>0</v>
      </c>
      <c r="O325" s="328">
        <f t="shared" si="268"/>
        <v>43525815.939999998</v>
      </c>
      <c r="P325" s="328">
        <f t="shared" si="268"/>
        <v>43525815.939999998</v>
      </c>
      <c r="Q325" s="45"/>
      <c r="R325" s="46"/>
    </row>
    <row r="326" spans="1:18" ht="47.25" thickTop="1" thickBot="1" x14ac:dyDescent="0.25">
      <c r="A326" s="313" t="s">
        <v>819</v>
      </c>
      <c r="B326" s="313" t="s">
        <v>803</v>
      </c>
      <c r="C326" s="313"/>
      <c r="D326" s="313" t="s">
        <v>804</v>
      </c>
      <c r="E326" s="315">
        <f t="shared" ref="E326:P326" si="269">SUM(E327:E333)-E328</f>
        <v>0</v>
      </c>
      <c r="F326" s="315">
        <f t="shared" si="269"/>
        <v>0</v>
      </c>
      <c r="G326" s="315">
        <f t="shared" si="269"/>
        <v>0</v>
      </c>
      <c r="H326" s="315">
        <f t="shared" si="269"/>
        <v>0</v>
      </c>
      <c r="I326" s="315">
        <f t="shared" si="269"/>
        <v>0</v>
      </c>
      <c r="J326" s="315">
        <f t="shared" si="269"/>
        <v>43525815.939999998</v>
      </c>
      <c r="K326" s="315">
        <f t="shared" si="269"/>
        <v>43525815.939999998</v>
      </c>
      <c r="L326" s="315">
        <f t="shared" si="269"/>
        <v>0</v>
      </c>
      <c r="M326" s="315">
        <f t="shared" si="269"/>
        <v>0</v>
      </c>
      <c r="N326" s="315">
        <f t="shared" si="269"/>
        <v>0</v>
      </c>
      <c r="O326" s="315">
        <f t="shared" si="269"/>
        <v>43525815.939999998</v>
      </c>
      <c r="P326" s="315">
        <f t="shared" si="269"/>
        <v>43525815.939999998</v>
      </c>
      <c r="Q326" s="45"/>
      <c r="R326" s="46"/>
    </row>
    <row r="327" spans="1:18" ht="54" hidden="1" thickTop="1" thickBot="1" x14ac:dyDescent="0.25">
      <c r="A327" s="103" t="s">
        <v>927</v>
      </c>
      <c r="B327" s="103" t="s">
        <v>305</v>
      </c>
      <c r="C327" s="103" t="s">
        <v>304</v>
      </c>
      <c r="D327" s="103" t="s">
        <v>1502</v>
      </c>
      <c r="E327" s="328">
        <f t="shared" ref="E327" si="270">F327</f>
        <v>0</v>
      </c>
      <c r="F327" s="462"/>
      <c r="G327" s="462"/>
      <c r="H327" s="462"/>
      <c r="I327" s="462"/>
      <c r="J327" s="328">
        <f t="shared" ref="J327" si="271">L327+O327</f>
        <v>0</v>
      </c>
      <c r="K327" s="462">
        <v>0</v>
      </c>
      <c r="L327" s="462"/>
      <c r="M327" s="462"/>
      <c r="N327" s="462"/>
      <c r="O327" s="459">
        <f>K327</f>
        <v>0</v>
      </c>
      <c r="P327" s="328">
        <f t="shared" ref="P327" si="272">E327+J327</f>
        <v>0</v>
      </c>
      <c r="Q327" s="45"/>
      <c r="R327" s="46"/>
    </row>
    <row r="328" spans="1:18" ht="54.75" thickTop="1" thickBot="1" x14ac:dyDescent="0.25">
      <c r="A328" s="329" t="s">
        <v>820</v>
      </c>
      <c r="B328" s="329" t="s">
        <v>821</v>
      </c>
      <c r="C328" s="329"/>
      <c r="D328" s="329" t="s">
        <v>1508</v>
      </c>
      <c r="E328" s="325">
        <f>SUM(E329:E330)</f>
        <v>0</v>
      </c>
      <c r="F328" s="325">
        <f t="shared" ref="F328:P328" si="273">SUM(F329:F330)</f>
        <v>0</v>
      </c>
      <c r="G328" s="325">
        <f t="shared" si="273"/>
        <v>0</v>
      </c>
      <c r="H328" s="325">
        <f t="shared" si="273"/>
        <v>0</v>
      </c>
      <c r="I328" s="325">
        <f t="shared" si="273"/>
        <v>0</v>
      </c>
      <c r="J328" s="325">
        <f t="shared" si="273"/>
        <v>40425815.939999998</v>
      </c>
      <c r="K328" s="325">
        <f t="shared" si="273"/>
        <v>40425815.939999998</v>
      </c>
      <c r="L328" s="325">
        <f t="shared" si="273"/>
        <v>0</v>
      </c>
      <c r="M328" s="325">
        <f t="shared" si="273"/>
        <v>0</v>
      </c>
      <c r="N328" s="325">
        <f t="shared" si="273"/>
        <v>0</v>
      </c>
      <c r="O328" s="325">
        <f t="shared" si="273"/>
        <v>40425815.939999998</v>
      </c>
      <c r="P328" s="325">
        <f t="shared" si="273"/>
        <v>40425815.939999998</v>
      </c>
      <c r="Q328" s="45"/>
      <c r="R328" s="46"/>
    </row>
    <row r="329" spans="1:18" ht="54" thickTop="1" thickBot="1" x14ac:dyDescent="0.25">
      <c r="A329" s="103" t="s">
        <v>310</v>
      </c>
      <c r="B329" s="103" t="s">
        <v>311</v>
      </c>
      <c r="C329" s="103" t="s">
        <v>304</v>
      </c>
      <c r="D329" s="103" t="s">
        <v>1504</v>
      </c>
      <c r="E329" s="328">
        <f t="shared" si="266"/>
        <v>0</v>
      </c>
      <c r="F329" s="462"/>
      <c r="G329" s="462"/>
      <c r="H329" s="462"/>
      <c r="I329" s="462"/>
      <c r="J329" s="328">
        <f t="shared" si="259"/>
        <v>40425815.939999998</v>
      </c>
      <c r="K329" s="462">
        <f>(13000000)+27425815.94</f>
        <v>40425815.939999998</v>
      </c>
      <c r="L329" s="462"/>
      <c r="M329" s="462"/>
      <c r="N329" s="462"/>
      <c r="O329" s="459">
        <f>K329</f>
        <v>40425815.939999998</v>
      </c>
      <c r="P329" s="328">
        <f t="shared" si="260"/>
        <v>40425815.939999998</v>
      </c>
      <c r="Q329" s="477"/>
      <c r="R329" s="46"/>
    </row>
    <row r="330" spans="1:18" ht="54" hidden="1" thickTop="1" thickBot="1" x14ac:dyDescent="0.25">
      <c r="A330" s="103" t="s">
        <v>516</v>
      </c>
      <c r="B330" s="103" t="s">
        <v>517</v>
      </c>
      <c r="C330" s="103" t="s">
        <v>304</v>
      </c>
      <c r="D330" s="103" t="s">
        <v>1509</v>
      </c>
      <c r="E330" s="328">
        <f t="shared" si="266"/>
        <v>0</v>
      </c>
      <c r="F330" s="462"/>
      <c r="G330" s="462"/>
      <c r="H330" s="462"/>
      <c r="I330" s="462"/>
      <c r="J330" s="328">
        <f t="shared" si="259"/>
        <v>0</v>
      </c>
      <c r="K330" s="462">
        <v>0</v>
      </c>
      <c r="L330" s="462"/>
      <c r="M330" s="462"/>
      <c r="N330" s="462"/>
      <c r="O330" s="459">
        <f>K330</f>
        <v>0</v>
      </c>
      <c r="P330" s="328">
        <f t="shared" si="260"/>
        <v>0</v>
      </c>
      <c r="Q330" s="126"/>
      <c r="R330" s="46"/>
    </row>
    <row r="331" spans="1:18" ht="54" hidden="1" thickTop="1" thickBot="1" x14ac:dyDescent="0.25">
      <c r="A331" s="103" t="s">
        <v>312</v>
      </c>
      <c r="B331" s="103" t="s">
        <v>313</v>
      </c>
      <c r="C331" s="103" t="s">
        <v>304</v>
      </c>
      <c r="D331" s="103" t="s">
        <v>1510</v>
      </c>
      <c r="E331" s="328">
        <f t="shared" si="266"/>
        <v>0</v>
      </c>
      <c r="F331" s="462"/>
      <c r="G331" s="462"/>
      <c r="H331" s="462"/>
      <c r="I331" s="462"/>
      <c r="J331" s="328">
        <f t="shared" si="259"/>
        <v>0</v>
      </c>
      <c r="K331" s="462"/>
      <c r="L331" s="462"/>
      <c r="M331" s="462"/>
      <c r="N331" s="462"/>
      <c r="O331" s="459">
        <f>K331</f>
        <v>0</v>
      </c>
      <c r="P331" s="328">
        <f t="shared" si="260"/>
        <v>0</v>
      </c>
      <c r="Q331" s="126"/>
    </row>
    <row r="332" spans="1:18" ht="54" thickTop="1" thickBot="1" x14ac:dyDescent="0.3">
      <c r="A332" s="103" t="s">
        <v>314</v>
      </c>
      <c r="B332" s="103" t="s">
        <v>315</v>
      </c>
      <c r="C332" s="103" t="s">
        <v>304</v>
      </c>
      <c r="D332" s="103" t="s">
        <v>1505</v>
      </c>
      <c r="E332" s="328">
        <f>F332</f>
        <v>0</v>
      </c>
      <c r="F332" s="462"/>
      <c r="G332" s="462"/>
      <c r="H332" s="462"/>
      <c r="I332" s="462"/>
      <c r="J332" s="328">
        <f t="shared" si="259"/>
        <v>3100000</v>
      </c>
      <c r="K332" s="462">
        <f>(3000000)+100000</f>
        <v>3100000</v>
      </c>
      <c r="L332" s="462"/>
      <c r="M332" s="462"/>
      <c r="N332" s="462"/>
      <c r="O332" s="459">
        <f>K332</f>
        <v>3100000</v>
      </c>
      <c r="P332" s="328">
        <f t="shared" si="260"/>
        <v>3100000</v>
      </c>
      <c r="Q332" s="162"/>
      <c r="R332" s="46"/>
    </row>
    <row r="333" spans="1:18" ht="48" hidden="1" thickTop="1" thickBot="1" x14ac:dyDescent="0.25">
      <c r="A333" s="41" t="s">
        <v>437</v>
      </c>
      <c r="B333" s="41" t="s">
        <v>350</v>
      </c>
      <c r="C333" s="41" t="s">
        <v>170</v>
      </c>
      <c r="D333" s="41" t="s">
        <v>262</v>
      </c>
      <c r="E333" s="42">
        <f>F333</f>
        <v>0</v>
      </c>
      <c r="F333" s="43"/>
      <c r="G333" s="43"/>
      <c r="H333" s="43"/>
      <c r="I333" s="43"/>
      <c r="J333" s="42">
        <f t="shared" si="259"/>
        <v>0</v>
      </c>
      <c r="K333" s="43">
        <v>0</v>
      </c>
      <c r="L333" s="43"/>
      <c r="M333" s="43"/>
      <c r="N333" s="43"/>
      <c r="O333" s="44">
        <f>K333</f>
        <v>0</v>
      </c>
      <c r="P333" s="42">
        <f t="shared" si="260"/>
        <v>0</v>
      </c>
      <c r="Q333" s="20"/>
      <c r="R333" s="46"/>
    </row>
    <row r="334" spans="1:18" ht="47.25" hidden="1" thickTop="1" thickBot="1" x14ac:dyDescent="0.25">
      <c r="A334" s="136" t="s">
        <v>988</v>
      </c>
      <c r="B334" s="136" t="s">
        <v>691</v>
      </c>
      <c r="C334" s="136"/>
      <c r="D334" s="136" t="s">
        <v>689</v>
      </c>
      <c r="E334" s="159">
        <f>E335</f>
        <v>0</v>
      </c>
      <c r="F334" s="159">
        <f>F335</f>
        <v>0</v>
      </c>
      <c r="G334" s="159">
        <f>G335</f>
        <v>0</v>
      </c>
      <c r="H334" s="159">
        <f>H335</f>
        <v>0</v>
      </c>
      <c r="I334" s="159">
        <f>I335</f>
        <v>0</v>
      </c>
      <c r="J334" s="159">
        <f t="shared" ref="J334:O334" si="274">J335</f>
        <v>0</v>
      </c>
      <c r="K334" s="159">
        <f t="shared" si="274"/>
        <v>0</v>
      </c>
      <c r="L334" s="159">
        <f t="shared" si="274"/>
        <v>0</v>
      </c>
      <c r="M334" s="159">
        <f t="shared" si="274"/>
        <v>0</v>
      </c>
      <c r="N334" s="159">
        <f t="shared" si="274"/>
        <v>0</v>
      </c>
      <c r="O334" s="159">
        <f t="shared" si="274"/>
        <v>0</v>
      </c>
      <c r="P334" s="159">
        <f>P335</f>
        <v>0</v>
      </c>
      <c r="Q334" s="20"/>
      <c r="R334" s="46"/>
    </row>
    <row r="335" spans="1:18" ht="48" hidden="1" thickTop="1" thickBot="1" x14ac:dyDescent="0.25">
      <c r="A335" s="140" t="s">
        <v>989</v>
      </c>
      <c r="B335" s="140" t="s">
        <v>694</v>
      </c>
      <c r="C335" s="140"/>
      <c r="D335" s="140" t="s">
        <v>797</v>
      </c>
      <c r="E335" s="158">
        <f>E336+E338</f>
        <v>0</v>
      </c>
      <c r="F335" s="158">
        <f t="shared" ref="F335:P335" si="275">F336+F338</f>
        <v>0</v>
      </c>
      <c r="G335" s="158">
        <f t="shared" si="275"/>
        <v>0</v>
      </c>
      <c r="H335" s="158">
        <f t="shared" si="275"/>
        <v>0</v>
      </c>
      <c r="I335" s="158">
        <f t="shared" si="275"/>
        <v>0</v>
      </c>
      <c r="J335" s="158">
        <f t="shared" si="275"/>
        <v>0</v>
      </c>
      <c r="K335" s="158">
        <f t="shared" si="275"/>
        <v>0</v>
      </c>
      <c r="L335" s="158">
        <f t="shared" si="275"/>
        <v>0</v>
      </c>
      <c r="M335" s="158">
        <f t="shared" si="275"/>
        <v>0</v>
      </c>
      <c r="N335" s="158">
        <f t="shared" si="275"/>
        <v>0</v>
      </c>
      <c r="O335" s="158">
        <f t="shared" si="275"/>
        <v>0</v>
      </c>
      <c r="P335" s="158">
        <f t="shared" si="275"/>
        <v>0</v>
      </c>
      <c r="Q335" s="20"/>
      <c r="R335" s="46"/>
    </row>
    <row r="336" spans="1:18" ht="184.5" hidden="1" thickTop="1" thickBot="1" x14ac:dyDescent="0.7">
      <c r="A336" s="793" t="s">
        <v>990</v>
      </c>
      <c r="B336" s="793" t="s">
        <v>338</v>
      </c>
      <c r="C336" s="793" t="s">
        <v>170</v>
      </c>
      <c r="D336" s="163" t="s">
        <v>440</v>
      </c>
      <c r="E336" s="794">
        <f t="shared" ref="E336" si="276">F336</f>
        <v>0</v>
      </c>
      <c r="F336" s="795"/>
      <c r="G336" s="795"/>
      <c r="H336" s="795"/>
      <c r="I336" s="795"/>
      <c r="J336" s="794">
        <f t="shared" ref="J336" si="277">L336+O336</f>
        <v>0</v>
      </c>
      <c r="K336" s="795"/>
      <c r="L336" s="795"/>
      <c r="M336" s="795"/>
      <c r="N336" s="795"/>
      <c r="O336" s="799">
        <f>K336</f>
        <v>0</v>
      </c>
      <c r="P336" s="792">
        <f>E336+J336</f>
        <v>0</v>
      </c>
      <c r="Q336" s="20"/>
      <c r="R336" s="46"/>
    </row>
    <row r="337" spans="1:18" ht="93" hidden="1" thickTop="1" thickBot="1" x14ac:dyDescent="0.25">
      <c r="A337" s="793"/>
      <c r="B337" s="793"/>
      <c r="C337" s="793"/>
      <c r="D337" s="164" t="s">
        <v>441</v>
      </c>
      <c r="E337" s="794"/>
      <c r="F337" s="795"/>
      <c r="G337" s="795"/>
      <c r="H337" s="795"/>
      <c r="I337" s="795"/>
      <c r="J337" s="794"/>
      <c r="K337" s="795"/>
      <c r="L337" s="795"/>
      <c r="M337" s="795"/>
      <c r="N337" s="795"/>
      <c r="O337" s="799"/>
      <c r="P337" s="792"/>
      <c r="Q337" s="20"/>
      <c r="R337" s="46"/>
    </row>
    <row r="338" spans="1:18" ht="48" hidden="1" thickTop="1" thickBot="1" x14ac:dyDescent="0.25">
      <c r="A338" s="128" t="s">
        <v>1193</v>
      </c>
      <c r="B338" s="128" t="s">
        <v>257</v>
      </c>
      <c r="C338" s="128" t="s">
        <v>170</v>
      </c>
      <c r="D338" s="156" t="s">
        <v>255</v>
      </c>
      <c r="E338" s="127">
        <f>F338</f>
        <v>0</v>
      </c>
      <c r="F338" s="134"/>
      <c r="G338" s="134"/>
      <c r="H338" s="134"/>
      <c r="I338" s="134"/>
      <c r="J338" s="127">
        <f t="shared" ref="J338" si="278">L338+O338</f>
        <v>0</v>
      </c>
      <c r="K338" s="134"/>
      <c r="L338" s="134"/>
      <c r="M338" s="134"/>
      <c r="N338" s="134"/>
      <c r="O338" s="132">
        <f>K338</f>
        <v>0</v>
      </c>
      <c r="P338" s="127">
        <f t="shared" ref="P338" si="279">E338+J338</f>
        <v>0</v>
      </c>
      <c r="Q338" s="20"/>
      <c r="R338" s="46"/>
    </row>
    <row r="339" spans="1:18" ht="91.5" thickTop="1" thickBot="1" x14ac:dyDescent="0.25">
      <c r="A339" s="478" t="s">
        <v>160</v>
      </c>
      <c r="B339" s="478"/>
      <c r="C339" s="478"/>
      <c r="D339" s="479" t="s">
        <v>893</v>
      </c>
      <c r="E339" s="502">
        <f>E340</f>
        <v>8209936</v>
      </c>
      <c r="F339" s="480">
        <f t="shared" ref="F339:G339" si="280">F340</f>
        <v>8209936</v>
      </c>
      <c r="G339" s="480">
        <f t="shared" si="280"/>
        <v>6132550</v>
      </c>
      <c r="H339" s="480">
        <f>H340</f>
        <v>245635</v>
      </c>
      <c r="I339" s="480">
        <f t="shared" ref="I339" si="281">I340</f>
        <v>0</v>
      </c>
      <c r="J339" s="502">
        <f>J340</f>
        <v>0</v>
      </c>
      <c r="K339" s="480">
        <f>K340</f>
        <v>0</v>
      </c>
      <c r="L339" s="480">
        <f>L340</f>
        <v>0</v>
      </c>
      <c r="M339" s="480">
        <f t="shared" ref="M339" si="282">M340</f>
        <v>0</v>
      </c>
      <c r="N339" s="480">
        <f>N340</f>
        <v>0</v>
      </c>
      <c r="O339" s="502">
        <f>O340</f>
        <v>0</v>
      </c>
      <c r="P339" s="480">
        <f t="shared" ref="P339" si="283">P340</f>
        <v>8209936</v>
      </c>
      <c r="Q339" s="20"/>
    </row>
    <row r="340" spans="1:18" ht="91.5" thickTop="1" thickBot="1" x14ac:dyDescent="0.25">
      <c r="A340" s="481" t="s">
        <v>161</v>
      </c>
      <c r="B340" s="481"/>
      <c r="C340" s="481"/>
      <c r="D340" s="482" t="s">
        <v>894</v>
      </c>
      <c r="E340" s="483">
        <f>E341+E345</f>
        <v>8209936</v>
      </c>
      <c r="F340" s="483">
        <f>F341+F345</f>
        <v>8209936</v>
      </c>
      <c r="G340" s="483">
        <f>G341+G345</f>
        <v>6132550</v>
      </c>
      <c r="H340" s="483">
        <f>H341+H345</f>
        <v>245635</v>
      </c>
      <c r="I340" s="483">
        <f>I341+I345</f>
        <v>0</v>
      </c>
      <c r="J340" s="483">
        <f>L340+O340</f>
        <v>0</v>
      </c>
      <c r="K340" s="483">
        <f>K341+K345</f>
        <v>0</v>
      </c>
      <c r="L340" s="483">
        <f>L341+L345</f>
        <v>0</v>
      </c>
      <c r="M340" s="483">
        <f>M341+M345</f>
        <v>0</v>
      </c>
      <c r="N340" s="483">
        <f>N341+N345</f>
        <v>0</v>
      </c>
      <c r="O340" s="483">
        <f>O341+O345</f>
        <v>0</v>
      </c>
      <c r="P340" s="483">
        <f>E340+J340</f>
        <v>8209936</v>
      </c>
      <c r="Q340" s="503" t="b">
        <f>P340=P342</f>
        <v>1</v>
      </c>
      <c r="R340" s="46"/>
    </row>
    <row r="341" spans="1:18" ht="47.25" thickTop="1" thickBot="1" x14ac:dyDescent="0.25">
      <c r="A341" s="311" t="s">
        <v>822</v>
      </c>
      <c r="B341" s="311" t="s">
        <v>684</v>
      </c>
      <c r="C341" s="311"/>
      <c r="D341" s="311" t="s">
        <v>685</v>
      </c>
      <c r="E341" s="328">
        <f>SUM(E342:E344)</f>
        <v>8209936</v>
      </c>
      <c r="F341" s="328">
        <f t="shared" ref="F341:N341" si="284">SUM(F342:F344)</f>
        <v>8209936</v>
      </c>
      <c r="G341" s="328">
        <f t="shared" si="284"/>
        <v>6132550</v>
      </c>
      <c r="H341" s="328">
        <f t="shared" si="284"/>
        <v>245635</v>
      </c>
      <c r="I341" s="328">
        <f t="shared" si="284"/>
        <v>0</v>
      </c>
      <c r="J341" s="328">
        <f t="shared" si="284"/>
        <v>0</v>
      </c>
      <c r="K341" s="328">
        <f t="shared" si="284"/>
        <v>0</v>
      </c>
      <c r="L341" s="328">
        <f t="shared" si="284"/>
        <v>0</v>
      </c>
      <c r="M341" s="328">
        <f t="shared" si="284"/>
        <v>0</v>
      </c>
      <c r="N341" s="328">
        <f t="shared" si="284"/>
        <v>0</v>
      </c>
      <c r="O341" s="328">
        <f>SUM(O342:O344)</f>
        <v>0</v>
      </c>
      <c r="P341" s="328">
        <f>SUM(P342:P344)</f>
        <v>8209936</v>
      </c>
      <c r="Q341" s="47"/>
      <c r="R341" s="46"/>
    </row>
    <row r="342" spans="1:18" ht="93" thickTop="1" thickBot="1" x14ac:dyDescent="0.25">
      <c r="A342" s="103" t="s">
        <v>419</v>
      </c>
      <c r="B342" s="103" t="s">
        <v>236</v>
      </c>
      <c r="C342" s="103" t="s">
        <v>234</v>
      </c>
      <c r="D342" s="103" t="s">
        <v>235</v>
      </c>
      <c r="E342" s="328">
        <f>F342</f>
        <v>8209936</v>
      </c>
      <c r="F342" s="462">
        <v>8209936</v>
      </c>
      <c r="G342" s="462">
        <v>6132550</v>
      </c>
      <c r="H342" s="462">
        <v>245635</v>
      </c>
      <c r="I342" s="462"/>
      <c r="J342" s="328">
        <f>L342+O342</f>
        <v>0</v>
      </c>
      <c r="K342" s="462">
        <v>0</v>
      </c>
      <c r="L342" s="462"/>
      <c r="M342" s="462"/>
      <c r="N342" s="462"/>
      <c r="O342" s="459">
        <f>K342</f>
        <v>0</v>
      </c>
      <c r="P342" s="328">
        <f>E342+J342</f>
        <v>8209936</v>
      </c>
      <c r="Q342" s="47"/>
      <c r="R342" s="46"/>
    </row>
    <row r="343" spans="1:18" ht="93" hidden="1" thickTop="1" thickBot="1" x14ac:dyDescent="0.25">
      <c r="A343" s="128" t="s">
        <v>631</v>
      </c>
      <c r="B343" s="128" t="s">
        <v>362</v>
      </c>
      <c r="C343" s="128" t="s">
        <v>625</v>
      </c>
      <c r="D343" s="128" t="s">
        <v>626</v>
      </c>
      <c r="E343" s="152">
        <f>F343</f>
        <v>0</v>
      </c>
      <c r="F343" s="129">
        <v>0</v>
      </c>
      <c r="G343" s="129"/>
      <c r="H343" s="129"/>
      <c r="I343" s="129"/>
      <c r="J343" s="127">
        <f t="shared" ref="J343:J344" si="285">L343+O343</f>
        <v>0</v>
      </c>
      <c r="K343" s="129"/>
      <c r="L343" s="130"/>
      <c r="M343" s="130"/>
      <c r="N343" s="130"/>
      <c r="O343" s="132">
        <f t="shared" ref="O343:O344" si="286">K343</f>
        <v>0</v>
      </c>
      <c r="P343" s="127">
        <f t="shared" ref="P343" si="287">+J343+E343</f>
        <v>0</v>
      </c>
      <c r="Q343" s="47"/>
      <c r="R343" s="46"/>
    </row>
    <row r="344" spans="1:18" ht="48" hidden="1" thickTop="1" thickBot="1" x14ac:dyDescent="0.25">
      <c r="A344" s="128" t="s">
        <v>1260</v>
      </c>
      <c r="B344" s="128" t="s">
        <v>43</v>
      </c>
      <c r="C344" s="128" t="s">
        <v>42</v>
      </c>
      <c r="D344" s="128" t="s">
        <v>248</v>
      </c>
      <c r="E344" s="127">
        <f t="shared" ref="E344" si="288">F344</f>
        <v>0</v>
      </c>
      <c r="F344" s="134">
        <v>0</v>
      </c>
      <c r="G344" s="134"/>
      <c r="H344" s="134"/>
      <c r="I344" s="134"/>
      <c r="J344" s="127">
        <f t="shared" si="285"/>
        <v>0</v>
      </c>
      <c r="K344" s="134"/>
      <c r="L344" s="134"/>
      <c r="M344" s="134"/>
      <c r="N344" s="134"/>
      <c r="O344" s="132">
        <f t="shared" si="286"/>
        <v>0</v>
      </c>
      <c r="P344" s="127">
        <f>E344+J344</f>
        <v>0</v>
      </c>
      <c r="Q344" s="47"/>
      <c r="R344" s="46"/>
    </row>
    <row r="345" spans="1:18" ht="47.25" hidden="1" thickTop="1" thickBot="1" x14ac:dyDescent="0.25">
      <c r="A345" s="125" t="s">
        <v>909</v>
      </c>
      <c r="B345" s="125" t="s">
        <v>748</v>
      </c>
      <c r="C345" s="128"/>
      <c r="D345" s="125" t="s">
        <v>794</v>
      </c>
      <c r="E345" s="127">
        <f>E346</f>
        <v>0</v>
      </c>
      <c r="F345" s="127">
        <f t="shared" ref="F345:P346" si="289">F346</f>
        <v>0</v>
      </c>
      <c r="G345" s="127">
        <f t="shared" si="289"/>
        <v>0</v>
      </c>
      <c r="H345" s="127">
        <f t="shared" si="289"/>
        <v>0</v>
      </c>
      <c r="I345" s="127">
        <f t="shared" si="289"/>
        <v>0</v>
      </c>
      <c r="J345" s="127">
        <f t="shared" si="289"/>
        <v>0</v>
      </c>
      <c r="K345" s="127">
        <f t="shared" si="289"/>
        <v>0</v>
      </c>
      <c r="L345" s="127">
        <f t="shared" si="289"/>
        <v>0</v>
      </c>
      <c r="M345" s="127">
        <f t="shared" si="289"/>
        <v>0</v>
      </c>
      <c r="N345" s="127">
        <f t="shared" si="289"/>
        <v>0</v>
      </c>
      <c r="O345" s="127">
        <f t="shared" si="289"/>
        <v>0</v>
      </c>
      <c r="P345" s="127">
        <f t="shared" si="289"/>
        <v>0</v>
      </c>
      <c r="Q345" s="47"/>
      <c r="R345" s="46"/>
    </row>
    <row r="346" spans="1:18" ht="47.25" hidden="1" thickTop="1" thickBot="1" x14ac:dyDescent="0.25">
      <c r="A346" s="136" t="s">
        <v>910</v>
      </c>
      <c r="B346" s="136" t="s">
        <v>803</v>
      </c>
      <c r="C346" s="136"/>
      <c r="D346" s="136" t="s">
        <v>804</v>
      </c>
      <c r="E346" s="137">
        <f>E347</f>
        <v>0</v>
      </c>
      <c r="F346" s="137">
        <f t="shared" si="289"/>
        <v>0</v>
      </c>
      <c r="G346" s="137">
        <f t="shared" si="289"/>
        <v>0</v>
      </c>
      <c r="H346" s="137">
        <f t="shared" si="289"/>
        <v>0</v>
      </c>
      <c r="I346" s="137">
        <f t="shared" si="289"/>
        <v>0</v>
      </c>
      <c r="J346" s="137">
        <f t="shared" si="289"/>
        <v>0</v>
      </c>
      <c r="K346" s="137">
        <f t="shared" si="289"/>
        <v>0</v>
      </c>
      <c r="L346" s="137">
        <f t="shared" si="289"/>
        <v>0</v>
      </c>
      <c r="M346" s="137">
        <f t="shared" si="289"/>
        <v>0</v>
      </c>
      <c r="N346" s="137">
        <f t="shared" si="289"/>
        <v>0</v>
      </c>
      <c r="O346" s="137">
        <f t="shared" si="289"/>
        <v>0</v>
      </c>
      <c r="P346" s="137">
        <f t="shared" si="289"/>
        <v>0</v>
      </c>
      <c r="Q346" s="47"/>
      <c r="R346" s="46"/>
    </row>
    <row r="347" spans="1:18" ht="93" hidden="1" thickTop="1" thickBot="1" x14ac:dyDescent="0.25">
      <c r="A347" s="128" t="s">
        <v>911</v>
      </c>
      <c r="B347" s="128" t="s">
        <v>912</v>
      </c>
      <c r="C347" s="128" t="s">
        <v>304</v>
      </c>
      <c r="D347" s="128" t="s">
        <v>913</v>
      </c>
      <c r="E347" s="152">
        <f>F347</f>
        <v>0</v>
      </c>
      <c r="F347" s="129"/>
      <c r="G347" s="129"/>
      <c r="H347" s="129"/>
      <c r="I347" s="129"/>
      <c r="J347" s="127">
        <f t="shared" ref="J347" si="290">L347+O347</f>
        <v>0</v>
      </c>
      <c r="K347" s="129">
        <v>0</v>
      </c>
      <c r="L347" s="130"/>
      <c r="M347" s="130"/>
      <c r="N347" s="130"/>
      <c r="O347" s="132">
        <f t="shared" ref="O347" si="291">K347</f>
        <v>0</v>
      </c>
      <c r="P347" s="127">
        <f t="shared" ref="P347" si="292">+J347+E347</f>
        <v>0</v>
      </c>
      <c r="Q347" s="47"/>
      <c r="R347" s="46"/>
    </row>
    <row r="348" spans="1:18" ht="91.5" thickTop="1" thickBot="1" x14ac:dyDescent="0.25">
      <c r="A348" s="478" t="s">
        <v>444</v>
      </c>
      <c r="B348" s="478"/>
      <c r="C348" s="478"/>
      <c r="D348" s="479" t="s">
        <v>446</v>
      </c>
      <c r="E348" s="502">
        <f>E349</f>
        <v>170804882</v>
      </c>
      <c r="F348" s="480">
        <f t="shared" ref="F348:G348" si="293">F349</f>
        <v>170804882</v>
      </c>
      <c r="G348" s="480">
        <f t="shared" si="293"/>
        <v>4332271</v>
      </c>
      <c r="H348" s="480">
        <f>H349</f>
        <v>189628</v>
      </c>
      <c r="I348" s="480">
        <f t="shared" ref="I348" si="294">I349</f>
        <v>0</v>
      </c>
      <c r="J348" s="502">
        <f>J349</f>
        <v>0</v>
      </c>
      <c r="K348" s="480">
        <f>K349</f>
        <v>0</v>
      </c>
      <c r="L348" s="480">
        <f>L349</f>
        <v>0</v>
      </c>
      <c r="M348" s="480">
        <f t="shared" ref="M348" si="295">M349</f>
        <v>0</v>
      </c>
      <c r="N348" s="480">
        <f>N349</f>
        <v>0</v>
      </c>
      <c r="O348" s="502">
        <f>O349</f>
        <v>0</v>
      </c>
      <c r="P348" s="480">
        <f t="shared" ref="P348" si="296">P349</f>
        <v>170804882</v>
      </c>
      <c r="Q348" s="20"/>
    </row>
    <row r="349" spans="1:18" ht="91.5" thickTop="1" thickBot="1" x14ac:dyDescent="0.25">
      <c r="A349" s="481" t="s">
        <v>445</v>
      </c>
      <c r="B349" s="481"/>
      <c r="C349" s="481"/>
      <c r="D349" s="482" t="s">
        <v>447</v>
      </c>
      <c r="E349" s="483">
        <f t="shared" ref="E349:O349" si="297">E350+E353+E362+E365</f>
        <v>170804882</v>
      </c>
      <c r="F349" s="483">
        <f t="shared" si="297"/>
        <v>170804882</v>
      </c>
      <c r="G349" s="483">
        <f t="shared" si="297"/>
        <v>4332271</v>
      </c>
      <c r="H349" s="483">
        <f t="shared" si="297"/>
        <v>189628</v>
      </c>
      <c r="I349" s="483">
        <f t="shared" si="297"/>
        <v>0</v>
      </c>
      <c r="J349" s="483">
        <f t="shared" si="297"/>
        <v>0</v>
      </c>
      <c r="K349" s="483">
        <f t="shared" si="297"/>
        <v>0</v>
      </c>
      <c r="L349" s="483">
        <f t="shared" si="297"/>
        <v>0</v>
      </c>
      <c r="M349" s="483">
        <f t="shared" si="297"/>
        <v>0</v>
      </c>
      <c r="N349" s="483">
        <f t="shared" si="297"/>
        <v>0</v>
      </c>
      <c r="O349" s="483">
        <f t="shared" si="297"/>
        <v>0</v>
      </c>
      <c r="P349" s="483">
        <f>E349+J349</f>
        <v>170804882</v>
      </c>
      <c r="Q349" s="503" t="b">
        <f>P349=P351+P356+P358+P364</f>
        <v>1</v>
      </c>
      <c r="R349" s="46"/>
    </row>
    <row r="350" spans="1:18" ht="47.25" thickTop="1" thickBot="1" x14ac:dyDescent="0.25">
      <c r="A350" s="311" t="s">
        <v>823</v>
      </c>
      <c r="B350" s="311" t="s">
        <v>684</v>
      </c>
      <c r="C350" s="311"/>
      <c r="D350" s="311" t="s">
        <v>685</v>
      </c>
      <c r="E350" s="328">
        <f>SUM(E351:E352)</f>
        <v>9955335</v>
      </c>
      <c r="F350" s="328">
        <f t="shared" ref="F350:P350" si="298">SUM(F351:F352)</f>
        <v>9955335</v>
      </c>
      <c r="G350" s="328">
        <f t="shared" si="298"/>
        <v>4332271</v>
      </c>
      <c r="H350" s="328">
        <f t="shared" si="298"/>
        <v>189628</v>
      </c>
      <c r="I350" s="328">
        <f t="shared" si="298"/>
        <v>0</v>
      </c>
      <c r="J350" s="328">
        <f t="shared" si="298"/>
        <v>0</v>
      </c>
      <c r="K350" s="328">
        <f t="shared" si="298"/>
        <v>0</v>
      </c>
      <c r="L350" s="328">
        <f t="shared" si="298"/>
        <v>0</v>
      </c>
      <c r="M350" s="328">
        <f t="shared" si="298"/>
        <v>0</v>
      </c>
      <c r="N350" s="328">
        <f t="shared" si="298"/>
        <v>0</v>
      </c>
      <c r="O350" s="328">
        <f t="shared" si="298"/>
        <v>0</v>
      </c>
      <c r="P350" s="328">
        <f t="shared" si="298"/>
        <v>9955335</v>
      </c>
      <c r="Q350" s="47"/>
      <c r="R350" s="46"/>
    </row>
    <row r="351" spans="1:18" ht="93" thickTop="1" thickBot="1" x14ac:dyDescent="0.25">
      <c r="A351" s="103" t="s">
        <v>448</v>
      </c>
      <c r="B351" s="103" t="s">
        <v>236</v>
      </c>
      <c r="C351" s="103" t="s">
        <v>234</v>
      </c>
      <c r="D351" s="103" t="s">
        <v>235</v>
      </c>
      <c r="E351" s="328">
        <f>F351</f>
        <v>9955335</v>
      </c>
      <c r="F351" s="462">
        <v>9955335</v>
      </c>
      <c r="G351" s="462">
        <v>4332271</v>
      </c>
      <c r="H351" s="462">
        <v>189628</v>
      </c>
      <c r="I351" s="462"/>
      <c r="J351" s="328">
        <f>L351+O351</f>
        <v>0</v>
      </c>
      <c r="K351" s="462">
        <v>0</v>
      </c>
      <c r="L351" s="462"/>
      <c r="M351" s="462"/>
      <c r="N351" s="462"/>
      <c r="O351" s="459">
        <f>K351</f>
        <v>0</v>
      </c>
      <c r="P351" s="328">
        <f>E351+J351</f>
        <v>9955335</v>
      </c>
      <c r="Q351" s="47"/>
      <c r="R351" s="46"/>
    </row>
    <row r="352" spans="1:18" ht="93" hidden="1" thickTop="1" thickBot="1" x14ac:dyDescent="0.25">
      <c r="A352" s="128" t="s">
        <v>632</v>
      </c>
      <c r="B352" s="128" t="s">
        <v>362</v>
      </c>
      <c r="C352" s="128" t="s">
        <v>625</v>
      </c>
      <c r="D352" s="128" t="s">
        <v>626</v>
      </c>
      <c r="E352" s="127">
        <f>F352</f>
        <v>0</v>
      </c>
      <c r="F352" s="134">
        <v>0</v>
      </c>
      <c r="G352" s="134"/>
      <c r="H352" s="134"/>
      <c r="I352" s="134"/>
      <c r="J352" s="127">
        <f t="shared" ref="J352" si="299">L352+O352</f>
        <v>0</v>
      </c>
      <c r="K352" s="134"/>
      <c r="L352" s="134"/>
      <c r="M352" s="134"/>
      <c r="N352" s="134"/>
      <c r="O352" s="132">
        <f t="shared" ref="O352" si="300">K352</f>
        <v>0</v>
      </c>
      <c r="P352" s="127">
        <f t="shared" ref="P352" si="301">+J352+E352</f>
        <v>0</v>
      </c>
      <c r="Q352" s="47"/>
      <c r="R352" s="46"/>
    </row>
    <row r="353" spans="1:18" ht="47.25" thickTop="1" thickBot="1" x14ac:dyDescent="0.25">
      <c r="A353" s="311" t="s">
        <v>824</v>
      </c>
      <c r="B353" s="311" t="s">
        <v>748</v>
      </c>
      <c r="C353" s="103"/>
      <c r="D353" s="311" t="s">
        <v>794</v>
      </c>
      <c r="E353" s="328">
        <f>E354+E360</f>
        <v>158660533</v>
      </c>
      <c r="F353" s="328">
        <f t="shared" ref="F353:P353" si="302">F354+F360</f>
        <v>158660533</v>
      </c>
      <c r="G353" s="328">
        <f t="shared" si="302"/>
        <v>0</v>
      </c>
      <c r="H353" s="328">
        <f t="shared" si="302"/>
        <v>0</v>
      </c>
      <c r="I353" s="328">
        <f t="shared" si="302"/>
        <v>0</v>
      </c>
      <c r="J353" s="328">
        <f t="shared" si="302"/>
        <v>0</v>
      </c>
      <c r="K353" s="328">
        <f t="shared" si="302"/>
        <v>0</v>
      </c>
      <c r="L353" s="328">
        <f t="shared" si="302"/>
        <v>0</v>
      </c>
      <c r="M353" s="328">
        <f t="shared" si="302"/>
        <v>0</v>
      </c>
      <c r="N353" s="328">
        <f t="shared" si="302"/>
        <v>0</v>
      </c>
      <c r="O353" s="328">
        <f t="shared" si="302"/>
        <v>0</v>
      </c>
      <c r="P353" s="328">
        <f t="shared" si="302"/>
        <v>158660533</v>
      </c>
      <c r="Q353" s="47"/>
      <c r="R353" s="50"/>
    </row>
    <row r="354" spans="1:18" ht="47.25" thickTop="1" thickBot="1" x14ac:dyDescent="0.25">
      <c r="A354" s="313" t="s">
        <v>825</v>
      </c>
      <c r="B354" s="313" t="s">
        <v>806</v>
      </c>
      <c r="C354" s="313"/>
      <c r="D354" s="313" t="s">
        <v>807</v>
      </c>
      <c r="E354" s="315">
        <f>E357+E359+E355</f>
        <v>158660533</v>
      </c>
      <c r="F354" s="315">
        <f t="shared" ref="F354:P354" si="303">F357+F359+F355</f>
        <v>158660533</v>
      </c>
      <c r="G354" s="315">
        <f t="shared" si="303"/>
        <v>0</v>
      </c>
      <c r="H354" s="315">
        <f t="shared" si="303"/>
        <v>0</v>
      </c>
      <c r="I354" s="315">
        <f t="shared" si="303"/>
        <v>0</v>
      </c>
      <c r="J354" s="315">
        <f t="shared" si="303"/>
        <v>0</v>
      </c>
      <c r="K354" s="315">
        <f t="shared" si="303"/>
        <v>0</v>
      </c>
      <c r="L354" s="315">
        <f t="shared" si="303"/>
        <v>0</v>
      </c>
      <c r="M354" s="315">
        <f t="shared" si="303"/>
        <v>0</v>
      </c>
      <c r="N354" s="315">
        <f t="shared" si="303"/>
        <v>0</v>
      </c>
      <c r="O354" s="315">
        <f t="shared" si="303"/>
        <v>0</v>
      </c>
      <c r="P354" s="315">
        <f t="shared" si="303"/>
        <v>158660533</v>
      </c>
      <c r="Q354" s="47"/>
      <c r="R354" s="50"/>
    </row>
    <row r="355" spans="1:18" ht="93" thickTop="1" thickBot="1" x14ac:dyDescent="0.25">
      <c r="A355" s="329" t="s">
        <v>1014</v>
      </c>
      <c r="B355" s="329" t="s">
        <v>1015</v>
      </c>
      <c r="C355" s="329"/>
      <c r="D355" s="329" t="s">
        <v>1013</v>
      </c>
      <c r="E355" s="325">
        <f>E356</f>
        <v>300000</v>
      </c>
      <c r="F355" s="325">
        <f t="shared" ref="F355:P357" si="304">F356</f>
        <v>300000</v>
      </c>
      <c r="G355" s="325">
        <f t="shared" si="304"/>
        <v>0</v>
      </c>
      <c r="H355" s="325">
        <f t="shared" si="304"/>
        <v>0</v>
      </c>
      <c r="I355" s="325">
        <f t="shared" si="304"/>
        <v>0</v>
      </c>
      <c r="J355" s="325">
        <f t="shared" si="304"/>
        <v>0</v>
      </c>
      <c r="K355" s="325">
        <f t="shared" si="304"/>
        <v>0</v>
      </c>
      <c r="L355" s="325">
        <f t="shared" si="304"/>
        <v>0</v>
      </c>
      <c r="M355" s="325">
        <f t="shared" si="304"/>
        <v>0</v>
      </c>
      <c r="N355" s="325">
        <f t="shared" si="304"/>
        <v>0</v>
      </c>
      <c r="O355" s="325">
        <f t="shared" si="304"/>
        <v>0</v>
      </c>
      <c r="P355" s="325">
        <f t="shared" si="304"/>
        <v>300000</v>
      </c>
      <c r="Q355" s="47"/>
      <c r="R355" s="50"/>
    </row>
    <row r="356" spans="1:18" ht="48" thickTop="1" thickBot="1" x14ac:dyDescent="0.25">
      <c r="A356" s="103" t="s">
        <v>467</v>
      </c>
      <c r="B356" s="103" t="s">
        <v>412</v>
      </c>
      <c r="C356" s="103" t="s">
        <v>413</v>
      </c>
      <c r="D356" s="103" t="s">
        <v>414</v>
      </c>
      <c r="E356" s="328">
        <f>F356</f>
        <v>300000</v>
      </c>
      <c r="F356" s="462">
        <v>300000</v>
      </c>
      <c r="G356" s="462"/>
      <c r="H356" s="462"/>
      <c r="I356" s="462"/>
      <c r="J356" s="328">
        <f>L356+O356</f>
        <v>0</v>
      </c>
      <c r="K356" s="462"/>
      <c r="L356" s="462"/>
      <c r="M356" s="462"/>
      <c r="N356" s="462"/>
      <c r="O356" s="459">
        <f>K356</f>
        <v>0</v>
      </c>
      <c r="P356" s="328">
        <f>E356+J356</f>
        <v>300000</v>
      </c>
      <c r="Q356" s="47"/>
      <c r="R356" s="50"/>
    </row>
    <row r="357" spans="1:18" ht="93" thickTop="1" thickBot="1" x14ac:dyDescent="0.25">
      <c r="A357" s="329" t="s">
        <v>826</v>
      </c>
      <c r="B357" s="329" t="s">
        <v>827</v>
      </c>
      <c r="C357" s="329"/>
      <c r="D357" s="329" t="s">
        <v>828</v>
      </c>
      <c r="E357" s="325">
        <f>E358</f>
        <v>158360533</v>
      </c>
      <c r="F357" s="325">
        <f t="shared" si="304"/>
        <v>158360533</v>
      </c>
      <c r="G357" s="325">
        <f t="shared" si="304"/>
        <v>0</v>
      </c>
      <c r="H357" s="325">
        <f t="shared" si="304"/>
        <v>0</v>
      </c>
      <c r="I357" s="325">
        <f t="shared" si="304"/>
        <v>0</v>
      </c>
      <c r="J357" s="325">
        <f t="shared" si="304"/>
        <v>0</v>
      </c>
      <c r="K357" s="325">
        <f t="shared" si="304"/>
        <v>0</v>
      </c>
      <c r="L357" s="325">
        <f t="shared" si="304"/>
        <v>0</v>
      </c>
      <c r="M357" s="325">
        <f t="shared" si="304"/>
        <v>0</v>
      </c>
      <c r="N357" s="325">
        <f t="shared" si="304"/>
        <v>0</v>
      </c>
      <c r="O357" s="325">
        <f t="shared" si="304"/>
        <v>0</v>
      </c>
      <c r="P357" s="325">
        <f t="shared" si="304"/>
        <v>158360533</v>
      </c>
      <c r="Q357" s="47"/>
      <c r="R357" s="50"/>
    </row>
    <row r="358" spans="1:18" ht="48" thickTop="1" thickBot="1" x14ac:dyDescent="0.25">
      <c r="A358" s="103" t="s">
        <v>468</v>
      </c>
      <c r="B358" s="103" t="s">
        <v>291</v>
      </c>
      <c r="C358" s="103" t="s">
        <v>1367</v>
      </c>
      <c r="D358" s="103" t="s">
        <v>292</v>
      </c>
      <c r="E358" s="328">
        <f>F358</f>
        <v>158360533</v>
      </c>
      <c r="F358" s="462">
        <v>158360533</v>
      </c>
      <c r="G358" s="462"/>
      <c r="H358" s="462"/>
      <c r="I358" s="462"/>
      <c r="J358" s="328">
        <f>L358+O358</f>
        <v>0</v>
      </c>
      <c r="K358" s="462"/>
      <c r="L358" s="462"/>
      <c r="M358" s="462"/>
      <c r="N358" s="462"/>
      <c r="O358" s="459">
        <f>K358</f>
        <v>0</v>
      </c>
      <c r="P358" s="328">
        <f>E358+J358</f>
        <v>158360533</v>
      </c>
      <c r="Q358" s="47"/>
      <c r="R358" s="50"/>
    </row>
    <row r="359" spans="1:18" ht="48" hidden="1" thickTop="1" thickBot="1" x14ac:dyDescent="0.25">
      <c r="A359" s="128" t="s">
        <v>1097</v>
      </c>
      <c r="B359" s="128" t="s">
        <v>1098</v>
      </c>
      <c r="C359" s="128" t="s">
        <v>295</v>
      </c>
      <c r="D359" s="128" t="s">
        <v>1096</v>
      </c>
      <c r="E359" s="127">
        <f>F359</f>
        <v>0</v>
      </c>
      <c r="F359" s="134"/>
      <c r="G359" s="134"/>
      <c r="H359" s="134"/>
      <c r="I359" s="134"/>
      <c r="J359" s="127">
        <f>L359+O359</f>
        <v>0</v>
      </c>
      <c r="K359" s="134"/>
      <c r="L359" s="134"/>
      <c r="M359" s="134"/>
      <c r="N359" s="134"/>
      <c r="O359" s="132">
        <f>K359</f>
        <v>0</v>
      </c>
      <c r="P359" s="127">
        <f>E359+J359</f>
        <v>0</v>
      </c>
      <c r="Q359" s="47"/>
      <c r="R359" s="50"/>
    </row>
    <row r="360" spans="1:18" ht="47.25" hidden="1" thickTop="1" thickBot="1" x14ac:dyDescent="0.25">
      <c r="A360" s="136" t="s">
        <v>1173</v>
      </c>
      <c r="B360" s="136" t="s">
        <v>691</v>
      </c>
      <c r="C360" s="136"/>
      <c r="D360" s="136" t="s">
        <v>689</v>
      </c>
      <c r="E360" s="137">
        <f>E361</f>
        <v>0</v>
      </c>
      <c r="F360" s="137">
        <f t="shared" ref="F360:P360" si="305">F361</f>
        <v>0</v>
      </c>
      <c r="G360" s="137">
        <f t="shared" si="305"/>
        <v>0</v>
      </c>
      <c r="H360" s="137">
        <f t="shared" si="305"/>
        <v>0</v>
      </c>
      <c r="I360" s="137">
        <f t="shared" si="305"/>
        <v>0</v>
      </c>
      <c r="J360" s="137">
        <f t="shared" si="305"/>
        <v>0</v>
      </c>
      <c r="K360" s="137">
        <f t="shared" si="305"/>
        <v>0</v>
      </c>
      <c r="L360" s="137">
        <f t="shared" si="305"/>
        <v>0</v>
      </c>
      <c r="M360" s="137">
        <f t="shared" si="305"/>
        <v>0</v>
      </c>
      <c r="N360" s="137">
        <f t="shared" si="305"/>
        <v>0</v>
      </c>
      <c r="O360" s="137">
        <f t="shared" si="305"/>
        <v>0</v>
      </c>
      <c r="P360" s="137">
        <f t="shared" si="305"/>
        <v>0</v>
      </c>
      <c r="Q360" s="47"/>
      <c r="R360" s="50"/>
    </row>
    <row r="361" spans="1:18" ht="48" hidden="1" thickTop="1" thickBot="1" x14ac:dyDescent="0.25">
      <c r="A361" s="128" t="s">
        <v>1174</v>
      </c>
      <c r="B361" s="128" t="s">
        <v>197</v>
      </c>
      <c r="C361" s="128" t="s">
        <v>170</v>
      </c>
      <c r="D361" s="128" t="s">
        <v>1175</v>
      </c>
      <c r="E361" s="127">
        <f>F361</f>
        <v>0</v>
      </c>
      <c r="F361" s="134">
        <v>0</v>
      </c>
      <c r="G361" s="134"/>
      <c r="H361" s="134"/>
      <c r="I361" s="134"/>
      <c r="J361" s="127">
        <f>L361+O361</f>
        <v>0</v>
      </c>
      <c r="K361" s="134">
        <v>0</v>
      </c>
      <c r="L361" s="134"/>
      <c r="M361" s="134"/>
      <c r="N361" s="134"/>
      <c r="O361" s="132">
        <f>K361</f>
        <v>0</v>
      </c>
      <c r="P361" s="127">
        <f>E361+J361</f>
        <v>0</v>
      </c>
      <c r="Q361" s="47"/>
      <c r="R361" s="50"/>
    </row>
    <row r="362" spans="1:18" ht="47.25" thickTop="1" thickBot="1" x14ac:dyDescent="0.25">
      <c r="A362" s="311" t="s">
        <v>1219</v>
      </c>
      <c r="B362" s="311" t="s">
        <v>696</v>
      </c>
      <c r="C362" s="311"/>
      <c r="D362" s="311" t="s">
        <v>697</v>
      </c>
      <c r="E362" s="328">
        <f>E363</f>
        <v>2189014</v>
      </c>
      <c r="F362" s="328">
        <f t="shared" ref="F362:P363" si="306">F363</f>
        <v>2189014</v>
      </c>
      <c r="G362" s="328">
        <f t="shared" si="306"/>
        <v>0</v>
      </c>
      <c r="H362" s="328">
        <f t="shared" si="306"/>
        <v>0</v>
      </c>
      <c r="I362" s="328">
        <f t="shared" si="306"/>
        <v>0</v>
      </c>
      <c r="J362" s="328">
        <f t="shared" si="306"/>
        <v>0</v>
      </c>
      <c r="K362" s="328">
        <f t="shared" si="306"/>
        <v>0</v>
      </c>
      <c r="L362" s="328">
        <f t="shared" si="306"/>
        <v>0</v>
      </c>
      <c r="M362" s="328">
        <f t="shared" si="306"/>
        <v>0</v>
      </c>
      <c r="N362" s="328">
        <f t="shared" si="306"/>
        <v>0</v>
      </c>
      <c r="O362" s="328">
        <f t="shared" si="306"/>
        <v>0</v>
      </c>
      <c r="P362" s="328">
        <f t="shared" si="306"/>
        <v>2189014</v>
      </c>
      <c r="Q362" s="47"/>
      <c r="R362" s="50"/>
    </row>
    <row r="363" spans="1:18" ht="47.25" thickTop="1" thickBot="1" x14ac:dyDescent="0.25">
      <c r="A363" s="313" t="s">
        <v>1220</v>
      </c>
      <c r="B363" s="313" t="s">
        <v>1186</v>
      </c>
      <c r="C363" s="313"/>
      <c r="D363" s="313" t="s">
        <v>1184</v>
      </c>
      <c r="E363" s="315">
        <f>E364</f>
        <v>2189014</v>
      </c>
      <c r="F363" s="315">
        <f>F364</f>
        <v>2189014</v>
      </c>
      <c r="G363" s="315">
        <f t="shared" si="306"/>
        <v>0</v>
      </c>
      <c r="H363" s="315">
        <f t="shared" si="306"/>
        <v>0</v>
      </c>
      <c r="I363" s="315">
        <f t="shared" si="306"/>
        <v>0</v>
      </c>
      <c r="J363" s="315">
        <f t="shared" si="306"/>
        <v>0</v>
      </c>
      <c r="K363" s="315">
        <f t="shared" si="306"/>
        <v>0</v>
      </c>
      <c r="L363" s="315">
        <f t="shared" si="306"/>
        <v>0</v>
      </c>
      <c r="M363" s="315">
        <f t="shared" si="306"/>
        <v>0</v>
      </c>
      <c r="N363" s="315">
        <f t="shared" si="306"/>
        <v>0</v>
      </c>
      <c r="O363" s="315">
        <f t="shared" si="306"/>
        <v>0</v>
      </c>
      <c r="P363" s="315">
        <f>P364</f>
        <v>2189014</v>
      </c>
      <c r="Q363" s="47"/>
      <c r="R363" s="50"/>
    </row>
    <row r="364" spans="1:18" ht="48" thickTop="1" thickBot="1" x14ac:dyDescent="0.25">
      <c r="A364" s="103" t="s">
        <v>1221</v>
      </c>
      <c r="B364" s="103" t="s">
        <v>1222</v>
      </c>
      <c r="C364" s="103" t="s">
        <v>1188</v>
      </c>
      <c r="D364" s="103" t="s">
        <v>1223</v>
      </c>
      <c r="E364" s="328">
        <f>F364</f>
        <v>2189014</v>
      </c>
      <c r="F364" s="462">
        <v>2189014</v>
      </c>
      <c r="G364" s="462"/>
      <c r="H364" s="462"/>
      <c r="I364" s="462"/>
      <c r="J364" s="328">
        <f>L364+O364</f>
        <v>0</v>
      </c>
      <c r="K364" s="462"/>
      <c r="L364" s="462"/>
      <c r="M364" s="462"/>
      <c r="N364" s="462"/>
      <c r="O364" s="459">
        <f>K364</f>
        <v>0</v>
      </c>
      <c r="P364" s="328">
        <f>E364+J364</f>
        <v>2189014</v>
      </c>
      <c r="Q364" s="47"/>
      <c r="R364" s="50"/>
    </row>
    <row r="365" spans="1:18" ht="47.25" hidden="1" thickTop="1" thickBot="1" x14ac:dyDescent="0.25">
      <c r="A365" s="125" t="s">
        <v>1334</v>
      </c>
      <c r="B365" s="125" t="s">
        <v>702</v>
      </c>
      <c r="C365" s="125"/>
      <c r="D365" s="125" t="s">
        <v>703</v>
      </c>
      <c r="E365" s="127">
        <f t="shared" ref="E365:P365" si="307">E366</f>
        <v>0</v>
      </c>
      <c r="F365" s="127">
        <f t="shared" si="307"/>
        <v>0</v>
      </c>
      <c r="G365" s="127">
        <f t="shared" si="307"/>
        <v>0</v>
      </c>
      <c r="H365" s="127">
        <f t="shared" si="307"/>
        <v>0</v>
      </c>
      <c r="I365" s="127">
        <f t="shared" si="307"/>
        <v>0</v>
      </c>
      <c r="J365" s="127">
        <f t="shared" si="307"/>
        <v>0</v>
      </c>
      <c r="K365" s="127">
        <f t="shared" si="307"/>
        <v>0</v>
      </c>
      <c r="L365" s="127">
        <f t="shared" si="307"/>
        <v>0</v>
      </c>
      <c r="M365" s="127">
        <f t="shared" si="307"/>
        <v>0</v>
      </c>
      <c r="N365" s="127">
        <f t="shared" si="307"/>
        <v>0</v>
      </c>
      <c r="O365" s="127">
        <f t="shared" si="307"/>
        <v>0</v>
      </c>
      <c r="P365" s="127">
        <f t="shared" si="307"/>
        <v>0</v>
      </c>
      <c r="Q365" s="47"/>
      <c r="R365" s="50"/>
    </row>
    <row r="366" spans="1:18" ht="91.5" hidden="1" thickTop="1" thickBot="1" x14ac:dyDescent="0.25">
      <c r="A366" s="136" t="s">
        <v>1335</v>
      </c>
      <c r="B366" s="136" t="s">
        <v>514</v>
      </c>
      <c r="C366" s="136" t="s">
        <v>43</v>
      </c>
      <c r="D366" s="136" t="s">
        <v>515</v>
      </c>
      <c r="E366" s="137">
        <f t="shared" ref="E366" si="308">F366</f>
        <v>0</v>
      </c>
      <c r="F366" s="137">
        <v>0</v>
      </c>
      <c r="G366" s="137"/>
      <c r="H366" s="137"/>
      <c r="I366" s="137"/>
      <c r="J366" s="137">
        <f>L366+O366</f>
        <v>0</v>
      </c>
      <c r="K366" s="134"/>
      <c r="L366" s="137"/>
      <c r="M366" s="137"/>
      <c r="N366" s="137"/>
      <c r="O366" s="137">
        <f>(K366+0)</f>
        <v>0</v>
      </c>
      <c r="P366" s="137">
        <f>E366+J366</f>
        <v>0</v>
      </c>
      <c r="Q366" s="47"/>
      <c r="R366" s="50"/>
    </row>
    <row r="367" spans="1:18" ht="46.5" thickTop="1" thickBot="1" x14ac:dyDescent="0.25">
      <c r="A367" s="478" t="s">
        <v>166</v>
      </c>
      <c r="B367" s="478"/>
      <c r="C367" s="478"/>
      <c r="D367" s="479" t="s">
        <v>354</v>
      </c>
      <c r="E367" s="502">
        <f>E368</f>
        <v>10000000</v>
      </c>
      <c r="F367" s="480">
        <f t="shared" ref="F367:G367" si="309">F368</f>
        <v>10000000</v>
      </c>
      <c r="G367" s="480">
        <f t="shared" si="309"/>
        <v>0</v>
      </c>
      <c r="H367" s="480">
        <f>H368</f>
        <v>0</v>
      </c>
      <c r="I367" s="480">
        <f t="shared" ref="I367" si="310">I368</f>
        <v>0</v>
      </c>
      <c r="J367" s="502">
        <f>J368</f>
        <v>800000</v>
      </c>
      <c r="K367" s="480">
        <f>K368</f>
        <v>800000</v>
      </c>
      <c r="L367" s="480">
        <f>L368</f>
        <v>0</v>
      </c>
      <c r="M367" s="480">
        <f t="shared" ref="M367" si="311">M368</f>
        <v>0</v>
      </c>
      <c r="N367" s="480">
        <f>N368</f>
        <v>0</v>
      </c>
      <c r="O367" s="502">
        <f>O368</f>
        <v>800000</v>
      </c>
      <c r="P367" s="480">
        <f t="shared" ref="P367" si="312">P368</f>
        <v>10800000</v>
      </c>
      <c r="Q367" s="20"/>
    </row>
    <row r="368" spans="1:18" ht="91.5" thickTop="1" thickBot="1" x14ac:dyDescent="0.25">
      <c r="A368" s="481" t="s">
        <v>167</v>
      </c>
      <c r="B368" s="481"/>
      <c r="C368" s="481"/>
      <c r="D368" s="482" t="s">
        <v>355</v>
      </c>
      <c r="E368" s="483">
        <f>E371+E383+E380+E369</f>
        <v>10000000</v>
      </c>
      <c r="F368" s="483">
        <f>F371+F383+F380+F369</f>
        <v>10000000</v>
      </c>
      <c r="G368" s="483">
        <f>G371+G383+G380+G369</f>
        <v>0</v>
      </c>
      <c r="H368" s="483">
        <f>H371+H383+H380+H369</f>
        <v>0</v>
      </c>
      <c r="I368" s="483">
        <f>I371+I383+I380+I369</f>
        <v>0</v>
      </c>
      <c r="J368" s="483">
        <f>L368+O368</f>
        <v>800000</v>
      </c>
      <c r="K368" s="483">
        <f>K371+K383+K380+K369</f>
        <v>800000</v>
      </c>
      <c r="L368" s="483">
        <f>L371+L383+L380+L369</f>
        <v>0</v>
      </c>
      <c r="M368" s="483">
        <f>M371+M383+M380+M369</f>
        <v>0</v>
      </c>
      <c r="N368" s="483">
        <f>N371+N383+N380+N369</f>
        <v>0</v>
      </c>
      <c r="O368" s="483">
        <f>O371+O383+O380+O369</f>
        <v>800000</v>
      </c>
      <c r="P368" s="483">
        <f>E368+J368</f>
        <v>10800000</v>
      </c>
      <c r="Q368" s="503" t="b">
        <f>P368=P373+P375+P376+P377+P370+P382</f>
        <v>1</v>
      </c>
      <c r="R368" s="46"/>
    </row>
    <row r="369" spans="1:18" ht="47.25" thickTop="1" thickBot="1" x14ac:dyDescent="0.25">
      <c r="A369" s="311" t="s">
        <v>1308</v>
      </c>
      <c r="B369" s="311" t="s">
        <v>711</v>
      </c>
      <c r="C369" s="311"/>
      <c r="D369" s="311" t="s">
        <v>712</v>
      </c>
      <c r="E369" s="328">
        <f t="shared" ref="E369:P369" si="313">SUM(E370:E370)</f>
        <v>500000</v>
      </c>
      <c r="F369" s="328">
        <f t="shared" si="313"/>
        <v>500000</v>
      </c>
      <c r="G369" s="328">
        <f t="shared" si="313"/>
        <v>0</v>
      </c>
      <c r="H369" s="328">
        <f t="shared" si="313"/>
        <v>0</v>
      </c>
      <c r="I369" s="328">
        <f t="shared" si="313"/>
        <v>0</v>
      </c>
      <c r="J369" s="328">
        <f t="shared" si="313"/>
        <v>350000</v>
      </c>
      <c r="K369" s="328">
        <f t="shared" si="313"/>
        <v>350000</v>
      </c>
      <c r="L369" s="328">
        <f t="shared" si="313"/>
        <v>0</v>
      </c>
      <c r="M369" s="328">
        <f t="shared" si="313"/>
        <v>0</v>
      </c>
      <c r="N369" s="328">
        <f t="shared" si="313"/>
        <v>0</v>
      </c>
      <c r="O369" s="328">
        <f t="shared" si="313"/>
        <v>350000</v>
      </c>
      <c r="P369" s="328">
        <f t="shared" si="313"/>
        <v>850000</v>
      </c>
      <c r="Q369" s="47"/>
      <c r="R369" s="46"/>
    </row>
    <row r="370" spans="1:18" ht="93" thickTop="1" thickBot="1" x14ac:dyDescent="0.25">
      <c r="A370" s="103" t="s">
        <v>1309</v>
      </c>
      <c r="B370" s="103" t="s">
        <v>1200</v>
      </c>
      <c r="C370" s="103" t="s">
        <v>206</v>
      </c>
      <c r="D370" s="470" t="s">
        <v>1201</v>
      </c>
      <c r="E370" s="328">
        <f t="shared" ref="E370" si="314">F370</f>
        <v>500000</v>
      </c>
      <c r="F370" s="462">
        <v>500000</v>
      </c>
      <c r="G370" s="462"/>
      <c r="H370" s="462"/>
      <c r="I370" s="462"/>
      <c r="J370" s="328">
        <f>L370+O370</f>
        <v>350000</v>
      </c>
      <c r="K370" s="462">
        <v>350000</v>
      </c>
      <c r="L370" s="462"/>
      <c r="M370" s="462"/>
      <c r="N370" s="462"/>
      <c r="O370" s="459">
        <f>K370</f>
        <v>350000</v>
      </c>
      <c r="P370" s="328">
        <f>E370+J370</f>
        <v>850000</v>
      </c>
      <c r="Q370" s="47"/>
      <c r="R370" s="46"/>
    </row>
    <row r="371" spans="1:18" ht="44.25" customHeight="1" thickTop="1" thickBot="1" x14ac:dyDescent="0.25">
      <c r="A371" s="311" t="s">
        <v>829</v>
      </c>
      <c r="B371" s="311" t="s">
        <v>748</v>
      </c>
      <c r="C371" s="103"/>
      <c r="D371" s="311" t="s">
        <v>794</v>
      </c>
      <c r="E371" s="587">
        <f t="shared" ref="E371:P371" si="315">E374+E372</f>
        <v>9000000</v>
      </c>
      <c r="F371" s="587">
        <f t="shared" si="315"/>
        <v>9000000</v>
      </c>
      <c r="G371" s="587">
        <f t="shared" si="315"/>
        <v>0</v>
      </c>
      <c r="H371" s="587">
        <f t="shared" si="315"/>
        <v>0</v>
      </c>
      <c r="I371" s="587">
        <f t="shared" si="315"/>
        <v>0</v>
      </c>
      <c r="J371" s="587">
        <f t="shared" si="315"/>
        <v>100000</v>
      </c>
      <c r="K371" s="587">
        <f t="shared" si="315"/>
        <v>100000</v>
      </c>
      <c r="L371" s="587">
        <f t="shared" si="315"/>
        <v>0</v>
      </c>
      <c r="M371" s="587">
        <f t="shared" si="315"/>
        <v>0</v>
      </c>
      <c r="N371" s="587">
        <f t="shared" si="315"/>
        <v>0</v>
      </c>
      <c r="O371" s="587">
        <f t="shared" si="315"/>
        <v>100000</v>
      </c>
      <c r="P371" s="587">
        <f t="shared" si="315"/>
        <v>9100000</v>
      </c>
      <c r="Q371" s="47"/>
      <c r="R371" s="46"/>
    </row>
    <row r="372" spans="1:18" ht="47.25" thickTop="1" thickBot="1" x14ac:dyDescent="0.25">
      <c r="A372" s="313" t="s">
        <v>1011</v>
      </c>
      <c r="B372" s="313" t="s">
        <v>803</v>
      </c>
      <c r="C372" s="313"/>
      <c r="D372" s="313" t="s">
        <v>804</v>
      </c>
      <c r="E372" s="586">
        <f>E373</f>
        <v>50000</v>
      </c>
      <c r="F372" s="586">
        <f>F373</f>
        <v>50000</v>
      </c>
      <c r="G372" s="586">
        <f t="shared" ref="G372:O372" si="316">G373</f>
        <v>0</v>
      </c>
      <c r="H372" s="586">
        <f t="shared" si="316"/>
        <v>0</v>
      </c>
      <c r="I372" s="586">
        <f t="shared" si="316"/>
        <v>0</v>
      </c>
      <c r="J372" s="586">
        <f t="shared" si="316"/>
        <v>0</v>
      </c>
      <c r="K372" s="586">
        <f t="shared" si="316"/>
        <v>0</v>
      </c>
      <c r="L372" s="586">
        <f t="shared" si="316"/>
        <v>0</v>
      </c>
      <c r="M372" s="586">
        <f t="shared" si="316"/>
        <v>0</v>
      </c>
      <c r="N372" s="586">
        <f t="shared" si="316"/>
        <v>0</v>
      </c>
      <c r="O372" s="586">
        <f t="shared" si="316"/>
        <v>0</v>
      </c>
      <c r="P372" s="586">
        <f>P373</f>
        <v>50000</v>
      </c>
      <c r="Q372" s="47"/>
      <c r="R372" s="46"/>
    </row>
    <row r="373" spans="1:18" ht="48" thickTop="1" thickBot="1" x14ac:dyDescent="0.25">
      <c r="A373" s="103" t="s">
        <v>1012</v>
      </c>
      <c r="B373" s="103" t="s">
        <v>350</v>
      </c>
      <c r="C373" s="103" t="s">
        <v>170</v>
      </c>
      <c r="D373" s="103" t="s">
        <v>262</v>
      </c>
      <c r="E373" s="328">
        <f t="shared" ref="E373" si="317">F373</f>
        <v>50000</v>
      </c>
      <c r="F373" s="462">
        <v>50000</v>
      </c>
      <c r="G373" s="462"/>
      <c r="H373" s="462"/>
      <c r="I373" s="462"/>
      <c r="J373" s="328">
        <f t="shared" ref="J373" si="318">L373+O373</f>
        <v>0</v>
      </c>
      <c r="K373" s="462"/>
      <c r="L373" s="462"/>
      <c r="M373" s="462"/>
      <c r="N373" s="462"/>
      <c r="O373" s="459">
        <f>K373</f>
        <v>0</v>
      </c>
      <c r="P373" s="328">
        <f t="shared" ref="P373" si="319">E373+J373</f>
        <v>50000</v>
      </c>
      <c r="Q373" s="47"/>
      <c r="R373" s="46"/>
    </row>
    <row r="374" spans="1:18" ht="47.25" thickTop="1" thickBot="1" x14ac:dyDescent="0.25">
      <c r="A374" s="313" t="s">
        <v>830</v>
      </c>
      <c r="B374" s="313" t="s">
        <v>691</v>
      </c>
      <c r="C374" s="313"/>
      <c r="D374" s="313" t="s">
        <v>689</v>
      </c>
      <c r="E374" s="586">
        <f>SUM(E375:E379)-E378</f>
        <v>8950000</v>
      </c>
      <c r="F374" s="586">
        <f t="shared" ref="F374:P374" si="320">SUM(F375:F379)-F378</f>
        <v>8950000</v>
      </c>
      <c r="G374" s="586">
        <f t="shared" si="320"/>
        <v>0</v>
      </c>
      <c r="H374" s="586">
        <f t="shared" si="320"/>
        <v>0</v>
      </c>
      <c r="I374" s="586">
        <f t="shared" si="320"/>
        <v>0</v>
      </c>
      <c r="J374" s="586">
        <f>SUM(J375:J379)-J378</f>
        <v>100000</v>
      </c>
      <c r="K374" s="586">
        <f t="shared" si="320"/>
        <v>100000</v>
      </c>
      <c r="L374" s="586">
        <f t="shared" si="320"/>
        <v>0</v>
      </c>
      <c r="M374" s="586">
        <f t="shared" si="320"/>
        <v>0</v>
      </c>
      <c r="N374" s="586">
        <f t="shared" si="320"/>
        <v>0</v>
      </c>
      <c r="O374" s="586">
        <f t="shared" si="320"/>
        <v>100000</v>
      </c>
      <c r="P374" s="586">
        <f t="shared" si="320"/>
        <v>9050000</v>
      </c>
      <c r="Q374" s="47"/>
      <c r="R374" s="46"/>
    </row>
    <row r="375" spans="1:18" ht="48" thickTop="1" thickBot="1" x14ac:dyDescent="0.25">
      <c r="A375" s="103" t="s">
        <v>260</v>
      </c>
      <c r="B375" s="103" t="s">
        <v>261</v>
      </c>
      <c r="C375" s="103" t="s">
        <v>259</v>
      </c>
      <c r="D375" s="103" t="s">
        <v>258</v>
      </c>
      <c r="E375" s="328">
        <f t="shared" ref="E375:E379" si="321">F375</f>
        <v>8245000</v>
      </c>
      <c r="F375" s="462">
        <f>(2045000)+6200000</f>
        <v>8245000</v>
      </c>
      <c r="G375" s="462"/>
      <c r="H375" s="462"/>
      <c r="I375" s="462"/>
      <c r="J375" s="328">
        <f t="shared" ref="J375:J379" si="322">L375+O375</f>
        <v>0</v>
      </c>
      <c r="K375" s="462"/>
      <c r="L375" s="462"/>
      <c r="M375" s="462"/>
      <c r="N375" s="462"/>
      <c r="O375" s="459">
        <f>K375</f>
        <v>0</v>
      </c>
      <c r="P375" s="328">
        <f t="shared" ref="P375:P379" si="323">E375+J375</f>
        <v>8245000</v>
      </c>
      <c r="Q375" s="20"/>
      <c r="R375" s="46"/>
    </row>
    <row r="376" spans="1:18" ht="48" thickTop="1" thickBot="1" x14ac:dyDescent="0.25">
      <c r="A376" s="103" t="s">
        <v>252</v>
      </c>
      <c r="B376" s="103" t="s">
        <v>254</v>
      </c>
      <c r="C376" s="103" t="s">
        <v>213</v>
      </c>
      <c r="D376" s="103" t="s">
        <v>253</v>
      </c>
      <c r="E376" s="328">
        <f t="shared" si="321"/>
        <v>505000</v>
      </c>
      <c r="F376" s="462">
        <v>505000</v>
      </c>
      <c r="G376" s="462"/>
      <c r="H376" s="462"/>
      <c r="I376" s="462"/>
      <c r="J376" s="328">
        <f t="shared" si="322"/>
        <v>0</v>
      </c>
      <c r="K376" s="462"/>
      <c r="L376" s="462"/>
      <c r="M376" s="462"/>
      <c r="N376" s="462"/>
      <c r="O376" s="459">
        <f>K376</f>
        <v>0</v>
      </c>
      <c r="P376" s="328">
        <f t="shared" si="323"/>
        <v>505000</v>
      </c>
      <c r="Q376" s="20"/>
      <c r="R376" s="46"/>
    </row>
    <row r="377" spans="1:18" ht="48" thickTop="1" thickBot="1" x14ac:dyDescent="0.25">
      <c r="A377" s="103" t="s">
        <v>1303</v>
      </c>
      <c r="B377" s="103" t="s">
        <v>212</v>
      </c>
      <c r="C377" s="103" t="s">
        <v>213</v>
      </c>
      <c r="D377" s="103" t="s">
        <v>41</v>
      </c>
      <c r="E377" s="328">
        <f t="shared" si="321"/>
        <v>200000</v>
      </c>
      <c r="F377" s="462">
        <v>200000</v>
      </c>
      <c r="G377" s="462"/>
      <c r="H377" s="462"/>
      <c r="I377" s="462"/>
      <c r="J377" s="328">
        <f t="shared" si="322"/>
        <v>100000</v>
      </c>
      <c r="K377" s="462">
        <v>100000</v>
      </c>
      <c r="L377" s="462"/>
      <c r="M377" s="462"/>
      <c r="N377" s="462"/>
      <c r="O377" s="459">
        <f>K377</f>
        <v>100000</v>
      </c>
      <c r="P377" s="328">
        <f t="shared" si="323"/>
        <v>300000</v>
      </c>
      <c r="Q377" s="20"/>
      <c r="R377" s="46"/>
    </row>
    <row r="378" spans="1:18" ht="48" hidden="1" thickTop="1" thickBot="1" x14ac:dyDescent="0.25">
      <c r="A378" s="140" t="s">
        <v>831</v>
      </c>
      <c r="B378" s="140" t="s">
        <v>694</v>
      </c>
      <c r="C378" s="140"/>
      <c r="D378" s="140" t="s">
        <v>692</v>
      </c>
      <c r="E378" s="141">
        <f>E379</f>
        <v>0</v>
      </c>
      <c r="F378" s="141">
        <f t="shared" ref="F378:P378" si="324">F379</f>
        <v>0</v>
      </c>
      <c r="G378" s="141">
        <f t="shared" si="324"/>
        <v>0</v>
      </c>
      <c r="H378" s="141">
        <f t="shared" si="324"/>
        <v>0</v>
      </c>
      <c r="I378" s="141">
        <f t="shared" si="324"/>
        <v>0</v>
      </c>
      <c r="J378" s="141">
        <f t="shared" si="324"/>
        <v>0</v>
      </c>
      <c r="K378" s="141">
        <f t="shared" si="324"/>
        <v>0</v>
      </c>
      <c r="L378" s="141">
        <f t="shared" si="324"/>
        <v>0</v>
      </c>
      <c r="M378" s="141">
        <f t="shared" si="324"/>
        <v>0</v>
      </c>
      <c r="N378" s="141">
        <f t="shared" si="324"/>
        <v>0</v>
      </c>
      <c r="O378" s="141">
        <f t="shared" si="324"/>
        <v>0</v>
      </c>
      <c r="P378" s="141">
        <f t="shared" si="324"/>
        <v>0</v>
      </c>
      <c r="Q378" s="20"/>
      <c r="R378" s="46"/>
    </row>
    <row r="379" spans="1:18" ht="48" hidden="1" thickTop="1" thickBot="1" x14ac:dyDescent="0.25">
      <c r="A379" s="128" t="s">
        <v>256</v>
      </c>
      <c r="B379" s="128" t="s">
        <v>257</v>
      </c>
      <c r="C379" s="128" t="s">
        <v>170</v>
      </c>
      <c r="D379" s="128" t="s">
        <v>255</v>
      </c>
      <c r="E379" s="127">
        <f t="shared" si="321"/>
        <v>0</v>
      </c>
      <c r="F379" s="134"/>
      <c r="G379" s="134"/>
      <c r="H379" s="134"/>
      <c r="I379" s="134"/>
      <c r="J379" s="127">
        <f t="shared" si="322"/>
        <v>0</v>
      </c>
      <c r="K379" s="134"/>
      <c r="L379" s="134"/>
      <c r="M379" s="134"/>
      <c r="N379" s="134"/>
      <c r="O379" s="132">
        <f>K379</f>
        <v>0</v>
      </c>
      <c r="P379" s="127">
        <f t="shared" si="323"/>
        <v>0</v>
      </c>
      <c r="Q379" s="20"/>
      <c r="R379" s="46"/>
    </row>
    <row r="380" spans="1:18" ht="47.25" thickTop="1" thickBot="1" x14ac:dyDescent="0.25">
      <c r="A380" s="311" t="s">
        <v>1305</v>
      </c>
      <c r="B380" s="311" t="s">
        <v>696</v>
      </c>
      <c r="C380" s="311"/>
      <c r="D380" s="311" t="s">
        <v>697</v>
      </c>
      <c r="E380" s="328">
        <f t="shared" ref="E380:P381" si="325">E381</f>
        <v>500000</v>
      </c>
      <c r="F380" s="328">
        <f t="shared" si="325"/>
        <v>500000</v>
      </c>
      <c r="G380" s="328">
        <f t="shared" si="325"/>
        <v>0</v>
      </c>
      <c r="H380" s="328">
        <f t="shared" si="325"/>
        <v>0</v>
      </c>
      <c r="I380" s="328">
        <f t="shared" si="325"/>
        <v>0</v>
      </c>
      <c r="J380" s="328">
        <f t="shared" si="325"/>
        <v>350000</v>
      </c>
      <c r="K380" s="328">
        <f t="shared" si="325"/>
        <v>350000</v>
      </c>
      <c r="L380" s="328">
        <f t="shared" si="325"/>
        <v>0</v>
      </c>
      <c r="M380" s="328">
        <f t="shared" si="325"/>
        <v>0</v>
      </c>
      <c r="N380" s="328">
        <f t="shared" si="325"/>
        <v>0</v>
      </c>
      <c r="O380" s="328">
        <f t="shared" si="325"/>
        <v>350000</v>
      </c>
      <c r="P380" s="328">
        <f t="shared" si="325"/>
        <v>850000</v>
      </c>
      <c r="Q380" s="20"/>
      <c r="R380" s="46"/>
    </row>
    <row r="381" spans="1:18" ht="47.25" thickTop="1" thickBot="1" x14ac:dyDescent="0.25">
      <c r="A381" s="313" t="s">
        <v>1306</v>
      </c>
      <c r="B381" s="313" t="s">
        <v>1186</v>
      </c>
      <c r="C381" s="313"/>
      <c r="D381" s="313" t="s">
        <v>1184</v>
      </c>
      <c r="E381" s="315">
        <f t="shared" si="325"/>
        <v>500000</v>
      </c>
      <c r="F381" s="315">
        <f t="shared" si="325"/>
        <v>500000</v>
      </c>
      <c r="G381" s="315">
        <f t="shared" si="325"/>
        <v>0</v>
      </c>
      <c r="H381" s="315">
        <f t="shared" si="325"/>
        <v>0</v>
      </c>
      <c r="I381" s="315">
        <f t="shared" si="325"/>
        <v>0</v>
      </c>
      <c r="J381" s="315">
        <f t="shared" si="325"/>
        <v>350000</v>
      </c>
      <c r="K381" s="315">
        <f t="shared" si="325"/>
        <v>350000</v>
      </c>
      <c r="L381" s="315">
        <f t="shared" si="325"/>
        <v>0</v>
      </c>
      <c r="M381" s="315">
        <f t="shared" si="325"/>
        <v>0</v>
      </c>
      <c r="N381" s="315">
        <f t="shared" si="325"/>
        <v>0</v>
      </c>
      <c r="O381" s="315">
        <f t="shared" si="325"/>
        <v>350000</v>
      </c>
      <c r="P381" s="315">
        <f t="shared" si="325"/>
        <v>850000</v>
      </c>
      <c r="Q381" s="20"/>
      <c r="R381" s="46"/>
    </row>
    <row r="382" spans="1:18" ht="48" thickTop="1" thickBot="1" x14ac:dyDescent="0.25">
      <c r="A382" s="103" t="s">
        <v>1307</v>
      </c>
      <c r="B382" s="103" t="s">
        <v>1190</v>
      </c>
      <c r="C382" s="103" t="s">
        <v>1188</v>
      </c>
      <c r="D382" s="103" t="s">
        <v>1187</v>
      </c>
      <c r="E382" s="328">
        <f>F382</f>
        <v>500000</v>
      </c>
      <c r="F382" s="462">
        <v>500000</v>
      </c>
      <c r="G382" s="462"/>
      <c r="H382" s="462"/>
      <c r="I382" s="462"/>
      <c r="J382" s="328">
        <f>L382+O382</f>
        <v>350000</v>
      </c>
      <c r="K382" s="462">
        <v>350000</v>
      </c>
      <c r="L382" s="462"/>
      <c r="M382" s="462"/>
      <c r="N382" s="462"/>
      <c r="O382" s="459">
        <f>K382</f>
        <v>350000</v>
      </c>
      <c r="P382" s="328">
        <f>E382+J382</f>
        <v>850000</v>
      </c>
      <c r="Q382" s="20"/>
      <c r="R382" s="46"/>
    </row>
    <row r="383" spans="1:18" ht="47.25" hidden="1" thickTop="1" thickBot="1" x14ac:dyDescent="0.25">
      <c r="A383" s="125" t="s">
        <v>906</v>
      </c>
      <c r="B383" s="125" t="s">
        <v>702</v>
      </c>
      <c r="C383" s="125"/>
      <c r="D383" s="125" t="s">
        <v>703</v>
      </c>
      <c r="E383" s="127">
        <f>E384</f>
        <v>0</v>
      </c>
      <c r="F383" s="127">
        <f t="shared" ref="F383:P384" si="326">F384</f>
        <v>0</v>
      </c>
      <c r="G383" s="127">
        <f t="shared" si="326"/>
        <v>0</v>
      </c>
      <c r="H383" s="127">
        <f t="shared" si="326"/>
        <v>0</v>
      </c>
      <c r="I383" s="127">
        <f t="shared" si="326"/>
        <v>0</v>
      </c>
      <c r="J383" s="127">
        <f t="shared" si="326"/>
        <v>0</v>
      </c>
      <c r="K383" s="127">
        <f t="shared" si="326"/>
        <v>0</v>
      </c>
      <c r="L383" s="127">
        <f t="shared" si="326"/>
        <v>0</v>
      </c>
      <c r="M383" s="127">
        <f t="shared" si="326"/>
        <v>0</v>
      </c>
      <c r="N383" s="127">
        <f t="shared" si="326"/>
        <v>0</v>
      </c>
      <c r="O383" s="127">
        <f t="shared" si="326"/>
        <v>0</v>
      </c>
      <c r="P383" s="127">
        <f t="shared" si="326"/>
        <v>0</v>
      </c>
      <c r="Q383" s="20"/>
      <c r="R383" s="46"/>
    </row>
    <row r="384" spans="1:18" ht="91.5" hidden="1" thickTop="1" thickBot="1" x14ac:dyDescent="0.25">
      <c r="A384" s="136" t="s">
        <v>907</v>
      </c>
      <c r="B384" s="136" t="s">
        <v>705</v>
      </c>
      <c r="C384" s="136"/>
      <c r="D384" s="136" t="s">
        <v>706</v>
      </c>
      <c r="E384" s="137">
        <f>E385</f>
        <v>0</v>
      </c>
      <c r="F384" s="137">
        <f t="shared" si="326"/>
        <v>0</v>
      </c>
      <c r="G384" s="137">
        <f t="shared" si="326"/>
        <v>0</v>
      </c>
      <c r="H384" s="137">
        <f t="shared" si="326"/>
        <v>0</v>
      </c>
      <c r="I384" s="137">
        <f t="shared" si="326"/>
        <v>0</v>
      </c>
      <c r="J384" s="137">
        <f t="shared" si="326"/>
        <v>0</v>
      </c>
      <c r="K384" s="137">
        <f t="shared" si="326"/>
        <v>0</v>
      </c>
      <c r="L384" s="137">
        <f t="shared" si="326"/>
        <v>0</v>
      </c>
      <c r="M384" s="137">
        <f t="shared" si="326"/>
        <v>0</v>
      </c>
      <c r="N384" s="137">
        <f t="shared" si="326"/>
        <v>0</v>
      </c>
      <c r="O384" s="137">
        <f t="shared" si="326"/>
        <v>0</v>
      </c>
      <c r="P384" s="137">
        <f t="shared" si="326"/>
        <v>0</v>
      </c>
      <c r="Q384" s="20"/>
      <c r="R384" s="46"/>
    </row>
    <row r="385" spans="1:18" ht="48" hidden="1" thickTop="1" thickBot="1" x14ac:dyDescent="0.25">
      <c r="A385" s="128" t="s">
        <v>908</v>
      </c>
      <c r="B385" s="128" t="s">
        <v>363</v>
      </c>
      <c r="C385" s="128" t="s">
        <v>43</v>
      </c>
      <c r="D385" s="128" t="s">
        <v>364</v>
      </c>
      <c r="E385" s="127">
        <f t="shared" ref="E385" si="327">F385</f>
        <v>0</v>
      </c>
      <c r="F385" s="134"/>
      <c r="G385" s="134"/>
      <c r="H385" s="134"/>
      <c r="I385" s="134"/>
      <c r="J385" s="127">
        <f>L385+O385</f>
        <v>0</v>
      </c>
      <c r="K385" s="134"/>
      <c r="L385" s="134"/>
      <c r="M385" s="134"/>
      <c r="N385" s="134"/>
      <c r="O385" s="132">
        <f>K385</f>
        <v>0</v>
      </c>
      <c r="P385" s="127">
        <f>E385+J385</f>
        <v>0</v>
      </c>
      <c r="Q385" s="20"/>
      <c r="R385" s="46"/>
    </row>
    <row r="386" spans="1:18" ht="91.5" thickTop="1" thickBot="1" x14ac:dyDescent="0.25">
      <c r="A386" s="478" t="s">
        <v>164</v>
      </c>
      <c r="B386" s="478"/>
      <c r="C386" s="478"/>
      <c r="D386" s="479" t="s">
        <v>887</v>
      </c>
      <c r="E386" s="502">
        <f>E387</f>
        <v>7070528</v>
      </c>
      <c r="F386" s="480">
        <f t="shared" ref="F386:G386" si="328">F387</f>
        <v>7070528</v>
      </c>
      <c r="G386" s="480">
        <f t="shared" si="328"/>
        <v>5498880</v>
      </c>
      <c r="H386" s="480">
        <f>H387</f>
        <v>121573</v>
      </c>
      <c r="I386" s="480">
        <f t="shared" ref="I386" si="329">I387</f>
        <v>0</v>
      </c>
      <c r="J386" s="502">
        <f>J387</f>
        <v>1200000</v>
      </c>
      <c r="K386" s="480">
        <f>K387</f>
        <v>0</v>
      </c>
      <c r="L386" s="480">
        <f>L387</f>
        <v>1200000</v>
      </c>
      <c r="M386" s="480">
        <f t="shared" ref="M386" si="330">M387</f>
        <v>0</v>
      </c>
      <c r="N386" s="480">
        <f>N387</f>
        <v>0</v>
      </c>
      <c r="O386" s="502">
        <f>O387</f>
        <v>0</v>
      </c>
      <c r="P386" s="480">
        <f t="shared" ref="P386" si="331">P387</f>
        <v>8270528</v>
      </c>
      <c r="Q386" s="20"/>
    </row>
    <row r="387" spans="1:18" ht="91.5" thickTop="1" thickBot="1" x14ac:dyDescent="0.25">
      <c r="A387" s="481" t="s">
        <v>165</v>
      </c>
      <c r="B387" s="481"/>
      <c r="C387" s="481"/>
      <c r="D387" s="482" t="s">
        <v>886</v>
      </c>
      <c r="E387" s="483">
        <f>E388+E391+E394</f>
        <v>7070528</v>
      </c>
      <c r="F387" s="483">
        <f t="shared" ref="F387:P387" si="332">F388+F391+F394</f>
        <v>7070528</v>
      </c>
      <c r="G387" s="483">
        <f>G388+G391+G394</f>
        <v>5498880</v>
      </c>
      <c r="H387" s="483">
        <f t="shared" si="332"/>
        <v>121573</v>
      </c>
      <c r="I387" s="483">
        <f t="shared" si="332"/>
        <v>0</v>
      </c>
      <c r="J387" s="483">
        <f>J388+J391+J394</f>
        <v>1200000</v>
      </c>
      <c r="K387" s="483">
        <f t="shared" si="332"/>
        <v>0</v>
      </c>
      <c r="L387" s="483">
        <f>L388+L391+L394</f>
        <v>1200000</v>
      </c>
      <c r="M387" s="483">
        <f t="shared" si="332"/>
        <v>0</v>
      </c>
      <c r="N387" s="483">
        <f t="shared" si="332"/>
        <v>0</v>
      </c>
      <c r="O387" s="483">
        <f t="shared" si="332"/>
        <v>0</v>
      </c>
      <c r="P387" s="483">
        <f t="shared" si="332"/>
        <v>8270528</v>
      </c>
      <c r="Q387" s="503" t="b">
        <f>P387=P389+P393</f>
        <v>1</v>
      </c>
      <c r="R387" s="46"/>
    </row>
    <row r="388" spans="1:18" ht="47.25" thickTop="1" thickBot="1" x14ac:dyDescent="0.25">
      <c r="A388" s="311" t="s">
        <v>832</v>
      </c>
      <c r="B388" s="311" t="s">
        <v>684</v>
      </c>
      <c r="C388" s="311"/>
      <c r="D388" s="311" t="s">
        <v>685</v>
      </c>
      <c r="E388" s="328">
        <f>SUM(E389:E390)</f>
        <v>7070528</v>
      </c>
      <c r="F388" s="328">
        <f t="shared" ref="F388:N388" si="333">SUM(F389:F390)</f>
        <v>7070528</v>
      </c>
      <c r="G388" s="328">
        <f t="shared" si="333"/>
        <v>5498880</v>
      </c>
      <c r="H388" s="328">
        <f t="shared" si="333"/>
        <v>121573</v>
      </c>
      <c r="I388" s="328">
        <f t="shared" si="333"/>
        <v>0</v>
      </c>
      <c r="J388" s="328">
        <f t="shared" si="333"/>
        <v>0</v>
      </c>
      <c r="K388" s="328">
        <f t="shared" si="333"/>
        <v>0</v>
      </c>
      <c r="L388" s="328">
        <f t="shared" si="333"/>
        <v>0</v>
      </c>
      <c r="M388" s="328">
        <f t="shared" si="333"/>
        <v>0</v>
      </c>
      <c r="N388" s="328">
        <f t="shared" si="333"/>
        <v>0</v>
      </c>
      <c r="O388" s="328">
        <f>SUM(O389:O390)</f>
        <v>0</v>
      </c>
      <c r="P388" s="328">
        <f t="shared" ref="P388" si="334">SUM(P389:P390)</f>
        <v>7070528</v>
      </c>
      <c r="Q388" s="47"/>
      <c r="R388" s="46"/>
    </row>
    <row r="389" spans="1:18" ht="93" thickTop="1" thickBot="1" x14ac:dyDescent="0.25">
      <c r="A389" s="103" t="s">
        <v>422</v>
      </c>
      <c r="B389" s="103" t="s">
        <v>236</v>
      </c>
      <c r="C389" s="103" t="s">
        <v>234</v>
      </c>
      <c r="D389" s="103" t="s">
        <v>235</v>
      </c>
      <c r="E389" s="328">
        <f>F389</f>
        <v>7070528</v>
      </c>
      <c r="F389" s="462">
        <v>7070528</v>
      </c>
      <c r="G389" s="462">
        <v>5498880</v>
      </c>
      <c r="H389" s="462">
        <v>121573</v>
      </c>
      <c r="I389" s="462"/>
      <c r="J389" s="328">
        <f t="shared" ref="J389:J393" si="335">L389+O389</f>
        <v>0</v>
      </c>
      <c r="K389" s="462"/>
      <c r="L389" s="462"/>
      <c r="M389" s="462"/>
      <c r="N389" s="462"/>
      <c r="O389" s="459">
        <f>K389</f>
        <v>0</v>
      </c>
      <c r="P389" s="328">
        <f t="shared" ref="P389:P393" si="336">E389+J389</f>
        <v>7070528</v>
      </c>
      <c r="Q389" s="47"/>
      <c r="R389" s="46"/>
    </row>
    <row r="390" spans="1:18" ht="93" hidden="1" thickTop="1" thickBot="1" x14ac:dyDescent="0.25">
      <c r="A390" s="41" t="s">
        <v>633</v>
      </c>
      <c r="B390" s="41" t="s">
        <v>362</v>
      </c>
      <c r="C390" s="41" t="s">
        <v>625</v>
      </c>
      <c r="D390" s="41" t="s">
        <v>626</v>
      </c>
      <c r="E390" s="152">
        <f>F390</f>
        <v>0</v>
      </c>
      <c r="F390" s="129">
        <v>0</v>
      </c>
      <c r="G390" s="129"/>
      <c r="H390" s="129"/>
      <c r="I390" s="129"/>
      <c r="J390" s="127">
        <f t="shared" si="335"/>
        <v>0</v>
      </c>
      <c r="K390" s="129"/>
      <c r="L390" s="130"/>
      <c r="M390" s="130"/>
      <c r="N390" s="130"/>
      <c r="O390" s="132">
        <f t="shared" ref="O390" si="337">K390</f>
        <v>0</v>
      </c>
      <c r="P390" s="127">
        <f t="shared" ref="P390" si="338">+J390+E390</f>
        <v>0</v>
      </c>
      <c r="Q390" s="47"/>
      <c r="R390" s="46"/>
    </row>
    <row r="391" spans="1:18" ht="47.25" thickTop="1" thickBot="1" x14ac:dyDescent="0.25">
      <c r="A391" s="311" t="s">
        <v>833</v>
      </c>
      <c r="B391" s="311" t="s">
        <v>696</v>
      </c>
      <c r="C391" s="311"/>
      <c r="D391" s="311" t="s">
        <v>697</v>
      </c>
      <c r="E391" s="312">
        <f>E392</f>
        <v>0</v>
      </c>
      <c r="F391" s="312">
        <f t="shared" ref="F391:P392" si="339">F392</f>
        <v>0</v>
      </c>
      <c r="G391" s="312">
        <f t="shared" si="339"/>
        <v>0</v>
      </c>
      <c r="H391" s="312">
        <f t="shared" si="339"/>
        <v>0</v>
      </c>
      <c r="I391" s="312">
        <f t="shared" si="339"/>
        <v>0</v>
      </c>
      <c r="J391" s="312">
        <f t="shared" si="339"/>
        <v>1200000</v>
      </c>
      <c r="K391" s="312">
        <f t="shared" si="339"/>
        <v>0</v>
      </c>
      <c r="L391" s="312">
        <f t="shared" si="339"/>
        <v>1200000</v>
      </c>
      <c r="M391" s="312">
        <f t="shared" si="339"/>
        <v>0</v>
      </c>
      <c r="N391" s="312">
        <f t="shared" si="339"/>
        <v>0</v>
      </c>
      <c r="O391" s="312">
        <f t="shared" si="339"/>
        <v>0</v>
      </c>
      <c r="P391" s="312">
        <f t="shared" si="339"/>
        <v>1200000</v>
      </c>
      <c r="Q391" s="47"/>
      <c r="R391" s="46"/>
    </row>
    <row r="392" spans="1:18" ht="47.25" thickTop="1" thickBot="1" x14ac:dyDescent="0.25">
      <c r="A392" s="313" t="s">
        <v>834</v>
      </c>
      <c r="B392" s="313" t="s">
        <v>835</v>
      </c>
      <c r="C392" s="313"/>
      <c r="D392" s="313" t="s">
        <v>836</v>
      </c>
      <c r="E392" s="314">
        <f>E393</f>
        <v>0</v>
      </c>
      <c r="F392" s="314">
        <f t="shared" si="339"/>
        <v>0</v>
      </c>
      <c r="G392" s="314">
        <f t="shared" si="339"/>
        <v>0</v>
      </c>
      <c r="H392" s="314">
        <f t="shared" si="339"/>
        <v>0</v>
      </c>
      <c r="I392" s="314">
        <f t="shared" si="339"/>
        <v>0</v>
      </c>
      <c r="J392" s="314">
        <f t="shared" si="339"/>
        <v>1200000</v>
      </c>
      <c r="K392" s="314">
        <f t="shared" si="339"/>
        <v>0</v>
      </c>
      <c r="L392" s="314">
        <f t="shared" si="339"/>
        <v>1200000</v>
      </c>
      <c r="M392" s="314">
        <f t="shared" si="339"/>
        <v>0</v>
      </c>
      <c r="N392" s="314">
        <f t="shared" si="339"/>
        <v>0</v>
      </c>
      <c r="O392" s="314">
        <f t="shared" si="339"/>
        <v>0</v>
      </c>
      <c r="P392" s="314">
        <f t="shared" si="339"/>
        <v>1200000</v>
      </c>
      <c r="Q392" s="47"/>
      <c r="R392" s="46"/>
    </row>
    <row r="393" spans="1:18" ht="48" thickTop="1" thickBot="1" x14ac:dyDescent="0.25">
      <c r="A393" s="103" t="s">
        <v>1127</v>
      </c>
      <c r="B393" s="103" t="s">
        <v>1128</v>
      </c>
      <c r="C393" s="103" t="s">
        <v>51</v>
      </c>
      <c r="D393" s="103" t="s">
        <v>1129</v>
      </c>
      <c r="E393" s="328">
        <v>0</v>
      </c>
      <c r="F393" s="462"/>
      <c r="G393" s="462"/>
      <c r="H393" s="462"/>
      <c r="I393" s="462"/>
      <c r="J393" s="328">
        <f t="shared" si="335"/>
        <v>1200000</v>
      </c>
      <c r="K393" s="328"/>
      <c r="L393" s="462">
        <f>80000+60000+60000+80000+20000+100000+500000+300000</f>
        <v>1200000</v>
      </c>
      <c r="M393" s="462"/>
      <c r="N393" s="462"/>
      <c r="O393" s="459">
        <f>K393</f>
        <v>0</v>
      </c>
      <c r="P393" s="328">
        <f t="shared" si="336"/>
        <v>1200000</v>
      </c>
      <c r="Q393" s="503" t="b">
        <f>J393='d9'!F20</f>
        <v>1</v>
      </c>
    </row>
    <row r="394" spans="1:18" ht="47.25" hidden="1" thickTop="1" thickBot="1" x14ac:dyDescent="0.25">
      <c r="A394" s="125" t="s">
        <v>1249</v>
      </c>
      <c r="B394" s="125" t="s">
        <v>702</v>
      </c>
      <c r="C394" s="125"/>
      <c r="D394" s="125" t="s">
        <v>703</v>
      </c>
      <c r="E394" s="127">
        <f t="shared" ref="E394:P394" si="340">E395</f>
        <v>0</v>
      </c>
      <c r="F394" s="127">
        <f t="shared" si="340"/>
        <v>0</v>
      </c>
      <c r="G394" s="127">
        <f t="shared" si="340"/>
        <v>0</v>
      </c>
      <c r="H394" s="127">
        <f t="shared" si="340"/>
        <v>0</v>
      </c>
      <c r="I394" s="127">
        <f t="shared" si="340"/>
        <v>0</v>
      </c>
      <c r="J394" s="127">
        <f t="shared" si="340"/>
        <v>0</v>
      </c>
      <c r="K394" s="127">
        <f t="shared" si="340"/>
        <v>0</v>
      </c>
      <c r="L394" s="127">
        <f t="shared" si="340"/>
        <v>0</v>
      </c>
      <c r="M394" s="127">
        <f t="shared" si="340"/>
        <v>0</v>
      </c>
      <c r="N394" s="127">
        <f t="shared" si="340"/>
        <v>0</v>
      </c>
      <c r="O394" s="127">
        <f t="shared" si="340"/>
        <v>0</v>
      </c>
      <c r="P394" s="127">
        <f t="shared" si="340"/>
        <v>0</v>
      </c>
      <c r="Q394" s="47"/>
    </row>
    <row r="395" spans="1:18" ht="91.5" hidden="1" thickTop="1" thickBot="1" x14ac:dyDescent="0.25">
      <c r="A395" s="136" t="s">
        <v>1248</v>
      </c>
      <c r="B395" s="136" t="s">
        <v>514</v>
      </c>
      <c r="C395" s="136" t="s">
        <v>43</v>
      </c>
      <c r="D395" s="136" t="s">
        <v>515</v>
      </c>
      <c r="E395" s="137">
        <f t="shared" ref="E395" si="341">F395</f>
        <v>0</v>
      </c>
      <c r="F395" s="137">
        <v>0</v>
      </c>
      <c r="G395" s="137"/>
      <c r="H395" s="137"/>
      <c r="I395" s="137"/>
      <c r="J395" s="137">
        <f>L395+O395</f>
        <v>0</v>
      </c>
      <c r="K395" s="134">
        <v>0</v>
      </c>
      <c r="L395" s="137"/>
      <c r="M395" s="137"/>
      <c r="N395" s="137"/>
      <c r="O395" s="137">
        <f>(K395+0)</f>
        <v>0</v>
      </c>
      <c r="P395" s="137">
        <f>E395+J395</f>
        <v>0</v>
      </c>
      <c r="Q395" s="47"/>
    </row>
    <row r="396" spans="1:18" ht="91.5" thickTop="1" thickBot="1" x14ac:dyDescent="0.25">
      <c r="A396" s="478" t="s">
        <v>162</v>
      </c>
      <c r="B396" s="478"/>
      <c r="C396" s="478"/>
      <c r="D396" s="479" t="s">
        <v>896</v>
      </c>
      <c r="E396" s="502">
        <f>E397</f>
        <v>10319624</v>
      </c>
      <c r="F396" s="480">
        <f t="shared" ref="F396:G396" si="342">F397</f>
        <v>10319624</v>
      </c>
      <c r="G396" s="480">
        <f t="shared" si="342"/>
        <v>7843804</v>
      </c>
      <c r="H396" s="480">
        <f>H397</f>
        <v>329783</v>
      </c>
      <c r="I396" s="480">
        <f t="shared" ref="I396" si="343">I397</f>
        <v>0</v>
      </c>
      <c r="J396" s="502">
        <f>J397</f>
        <v>15000</v>
      </c>
      <c r="K396" s="480">
        <f>K397</f>
        <v>15000</v>
      </c>
      <c r="L396" s="480">
        <f>L397</f>
        <v>0</v>
      </c>
      <c r="M396" s="480">
        <f t="shared" ref="M396" si="344">M397</f>
        <v>0</v>
      </c>
      <c r="N396" s="480">
        <f>N397</f>
        <v>0</v>
      </c>
      <c r="O396" s="502">
        <f>O397</f>
        <v>15000</v>
      </c>
      <c r="P396" s="480">
        <f t="shared" ref="P396" si="345">P397</f>
        <v>10334624</v>
      </c>
      <c r="Q396" s="20"/>
    </row>
    <row r="397" spans="1:18" ht="91.5" thickTop="1" thickBot="1" x14ac:dyDescent="0.25">
      <c r="A397" s="481" t="s">
        <v>163</v>
      </c>
      <c r="B397" s="481"/>
      <c r="C397" s="481"/>
      <c r="D397" s="482" t="s">
        <v>895</v>
      </c>
      <c r="E397" s="483">
        <f>E398+E400</f>
        <v>10319624</v>
      </c>
      <c r="F397" s="483">
        <f t="shared" ref="F397:I397" si="346">F398+F400</f>
        <v>10319624</v>
      </c>
      <c r="G397" s="483">
        <f t="shared" si="346"/>
        <v>7843804</v>
      </c>
      <c r="H397" s="483">
        <f t="shared" si="346"/>
        <v>329783</v>
      </c>
      <c r="I397" s="483">
        <f t="shared" si="346"/>
        <v>0</v>
      </c>
      <c r="J397" s="483">
        <f>L397+O397</f>
        <v>15000</v>
      </c>
      <c r="K397" s="483">
        <f t="shared" ref="K397:O397" si="347">K398+K400</f>
        <v>15000</v>
      </c>
      <c r="L397" s="483">
        <f t="shared" si="347"/>
        <v>0</v>
      </c>
      <c r="M397" s="483">
        <f t="shared" si="347"/>
        <v>0</v>
      </c>
      <c r="N397" s="483">
        <f t="shared" si="347"/>
        <v>0</v>
      </c>
      <c r="O397" s="483">
        <f t="shared" si="347"/>
        <v>15000</v>
      </c>
      <c r="P397" s="483">
        <f>E397+J397</f>
        <v>10334624</v>
      </c>
      <c r="Q397" s="503" t="b">
        <f>P397=P399+P402+P404</f>
        <v>1</v>
      </c>
      <c r="R397" s="45"/>
    </row>
    <row r="398" spans="1:18" ht="47.25" thickTop="1" thickBot="1" x14ac:dyDescent="0.25">
      <c r="A398" s="311" t="s">
        <v>837</v>
      </c>
      <c r="B398" s="311" t="s">
        <v>684</v>
      </c>
      <c r="C398" s="311"/>
      <c r="D398" s="311" t="s">
        <v>685</v>
      </c>
      <c r="E398" s="328">
        <f>SUM(E399)</f>
        <v>10159624</v>
      </c>
      <c r="F398" s="328">
        <f t="shared" ref="F398:P398" si="348">SUM(F399)</f>
        <v>10159624</v>
      </c>
      <c r="G398" s="328">
        <f t="shared" si="348"/>
        <v>7843804</v>
      </c>
      <c r="H398" s="328">
        <f t="shared" si="348"/>
        <v>329783</v>
      </c>
      <c r="I398" s="328">
        <f t="shared" si="348"/>
        <v>0</v>
      </c>
      <c r="J398" s="328">
        <f t="shared" si="348"/>
        <v>0</v>
      </c>
      <c r="K398" s="328">
        <f t="shared" si="348"/>
        <v>0</v>
      </c>
      <c r="L398" s="328">
        <f t="shared" si="348"/>
        <v>0</v>
      </c>
      <c r="M398" s="328">
        <f t="shared" si="348"/>
        <v>0</v>
      </c>
      <c r="N398" s="328">
        <f t="shared" si="348"/>
        <v>0</v>
      </c>
      <c r="O398" s="328">
        <f t="shared" si="348"/>
        <v>0</v>
      </c>
      <c r="P398" s="328">
        <f t="shared" si="348"/>
        <v>10159624</v>
      </c>
      <c r="Q398" s="47"/>
      <c r="R398" s="45"/>
    </row>
    <row r="399" spans="1:18" ht="93" thickTop="1" thickBot="1" x14ac:dyDescent="0.25">
      <c r="A399" s="103" t="s">
        <v>418</v>
      </c>
      <c r="B399" s="103" t="s">
        <v>236</v>
      </c>
      <c r="C399" s="103" t="s">
        <v>234</v>
      </c>
      <c r="D399" s="103" t="s">
        <v>235</v>
      </c>
      <c r="E399" s="328">
        <f>F399</f>
        <v>10159624</v>
      </c>
      <c r="F399" s="462">
        <v>10159624</v>
      </c>
      <c r="G399" s="462">
        <v>7843804</v>
      </c>
      <c r="H399" s="462">
        <v>329783</v>
      </c>
      <c r="I399" s="462"/>
      <c r="J399" s="328">
        <f>L399+O399</f>
        <v>0</v>
      </c>
      <c r="K399" s="462">
        <v>0</v>
      </c>
      <c r="L399" s="462"/>
      <c r="M399" s="462"/>
      <c r="N399" s="462"/>
      <c r="O399" s="459">
        <f>K399</f>
        <v>0</v>
      </c>
      <c r="P399" s="328">
        <f>E399+J399</f>
        <v>10159624</v>
      </c>
      <c r="Q399" s="20"/>
      <c r="R399" s="45"/>
    </row>
    <row r="400" spans="1:18" ht="47.25" thickTop="1" thickBot="1" x14ac:dyDescent="0.25">
      <c r="A400" s="311" t="s">
        <v>838</v>
      </c>
      <c r="B400" s="311" t="s">
        <v>748</v>
      </c>
      <c r="C400" s="103"/>
      <c r="D400" s="311" t="s">
        <v>794</v>
      </c>
      <c r="E400" s="328">
        <f t="shared" ref="E400:P400" si="349">E401+E403</f>
        <v>160000</v>
      </c>
      <c r="F400" s="328">
        <f t="shared" si="349"/>
        <v>160000</v>
      </c>
      <c r="G400" s="328">
        <f t="shared" si="349"/>
        <v>0</v>
      </c>
      <c r="H400" s="328">
        <f t="shared" si="349"/>
        <v>0</v>
      </c>
      <c r="I400" s="328">
        <f t="shared" si="349"/>
        <v>0</v>
      </c>
      <c r="J400" s="328">
        <f t="shared" si="349"/>
        <v>15000</v>
      </c>
      <c r="K400" s="328">
        <f t="shared" si="349"/>
        <v>15000</v>
      </c>
      <c r="L400" s="328">
        <f t="shared" si="349"/>
        <v>0</v>
      </c>
      <c r="M400" s="328">
        <f t="shared" si="349"/>
        <v>0</v>
      </c>
      <c r="N400" s="328">
        <f t="shared" si="349"/>
        <v>0</v>
      </c>
      <c r="O400" s="328">
        <f t="shared" si="349"/>
        <v>15000</v>
      </c>
      <c r="P400" s="328">
        <f t="shared" si="349"/>
        <v>175000</v>
      </c>
      <c r="Q400" s="20"/>
      <c r="R400" s="47"/>
    </row>
    <row r="401" spans="1:19" ht="47.25" thickTop="1" thickBot="1" x14ac:dyDescent="0.25">
      <c r="A401" s="313" t="s">
        <v>839</v>
      </c>
      <c r="B401" s="313" t="s">
        <v>840</v>
      </c>
      <c r="C401" s="313"/>
      <c r="D401" s="313" t="s">
        <v>841</v>
      </c>
      <c r="E401" s="315">
        <f>SUM(E402)</f>
        <v>160000</v>
      </c>
      <c r="F401" s="315">
        <f t="shared" ref="F401:P401" si="350">SUM(F402)</f>
        <v>160000</v>
      </c>
      <c r="G401" s="315">
        <f t="shared" si="350"/>
        <v>0</v>
      </c>
      <c r="H401" s="315">
        <f t="shared" si="350"/>
        <v>0</v>
      </c>
      <c r="I401" s="315">
        <f t="shared" si="350"/>
        <v>0</v>
      </c>
      <c r="J401" s="315">
        <f t="shared" si="350"/>
        <v>0</v>
      </c>
      <c r="K401" s="315">
        <f t="shared" si="350"/>
        <v>0</v>
      </c>
      <c r="L401" s="315">
        <f t="shared" si="350"/>
        <v>0</v>
      </c>
      <c r="M401" s="315">
        <f t="shared" si="350"/>
        <v>0</v>
      </c>
      <c r="N401" s="315">
        <f t="shared" si="350"/>
        <v>0</v>
      </c>
      <c r="O401" s="315">
        <f t="shared" si="350"/>
        <v>0</v>
      </c>
      <c r="P401" s="315">
        <f t="shared" si="350"/>
        <v>160000</v>
      </c>
      <c r="Q401" s="20"/>
      <c r="R401" s="47"/>
    </row>
    <row r="402" spans="1:19" ht="48" thickTop="1" thickBot="1" x14ac:dyDescent="0.25">
      <c r="A402" s="103" t="s">
        <v>306</v>
      </c>
      <c r="B402" s="103" t="s">
        <v>307</v>
      </c>
      <c r="C402" s="103" t="s">
        <v>308</v>
      </c>
      <c r="D402" s="103" t="s">
        <v>461</v>
      </c>
      <c r="E402" s="328">
        <f>F402</f>
        <v>160000</v>
      </c>
      <c r="F402" s="462">
        <f>(30000)+80000+50000</f>
        <v>160000</v>
      </c>
      <c r="G402" s="462"/>
      <c r="H402" s="462"/>
      <c r="I402" s="462"/>
      <c r="J402" s="328">
        <f>L402+O402</f>
        <v>0</v>
      </c>
      <c r="K402" s="462">
        <f>(30000)-30000</f>
        <v>0</v>
      </c>
      <c r="L402" s="462"/>
      <c r="M402" s="462"/>
      <c r="N402" s="462"/>
      <c r="O402" s="459">
        <f>(K402)</f>
        <v>0</v>
      </c>
      <c r="P402" s="328">
        <f>E402+J402</f>
        <v>160000</v>
      </c>
      <c r="Q402" s="20"/>
      <c r="R402" s="45"/>
    </row>
    <row r="403" spans="1:19" ht="47.25" thickTop="1" thickBot="1" x14ac:dyDescent="0.25">
      <c r="A403" s="313" t="s">
        <v>842</v>
      </c>
      <c r="B403" s="313" t="s">
        <v>691</v>
      </c>
      <c r="C403" s="103"/>
      <c r="D403" s="313" t="s">
        <v>843</v>
      </c>
      <c r="E403" s="315">
        <f>SUM(E404)</f>
        <v>0</v>
      </c>
      <c r="F403" s="315">
        <f t="shared" ref="F403:P403" si="351">SUM(F404)</f>
        <v>0</v>
      </c>
      <c r="G403" s="315">
        <f t="shared" si="351"/>
        <v>0</v>
      </c>
      <c r="H403" s="315">
        <f t="shared" si="351"/>
        <v>0</v>
      </c>
      <c r="I403" s="315">
        <f t="shared" si="351"/>
        <v>0</v>
      </c>
      <c r="J403" s="315">
        <f t="shared" si="351"/>
        <v>15000</v>
      </c>
      <c r="K403" s="315">
        <f t="shared" si="351"/>
        <v>15000</v>
      </c>
      <c r="L403" s="315">
        <f t="shared" si="351"/>
        <v>0</v>
      </c>
      <c r="M403" s="315">
        <f t="shared" si="351"/>
        <v>0</v>
      </c>
      <c r="N403" s="315">
        <f t="shared" si="351"/>
        <v>0</v>
      </c>
      <c r="O403" s="315">
        <f t="shared" si="351"/>
        <v>15000</v>
      </c>
      <c r="P403" s="315">
        <f t="shared" si="351"/>
        <v>15000</v>
      </c>
      <c r="Q403" s="20"/>
    </row>
    <row r="404" spans="1:19" ht="48" thickTop="1" thickBot="1" x14ac:dyDescent="0.25">
      <c r="A404" s="103" t="s">
        <v>368</v>
      </c>
      <c r="B404" s="103" t="s">
        <v>369</v>
      </c>
      <c r="C404" s="103" t="s">
        <v>170</v>
      </c>
      <c r="D404" s="103" t="s">
        <v>370</v>
      </c>
      <c r="E404" s="328">
        <f>F404</f>
        <v>0</v>
      </c>
      <c r="F404" s="462"/>
      <c r="G404" s="462"/>
      <c r="H404" s="462"/>
      <c r="I404" s="462"/>
      <c r="J404" s="328">
        <f>L404+O404</f>
        <v>15000</v>
      </c>
      <c r="K404" s="462">
        <f>(5000)+10000</f>
        <v>15000</v>
      </c>
      <c r="L404" s="462"/>
      <c r="M404" s="462"/>
      <c r="N404" s="462"/>
      <c r="O404" s="459">
        <f>K404</f>
        <v>15000</v>
      </c>
      <c r="P404" s="328">
        <f>E404+J404</f>
        <v>15000</v>
      </c>
      <c r="Q404" s="20"/>
      <c r="R404" s="45"/>
    </row>
    <row r="405" spans="1:19" ht="46.5" thickTop="1" thickBot="1" x14ac:dyDescent="0.25">
      <c r="A405" s="478" t="s">
        <v>168</v>
      </c>
      <c r="B405" s="478"/>
      <c r="C405" s="478"/>
      <c r="D405" s="479" t="s">
        <v>27</v>
      </c>
      <c r="E405" s="502">
        <f>E406</f>
        <v>33294217.780000001</v>
      </c>
      <c r="F405" s="480">
        <f t="shared" ref="F405:G405" si="352">F406</f>
        <v>33294217.780000001</v>
      </c>
      <c r="G405" s="480">
        <f t="shared" si="352"/>
        <v>8214383</v>
      </c>
      <c r="H405" s="480">
        <f>H406</f>
        <v>258373</v>
      </c>
      <c r="I405" s="480">
        <f t="shared" ref="I405" si="353">I406</f>
        <v>0</v>
      </c>
      <c r="J405" s="502">
        <f>J406</f>
        <v>0</v>
      </c>
      <c r="K405" s="480">
        <f>K406</f>
        <v>0</v>
      </c>
      <c r="L405" s="480">
        <f>L406</f>
        <v>0</v>
      </c>
      <c r="M405" s="480">
        <f t="shared" ref="M405" si="354">M406</f>
        <v>0</v>
      </c>
      <c r="N405" s="480">
        <f>N406</f>
        <v>0</v>
      </c>
      <c r="O405" s="502">
        <f>O406</f>
        <v>0</v>
      </c>
      <c r="P405" s="480">
        <f t="shared" ref="P405" si="355">P406</f>
        <v>33294217.780000001</v>
      </c>
      <c r="Q405" s="20"/>
    </row>
    <row r="406" spans="1:19" ht="91.5" thickTop="1" thickBot="1" x14ac:dyDescent="0.25">
      <c r="A406" s="481" t="s">
        <v>169</v>
      </c>
      <c r="B406" s="481"/>
      <c r="C406" s="481"/>
      <c r="D406" s="482" t="s">
        <v>40</v>
      </c>
      <c r="E406" s="483">
        <f>E407+E413+E420+E410</f>
        <v>33294217.780000001</v>
      </c>
      <c r="F406" s="483">
        <f t="shared" ref="F406:P406" si="356">F407+F413+F420+F410</f>
        <v>33294217.780000001</v>
      </c>
      <c r="G406" s="483">
        <f t="shared" si="356"/>
        <v>8214383</v>
      </c>
      <c r="H406" s="483">
        <f t="shared" si="356"/>
        <v>258373</v>
      </c>
      <c r="I406" s="483">
        <f t="shared" si="356"/>
        <v>0</v>
      </c>
      <c r="J406" s="483">
        <f t="shared" si="356"/>
        <v>0</v>
      </c>
      <c r="K406" s="483">
        <f t="shared" si="356"/>
        <v>0</v>
      </c>
      <c r="L406" s="483">
        <f t="shared" si="356"/>
        <v>0</v>
      </c>
      <c r="M406" s="483">
        <f t="shared" si="356"/>
        <v>0</v>
      </c>
      <c r="N406" s="483">
        <f t="shared" si="356"/>
        <v>0</v>
      </c>
      <c r="O406" s="483">
        <f t="shared" si="356"/>
        <v>0</v>
      </c>
      <c r="P406" s="483">
        <f t="shared" si="356"/>
        <v>33294217.780000001</v>
      </c>
      <c r="Q406" s="503" t="b">
        <f>P406=P408+P414+P416</f>
        <v>1</v>
      </c>
      <c r="R406" s="45"/>
    </row>
    <row r="407" spans="1:19" ht="47.25" thickTop="1" thickBot="1" x14ac:dyDescent="0.25">
      <c r="A407" s="311" t="s">
        <v>844</v>
      </c>
      <c r="B407" s="311" t="s">
        <v>684</v>
      </c>
      <c r="C407" s="311"/>
      <c r="D407" s="311" t="s">
        <v>685</v>
      </c>
      <c r="E407" s="328">
        <f>SUM(E408:E409)</f>
        <v>10337342</v>
      </c>
      <c r="F407" s="328">
        <f t="shared" ref="F407:P407" si="357">SUM(F408:F409)</f>
        <v>10337342</v>
      </c>
      <c r="G407" s="328">
        <f t="shared" si="357"/>
        <v>8214383</v>
      </c>
      <c r="H407" s="328">
        <f t="shared" si="357"/>
        <v>258373</v>
      </c>
      <c r="I407" s="328">
        <f t="shared" si="357"/>
        <v>0</v>
      </c>
      <c r="J407" s="328">
        <f t="shared" si="357"/>
        <v>0</v>
      </c>
      <c r="K407" s="328">
        <f t="shared" si="357"/>
        <v>0</v>
      </c>
      <c r="L407" s="328">
        <f t="shared" si="357"/>
        <v>0</v>
      </c>
      <c r="M407" s="328">
        <f t="shared" si="357"/>
        <v>0</v>
      </c>
      <c r="N407" s="328">
        <f t="shared" si="357"/>
        <v>0</v>
      </c>
      <c r="O407" s="328">
        <f t="shared" si="357"/>
        <v>0</v>
      </c>
      <c r="P407" s="328">
        <f t="shared" si="357"/>
        <v>10337342</v>
      </c>
      <c r="Q407" s="47"/>
      <c r="R407" s="50"/>
    </row>
    <row r="408" spans="1:19" ht="93" thickTop="1" thickBot="1" x14ac:dyDescent="0.25">
      <c r="A408" s="103" t="s">
        <v>420</v>
      </c>
      <c r="B408" s="103" t="s">
        <v>236</v>
      </c>
      <c r="C408" s="103" t="s">
        <v>234</v>
      </c>
      <c r="D408" s="103" t="s">
        <v>235</v>
      </c>
      <c r="E408" s="328">
        <f>F408</f>
        <v>10337342</v>
      </c>
      <c r="F408" s="462">
        <v>10337342</v>
      </c>
      <c r="G408" s="462">
        <v>8214383</v>
      </c>
      <c r="H408" s="462">
        <v>258373</v>
      </c>
      <c r="I408" s="462"/>
      <c r="J408" s="328">
        <f>L408+O408</f>
        <v>0</v>
      </c>
      <c r="K408" s="462">
        <v>0</v>
      </c>
      <c r="L408" s="462"/>
      <c r="M408" s="462"/>
      <c r="N408" s="462"/>
      <c r="O408" s="459">
        <f>K408</f>
        <v>0</v>
      </c>
      <c r="P408" s="328">
        <f>E408+J408</f>
        <v>10337342</v>
      </c>
      <c r="Q408" s="47"/>
      <c r="R408" s="50"/>
      <c r="S408" s="47"/>
    </row>
    <row r="409" spans="1:19" ht="93" hidden="1" thickTop="1" thickBot="1" x14ac:dyDescent="0.25">
      <c r="A409" s="128" t="s">
        <v>634</v>
      </c>
      <c r="B409" s="128" t="s">
        <v>362</v>
      </c>
      <c r="C409" s="128" t="s">
        <v>625</v>
      </c>
      <c r="D409" s="128" t="s">
        <v>626</v>
      </c>
      <c r="E409" s="152">
        <f>F409</f>
        <v>0</v>
      </c>
      <c r="F409" s="129"/>
      <c r="G409" s="129"/>
      <c r="H409" s="129"/>
      <c r="I409" s="129"/>
      <c r="J409" s="127">
        <f t="shared" ref="J409" si="358">L409+O409</f>
        <v>0</v>
      </c>
      <c r="K409" s="129"/>
      <c r="L409" s="130"/>
      <c r="M409" s="130"/>
      <c r="N409" s="130"/>
      <c r="O409" s="132">
        <f t="shared" ref="O409" si="359">K409</f>
        <v>0</v>
      </c>
      <c r="P409" s="127">
        <f t="shared" ref="P409" si="360">+J409+E409</f>
        <v>0</v>
      </c>
      <c r="Q409" s="47"/>
      <c r="R409" s="50"/>
    </row>
    <row r="410" spans="1:19" ht="47.25" hidden="1" thickTop="1" thickBot="1" x14ac:dyDescent="0.25">
      <c r="A410" s="136" t="s">
        <v>1204</v>
      </c>
      <c r="B410" s="136" t="s">
        <v>691</v>
      </c>
      <c r="C410" s="136"/>
      <c r="D410" s="136" t="s">
        <v>689</v>
      </c>
      <c r="E410" s="165">
        <f>E411</f>
        <v>0</v>
      </c>
      <c r="F410" s="165">
        <f t="shared" ref="F410:P411" si="361">F411</f>
        <v>0</v>
      </c>
      <c r="G410" s="165">
        <f t="shared" si="361"/>
        <v>0</v>
      </c>
      <c r="H410" s="165">
        <f t="shared" si="361"/>
        <v>0</v>
      </c>
      <c r="I410" s="165">
        <f t="shared" si="361"/>
        <v>0</v>
      </c>
      <c r="J410" s="165">
        <f t="shared" si="361"/>
        <v>0</v>
      </c>
      <c r="K410" s="165">
        <f t="shared" si="361"/>
        <v>0</v>
      </c>
      <c r="L410" s="165">
        <f t="shared" si="361"/>
        <v>0</v>
      </c>
      <c r="M410" s="165">
        <f t="shared" si="361"/>
        <v>0</v>
      </c>
      <c r="N410" s="165">
        <f t="shared" si="361"/>
        <v>0</v>
      </c>
      <c r="O410" s="165">
        <f t="shared" si="361"/>
        <v>0</v>
      </c>
      <c r="P410" s="165">
        <f t="shared" si="361"/>
        <v>0</v>
      </c>
      <c r="Q410" s="47"/>
      <c r="R410" s="50"/>
    </row>
    <row r="411" spans="1:19" ht="48" hidden="1" thickTop="1" thickBot="1" x14ac:dyDescent="0.25">
      <c r="A411" s="140" t="s">
        <v>1205</v>
      </c>
      <c r="B411" s="140" t="s">
        <v>694</v>
      </c>
      <c r="C411" s="140"/>
      <c r="D411" s="140" t="s">
        <v>692</v>
      </c>
      <c r="E411" s="141">
        <f>E412</f>
        <v>0</v>
      </c>
      <c r="F411" s="141">
        <f t="shared" si="361"/>
        <v>0</v>
      </c>
      <c r="G411" s="141">
        <f t="shared" si="361"/>
        <v>0</v>
      </c>
      <c r="H411" s="141">
        <f t="shared" si="361"/>
        <v>0</v>
      </c>
      <c r="I411" s="141">
        <f t="shared" si="361"/>
        <v>0</v>
      </c>
      <c r="J411" s="141">
        <f t="shared" si="361"/>
        <v>0</v>
      </c>
      <c r="K411" s="141">
        <f t="shared" si="361"/>
        <v>0</v>
      </c>
      <c r="L411" s="141">
        <f t="shared" si="361"/>
        <v>0</v>
      </c>
      <c r="M411" s="141">
        <f t="shared" si="361"/>
        <v>0</v>
      </c>
      <c r="N411" s="141">
        <f t="shared" si="361"/>
        <v>0</v>
      </c>
      <c r="O411" s="141">
        <f t="shared" si="361"/>
        <v>0</v>
      </c>
      <c r="P411" s="141">
        <f t="shared" si="361"/>
        <v>0</v>
      </c>
      <c r="Q411" s="47"/>
      <c r="R411" s="50"/>
    </row>
    <row r="412" spans="1:19" ht="48" hidden="1" thickTop="1" thickBot="1" x14ac:dyDescent="0.25">
      <c r="A412" s="128" t="s">
        <v>1206</v>
      </c>
      <c r="B412" s="128" t="s">
        <v>257</v>
      </c>
      <c r="C412" s="128" t="s">
        <v>170</v>
      </c>
      <c r="D412" s="128" t="s">
        <v>255</v>
      </c>
      <c r="E412" s="127">
        <f t="shared" ref="E412" si="362">F412</f>
        <v>0</v>
      </c>
      <c r="F412" s="134"/>
      <c r="G412" s="134"/>
      <c r="H412" s="134"/>
      <c r="I412" s="134"/>
      <c r="J412" s="127">
        <f t="shared" ref="J412" si="363">L412+O412</f>
        <v>0</v>
      </c>
      <c r="K412" s="134"/>
      <c r="L412" s="134"/>
      <c r="M412" s="134"/>
      <c r="N412" s="134"/>
      <c r="O412" s="132">
        <f>K412</f>
        <v>0</v>
      </c>
      <c r="P412" s="127">
        <f t="shared" ref="P412" si="364">E412+J412</f>
        <v>0</v>
      </c>
      <c r="Q412" s="47"/>
      <c r="R412" s="50"/>
    </row>
    <row r="413" spans="1:19" ht="47.25" thickTop="1" thickBot="1" x14ac:dyDescent="0.25">
      <c r="A413" s="311" t="s">
        <v>845</v>
      </c>
      <c r="B413" s="311" t="s">
        <v>696</v>
      </c>
      <c r="C413" s="311"/>
      <c r="D413" s="311" t="s">
        <v>697</v>
      </c>
      <c r="E413" s="312">
        <f t="shared" ref="E413:P413" si="365">E414+E415+E417</f>
        <v>22956875.780000001</v>
      </c>
      <c r="F413" s="312">
        <f t="shared" si="365"/>
        <v>22956875.780000001</v>
      </c>
      <c r="G413" s="312">
        <f t="shared" si="365"/>
        <v>0</v>
      </c>
      <c r="H413" s="312">
        <f t="shared" si="365"/>
        <v>0</v>
      </c>
      <c r="I413" s="312">
        <f t="shared" si="365"/>
        <v>0</v>
      </c>
      <c r="J413" s="312">
        <f t="shared" si="365"/>
        <v>0</v>
      </c>
      <c r="K413" s="312">
        <f t="shared" si="365"/>
        <v>0</v>
      </c>
      <c r="L413" s="312">
        <f t="shared" si="365"/>
        <v>0</v>
      </c>
      <c r="M413" s="312">
        <f t="shared" si="365"/>
        <v>0</v>
      </c>
      <c r="N413" s="312">
        <f t="shared" si="365"/>
        <v>0</v>
      </c>
      <c r="O413" s="312">
        <f t="shared" si="365"/>
        <v>0</v>
      </c>
      <c r="P413" s="312">
        <f t="shared" si="365"/>
        <v>22956875.780000001</v>
      </c>
      <c r="Q413" s="47"/>
      <c r="R413" s="50"/>
    </row>
    <row r="414" spans="1:19" ht="47.25" thickTop="1" thickBot="1" x14ac:dyDescent="0.25">
      <c r="A414" s="526">
        <v>3718600</v>
      </c>
      <c r="B414" s="526">
        <v>8600</v>
      </c>
      <c r="C414" s="313" t="s">
        <v>362</v>
      </c>
      <c r="D414" s="526" t="s">
        <v>452</v>
      </c>
      <c r="E414" s="315">
        <f>F414</f>
        <v>525644</v>
      </c>
      <c r="F414" s="315">
        <v>525644</v>
      </c>
      <c r="G414" s="315"/>
      <c r="H414" s="315"/>
      <c r="I414" s="315"/>
      <c r="J414" s="315">
        <f>L414+O414</f>
        <v>0</v>
      </c>
      <c r="K414" s="315"/>
      <c r="L414" s="315"/>
      <c r="M414" s="315"/>
      <c r="N414" s="315"/>
      <c r="O414" s="527">
        <f>K414</f>
        <v>0</v>
      </c>
      <c r="P414" s="315">
        <f>E414+J414</f>
        <v>525644</v>
      </c>
      <c r="Q414" s="20"/>
    </row>
    <row r="415" spans="1:19" ht="47.25" thickTop="1" thickBot="1" x14ac:dyDescent="0.25">
      <c r="A415" s="526">
        <v>3718700</v>
      </c>
      <c r="B415" s="526">
        <v>8700</v>
      </c>
      <c r="C415" s="313"/>
      <c r="D415" s="526" t="s">
        <v>846</v>
      </c>
      <c r="E415" s="315">
        <f t="shared" ref="E415:P415" si="366">E416</f>
        <v>22431231.780000001</v>
      </c>
      <c r="F415" s="315">
        <f t="shared" si="366"/>
        <v>22431231.780000001</v>
      </c>
      <c r="G415" s="315">
        <f t="shared" si="366"/>
        <v>0</v>
      </c>
      <c r="H415" s="315">
        <f t="shared" si="366"/>
        <v>0</v>
      </c>
      <c r="I415" s="315">
        <f t="shared" si="366"/>
        <v>0</v>
      </c>
      <c r="J415" s="315">
        <f t="shared" si="366"/>
        <v>0</v>
      </c>
      <c r="K415" s="315">
        <f t="shared" si="366"/>
        <v>0</v>
      </c>
      <c r="L415" s="315">
        <f t="shared" si="366"/>
        <v>0</v>
      </c>
      <c r="M415" s="315">
        <f t="shared" si="366"/>
        <v>0</v>
      </c>
      <c r="N415" s="315">
        <f t="shared" si="366"/>
        <v>0</v>
      </c>
      <c r="O415" s="315">
        <f t="shared" si="366"/>
        <v>0</v>
      </c>
      <c r="P415" s="315">
        <f t="shared" si="366"/>
        <v>22431231.780000001</v>
      </c>
      <c r="Q415" s="20"/>
    </row>
    <row r="416" spans="1:19" ht="69" customHeight="1" thickTop="1" thickBot="1" x14ac:dyDescent="0.25">
      <c r="A416" s="330">
        <v>3718710</v>
      </c>
      <c r="B416" s="330">
        <v>8710</v>
      </c>
      <c r="C416" s="103" t="s">
        <v>42</v>
      </c>
      <c r="D416" s="470" t="s">
        <v>640</v>
      </c>
      <c r="E416" s="328">
        <f>F416</f>
        <v>22431231.780000001</v>
      </c>
      <c r="F416" s="462">
        <f>50431231.78-20000000-8000000</f>
        <v>22431231.780000001</v>
      </c>
      <c r="G416" s="462"/>
      <c r="H416" s="462"/>
      <c r="I416" s="462"/>
      <c r="J416" s="328">
        <f>L416+O416</f>
        <v>0</v>
      </c>
      <c r="K416" s="462"/>
      <c r="L416" s="462"/>
      <c r="M416" s="462"/>
      <c r="N416" s="462"/>
      <c r="O416" s="459">
        <f>K416</f>
        <v>0</v>
      </c>
      <c r="P416" s="328">
        <f>E416+J416</f>
        <v>22431231.780000001</v>
      </c>
      <c r="Q416" s="20"/>
    </row>
    <row r="417" spans="1:18" ht="47.25" hidden="1" thickTop="1" thickBot="1" x14ac:dyDescent="0.25">
      <c r="A417" s="166">
        <v>3718800</v>
      </c>
      <c r="B417" s="166">
        <v>8800</v>
      </c>
      <c r="C417" s="136"/>
      <c r="D417" s="166" t="s">
        <v>854</v>
      </c>
      <c r="E417" s="137">
        <f>E418</f>
        <v>0</v>
      </c>
      <c r="F417" s="137">
        <f>F418</f>
        <v>0</v>
      </c>
      <c r="G417" s="137">
        <f t="shared" ref="G417:P418" si="367">G418</f>
        <v>0</v>
      </c>
      <c r="H417" s="137">
        <f t="shared" si="367"/>
        <v>0</v>
      </c>
      <c r="I417" s="137">
        <f t="shared" si="367"/>
        <v>0</v>
      </c>
      <c r="J417" s="137">
        <f t="shared" si="367"/>
        <v>0</v>
      </c>
      <c r="K417" s="137">
        <f t="shared" si="367"/>
        <v>0</v>
      </c>
      <c r="L417" s="137">
        <f t="shared" si="367"/>
        <v>0</v>
      </c>
      <c r="M417" s="137">
        <f t="shared" si="367"/>
        <v>0</v>
      </c>
      <c r="N417" s="137">
        <f t="shared" si="367"/>
        <v>0</v>
      </c>
      <c r="O417" s="137">
        <f t="shared" si="367"/>
        <v>0</v>
      </c>
      <c r="P417" s="137">
        <f t="shared" si="367"/>
        <v>0</v>
      </c>
      <c r="Q417" s="20"/>
    </row>
    <row r="418" spans="1:18" ht="93" hidden="1" thickTop="1" thickBot="1" x14ac:dyDescent="0.25">
      <c r="A418" s="167">
        <v>3718880</v>
      </c>
      <c r="B418" s="167">
        <v>8880</v>
      </c>
      <c r="C418" s="140"/>
      <c r="D418" s="153" t="s">
        <v>1154</v>
      </c>
      <c r="E418" s="141">
        <f>E419</f>
        <v>0</v>
      </c>
      <c r="F418" s="141">
        <f t="shared" ref="F418" si="368">F419</f>
        <v>0</v>
      </c>
      <c r="G418" s="141">
        <f t="shared" si="367"/>
        <v>0</v>
      </c>
      <c r="H418" s="141">
        <f t="shared" si="367"/>
        <v>0</v>
      </c>
      <c r="I418" s="141">
        <f t="shared" si="367"/>
        <v>0</v>
      </c>
      <c r="J418" s="141">
        <f t="shared" si="367"/>
        <v>0</v>
      </c>
      <c r="K418" s="141">
        <f t="shared" si="367"/>
        <v>0</v>
      </c>
      <c r="L418" s="141">
        <f t="shared" si="367"/>
        <v>0</v>
      </c>
      <c r="M418" s="141">
        <f t="shared" si="367"/>
        <v>0</v>
      </c>
      <c r="N418" s="141">
        <f t="shared" si="367"/>
        <v>0</v>
      </c>
      <c r="O418" s="141">
        <f t="shared" si="367"/>
        <v>0</v>
      </c>
      <c r="P418" s="141">
        <f t="shared" si="367"/>
        <v>0</v>
      </c>
      <c r="Q418" s="20"/>
    </row>
    <row r="419" spans="1:18" ht="93" hidden="1" thickTop="1" thickBot="1" x14ac:dyDescent="0.25">
      <c r="A419" s="128">
        <v>3718881</v>
      </c>
      <c r="B419" s="128">
        <v>8881</v>
      </c>
      <c r="C419" s="128" t="s">
        <v>170</v>
      </c>
      <c r="D419" s="128" t="s">
        <v>1155</v>
      </c>
      <c r="E419" s="152">
        <f>F419</f>
        <v>0</v>
      </c>
      <c r="F419" s="129">
        <f>(2500000)-2500000</f>
        <v>0</v>
      </c>
      <c r="G419" s="129"/>
      <c r="H419" s="129"/>
      <c r="I419" s="129"/>
      <c r="J419" s="127">
        <f t="shared" ref="J419" si="369">L419+O419</f>
        <v>0</v>
      </c>
      <c r="K419" s="129"/>
      <c r="L419" s="130"/>
      <c r="M419" s="130"/>
      <c r="N419" s="130"/>
      <c r="O419" s="132">
        <f t="shared" ref="O419" si="370">K419</f>
        <v>0</v>
      </c>
      <c r="P419" s="127">
        <f t="shared" ref="P419" si="371">+J419+E419</f>
        <v>0</v>
      </c>
      <c r="Q419" s="20"/>
    </row>
    <row r="420" spans="1:18" ht="47.25" hidden="1" thickTop="1" thickBot="1" x14ac:dyDescent="0.25">
      <c r="A420" s="125" t="s">
        <v>847</v>
      </c>
      <c r="B420" s="125" t="s">
        <v>702</v>
      </c>
      <c r="C420" s="125"/>
      <c r="D420" s="125" t="s">
        <v>703</v>
      </c>
      <c r="E420" s="127">
        <f>E421</f>
        <v>0</v>
      </c>
      <c r="F420" s="127">
        <f t="shared" ref="F420:P421" si="372">F421</f>
        <v>0</v>
      </c>
      <c r="G420" s="127">
        <f t="shared" si="372"/>
        <v>0</v>
      </c>
      <c r="H420" s="127">
        <f t="shared" si="372"/>
        <v>0</v>
      </c>
      <c r="I420" s="127">
        <f t="shared" si="372"/>
        <v>0</v>
      </c>
      <c r="J420" s="127">
        <f t="shared" si="372"/>
        <v>0</v>
      </c>
      <c r="K420" s="127">
        <f t="shared" si="372"/>
        <v>0</v>
      </c>
      <c r="L420" s="127">
        <f t="shared" si="372"/>
        <v>0</v>
      </c>
      <c r="M420" s="127">
        <f t="shared" si="372"/>
        <v>0</v>
      </c>
      <c r="N420" s="127">
        <f t="shared" si="372"/>
        <v>0</v>
      </c>
      <c r="O420" s="127">
        <f t="shared" si="372"/>
        <v>0</v>
      </c>
      <c r="P420" s="127">
        <f t="shared" si="372"/>
        <v>0</v>
      </c>
      <c r="Q420" s="20"/>
    </row>
    <row r="421" spans="1:18" ht="47.25" hidden="1" thickTop="1" thickBot="1" x14ac:dyDescent="0.25">
      <c r="A421" s="166">
        <v>3719100</v>
      </c>
      <c r="B421" s="136" t="s">
        <v>849</v>
      </c>
      <c r="C421" s="136"/>
      <c r="D421" s="136" t="s">
        <v>848</v>
      </c>
      <c r="E421" s="137">
        <f>E422</f>
        <v>0</v>
      </c>
      <c r="F421" s="137">
        <f t="shared" si="372"/>
        <v>0</v>
      </c>
      <c r="G421" s="137">
        <f t="shared" si="372"/>
        <v>0</v>
      </c>
      <c r="H421" s="137">
        <f t="shared" si="372"/>
        <v>0</v>
      </c>
      <c r="I421" s="137">
        <f t="shared" si="372"/>
        <v>0</v>
      </c>
      <c r="J421" s="137">
        <f t="shared" si="372"/>
        <v>0</v>
      </c>
      <c r="K421" s="137">
        <f t="shared" si="372"/>
        <v>0</v>
      </c>
      <c r="L421" s="137">
        <f t="shared" si="372"/>
        <v>0</v>
      </c>
      <c r="M421" s="137">
        <f t="shared" si="372"/>
        <v>0</v>
      </c>
      <c r="N421" s="137">
        <f t="shared" si="372"/>
        <v>0</v>
      </c>
      <c r="O421" s="137">
        <f t="shared" si="372"/>
        <v>0</v>
      </c>
      <c r="P421" s="137">
        <f t="shared" si="372"/>
        <v>0</v>
      </c>
      <c r="Q421" s="20"/>
    </row>
    <row r="422" spans="1:18" ht="51" hidden="1" customHeight="1" thickTop="1" thickBot="1" x14ac:dyDescent="0.25">
      <c r="A422" s="151">
        <v>3719110</v>
      </c>
      <c r="B422" s="151">
        <v>9110</v>
      </c>
      <c r="C422" s="128" t="s">
        <v>43</v>
      </c>
      <c r="D422" s="402" t="s">
        <v>451</v>
      </c>
      <c r="E422" s="127">
        <f>F422</f>
        <v>0</v>
      </c>
      <c r="F422" s="134">
        <v>0</v>
      </c>
      <c r="G422" s="134"/>
      <c r="H422" s="134"/>
      <c r="I422" s="134"/>
      <c r="J422" s="127">
        <f>L422+O422</f>
        <v>0</v>
      </c>
      <c r="K422" s="134"/>
      <c r="L422" s="134"/>
      <c r="M422" s="134"/>
      <c r="N422" s="134"/>
      <c r="O422" s="132">
        <f>K422</f>
        <v>0</v>
      </c>
      <c r="P422" s="127">
        <f>E422+J422</f>
        <v>0</v>
      </c>
      <c r="Q422" s="20"/>
    </row>
    <row r="423" spans="1:18" ht="111" customHeight="1" thickTop="1" thickBot="1" x14ac:dyDescent="0.25">
      <c r="A423" s="597" t="s">
        <v>381</v>
      </c>
      <c r="B423" s="597" t="s">
        <v>381</v>
      </c>
      <c r="C423" s="597" t="s">
        <v>381</v>
      </c>
      <c r="D423" s="597" t="s">
        <v>391</v>
      </c>
      <c r="E423" s="596">
        <f t="shared" ref="E423:P423" si="373">E16+E45+E216+E105+E135+E195++E315+E340+E406+E368+E387+E397+E349+E280+E252</f>
        <v>3938453417.1699996</v>
      </c>
      <c r="F423" s="596">
        <f t="shared" si="373"/>
        <v>3938453417.1699996</v>
      </c>
      <c r="G423" s="596">
        <f t="shared" si="373"/>
        <v>1924045079.3899999</v>
      </c>
      <c r="H423" s="596">
        <f t="shared" si="373"/>
        <v>197083761.78</v>
      </c>
      <c r="I423" s="596">
        <f t="shared" si="373"/>
        <v>0</v>
      </c>
      <c r="J423" s="596">
        <f t="shared" si="373"/>
        <v>746487976.20000005</v>
      </c>
      <c r="K423" s="596">
        <f t="shared" si="373"/>
        <v>510258335.05000001</v>
      </c>
      <c r="L423" s="596">
        <f t="shared" si="373"/>
        <v>230925959.15000001</v>
      </c>
      <c r="M423" s="596">
        <f t="shared" si="373"/>
        <v>65285830</v>
      </c>
      <c r="N423" s="596">
        <f t="shared" si="373"/>
        <v>18851671</v>
      </c>
      <c r="O423" s="596">
        <f t="shared" si="373"/>
        <v>515562017.05000001</v>
      </c>
      <c r="P423" s="596">
        <f t="shared" si="373"/>
        <v>4684941393.3699999</v>
      </c>
      <c r="Q423" s="79" t="b">
        <f>P423=J423+E423</f>
        <v>1</v>
      </c>
    </row>
    <row r="424" spans="1:18" ht="46.5" thickTop="1" x14ac:dyDescent="0.2">
      <c r="A424" s="819" t="s">
        <v>1520</v>
      </c>
      <c r="B424" s="820"/>
      <c r="C424" s="820"/>
      <c r="D424" s="820"/>
      <c r="E424" s="820"/>
      <c r="F424" s="820"/>
      <c r="G424" s="820"/>
      <c r="H424" s="820"/>
      <c r="I424" s="820"/>
      <c r="J424" s="820"/>
      <c r="K424" s="820"/>
      <c r="L424" s="820"/>
      <c r="M424" s="820"/>
      <c r="N424" s="820"/>
      <c r="O424" s="820"/>
      <c r="P424" s="820"/>
      <c r="Q424" s="56"/>
    </row>
    <row r="425" spans="1:18" ht="60.75" hidden="1" x14ac:dyDescent="0.2">
      <c r="A425" s="15"/>
      <c r="B425" s="16"/>
      <c r="C425" s="16"/>
      <c r="D425" s="16"/>
      <c r="E425" s="550">
        <f>F425</f>
        <v>3938453417.1699996</v>
      </c>
      <c r="F425" s="550">
        <f>(3716414441.2)+222038975.97</f>
        <v>3938453417.1699996</v>
      </c>
      <c r="G425" s="550">
        <f>(95820900+1446614253+3269881+127110999+52092425+53854513+94248348+1953964)+45702476.39+3377320</f>
        <v>1924045079.3900001</v>
      </c>
      <c r="H425" s="550">
        <f>(6241293+170645348+208800+8158262+4493410+2946945+4237921+58880)+92902.78</f>
        <v>197083761.78</v>
      </c>
      <c r="I425" s="550">
        <v>0</v>
      </c>
      <c r="J425" s="550">
        <f>(480219450.8+'d2'!E42-'d4'!O29)+268859015.4</f>
        <v>746487976.20000005</v>
      </c>
      <c r="K425" s="550">
        <f>(480219450.8+'d2'!F42-'d4'!P29-1200000-5215800-229145152)+268859015.4-4737.15-663952</f>
        <v>510258335.05000001</v>
      </c>
      <c r="L425" s="550">
        <f>((2604400+176000+570000+1000000)+206347210+6239260+10895910+1888442+1200000)+4737.15</f>
        <v>230925959.15000001</v>
      </c>
      <c r="M425" s="550">
        <f>53944610+2604685+8032370+704165</f>
        <v>65285830</v>
      </c>
      <c r="N425" s="550">
        <f>17336870+705805+284620+524376</f>
        <v>18851671</v>
      </c>
      <c r="O425" s="550">
        <f>(480219450.8+'d2'!F42-'d4'!O29-1200000-5215800-229145152+865400+3487390+24000+237940+25000)+268859015.4-4737.15</f>
        <v>515562017.05000001</v>
      </c>
      <c r="P425" s="550">
        <f>(4196633892+'d2'!C46-'d4'!Q29)+490897991.37</f>
        <v>4684941393.3699999</v>
      </c>
      <c r="Q425" s="79" t="b">
        <f>E425+J425=P425</f>
        <v>1</v>
      </c>
      <c r="R425" s="56"/>
    </row>
    <row r="426" spans="1:18" ht="45.75" hidden="1" x14ac:dyDescent="0.65">
      <c r="A426" s="15"/>
      <c r="B426" s="16"/>
      <c r="C426" s="16"/>
      <c r="D426" s="551" t="s">
        <v>1480</v>
      </c>
      <c r="E426" s="319"/>
      <c r="F426" s="319"/>
      <c r="G426" s="2"/>
      <c r="H426" s="3"/>
      <c r="I426" s="2"/>
      <c r="J426" s="3"/>
      <c r="K426" s="2" t="s">
        <v>1481</v>
      </c>
      <c r="L426" s="2"/>
      <c r="M426" s="2"/>
      <c r="N426" s="2"/>
      <c r="O426" s="2"/>
      <c r="P426" s="2"/>
      <c r="Q426" s="56"/>
    </row>
    <row r="427" spans="1:18" ht="45.75" x14ac:dyDescent="0.65">
      <c r="A427" s="168"/>
      <c r="B427" s="169"/>
      <c r="C427" s="169"/>
      <c r="D427" s="3" t="s">
        <v>1445</v>
      </c>
      <c r="E427" s="319"/>
      <c r="F427" s="319"/>
      <c r="G427" s="2"/>
      <c r="H427" s="3"/>
      <c r="I427" s="2"/>
      <c r="J427" s="3"/>
      <c r="K427" s="3" t="s">
        <v>1446</v>
      </c>
      <c r="L427" s="202"/>
      <c r="M427" s="202"/>
      <c r="N427" s="202"/>
      <c r="O427" s="202"/>
      <c r="P427" s="202"/>
      <c r="Q427" s="56"/>
    </row>
    <row r="428" spans="1:18" ht="26.25" customHeight="1" x14ac:dyDescent="0.65">
      <c r="A428" s="15"/>
      <c r="B428" s="16"/>
      <c r="C428" s="16"/>
      <c r="D428" s="798"/>
      <c r="E428" s="798"/>
      <c r="F428" s="798"/>
      <c r="G428" s="798"/>
      <c r="H428" s="798"/>
      <c r="I428" s="798"/>
      <c r="J428" s="798"/>
      <c r="K428" s="798"/>
      <c r="L428" s="798"/>
      <c r="M428" s="798"/>
      <c r="N428" s="798"/>
      <c r="O428" s="798"/>
      <c r="P428" s="798"/>
      <c r="Q428" s="83"/>
    </row>
    <row r="429" spans="1:18" ht="50.25" customHeight="1" thickBot="1" x14ac:dyDescent="0.7">
      <c r="A429" s="15"/>
      <c r="B429" s="16"/>
      <c r="C429" s="16"/>
      <c r="D429" s="769" t="s">
        <v>523</v>
      </c>
      <c r="E429" s="770"/>
      <c r="F429" s="770"/>
      <c r="G429" s="361"/>
      <c r="H429" s="361"/>
      <c r="I429" s="2"/>
      <c r="J429" s="2"/>
      <c r="K429" s="3" t="s">
        <v>1346</v>
      </c>
      <c r="L429" s="2"/>
      <c r="M429" s="2"/>
      <c r="N429" s="2"/>
      <c r="O429" s="2"/>
      <c r="P429" s="2"/>
      <c r="Q429" s="83"/>
    </row>
    <row r="430" spans="1:18" ht="47.25" thickTop="1" thickBot="1" x14ac:dyDescent="0.7">
      <c r="A430" s="19"/>
      <c r="B430" s="19"/>
      <c r="C430" s="19"/>
      <c r="D430" s="821"/>
      <c r="E430" s="821"/>
      <c r="F430" s="821"/>
      <c r="G430" s="821"/>
      <c r="H430" s="821"/>
      <c r="I430" s="821"/>
      <c r="J430" s="821"/>
      <c r="K430" s="821"/>
      <c r="L430" s="821"/>
      <c r="M430" s="821"/>
      <c r="N430" s="821"/>
      <c r="O430" s="821"/>
      <c r="P430" s="821"/>
      <c r="Q430" s="84"/>
    </row>
    <row r="431" spans="1:18" ht="95.25" customHeight="1" thickTop="1" x14ac:dyDescent="0.55000000000000004">
      <c r="G431" s="58"/>
      <c r="H431" s="58"/>
      <c r="I431" s="92"/>
      <c r="J431" s="93"/>
      <c r="K431" s="93"/>
      <c r="L431" s="92"/>
      <c r="M431" s="92"/>
      <c r="N431" s="92"/>
      <c r="O431" s="92"/>
      <c r="P431" s="93"/>
      <c r="Q431" s="82"/>
    </row>
    <row r="432" spans="1:18" x14ac:dyDescent="0.2">
      <c r="E432" s="59"/>
      <c r="F432" s="60"/>
      <c r="G432" s="58"/>
      <c r="H432" s="58"/>
      <c r="I432" s="92"/>
      <c r="J432" s="94"/>
      <c r="K432" s="94"/>
      <c r="L432" s="92"/>
      <c r="M432" s="92"/>
      <c r="N432" s="92"/>
      <c r="O432" s="92"/>
      <c r="P432" s="93"/>
    </row>
    <row r="433" spans="1:18" x14ac:dyDescent="0.2">
      <c r="E433" s="59"/>
      <c r="F433" s="60"/>
      <c r="G433" s="58"/>
      <c r="H433" s="58"/>
      <c r="I433" s="92"/>
      <c r="J433" s="94"/>
      <c r="K433" s="94"/>
      <c r="L433" s="92"/>
      <c r="M433" s="92"/>
      <c r="N433" s="92"/>
      <c r="O433" s="92"/>
      <c r="P433" s="93"/>
    </row>
    <row r="434" spans="1:18" ht="60.75" x14ac:dyDescent="0.2">
      <c r="E434" s="79" t="b">
        <f>E425=E423</f>
        <v>1</v>
      </c>
      <c r="F434" s="79" t="b">
        <f>F425=F423</f>
        <v>1</v>
      </c>
      <c r="G434" s="79" t="b">
        <f>G425=G423</f>
        <v>1</v>
      </c>
      <c r="H434" s="79" t="b">
        <f t="shared" ref="H434:O434" si="374">H425=H423</f>
        <v>1</v>
      </c>
      <c r="I434" s="79" t="b">
        <f>I425=I423</f>
        <v>1</v>
      </c>
      <c r="J434" s="79" t="b">
        <f>J425=J423</f>
        <v>1</v>
      </c>
      <c r="K434" s="79" t="b">
        <f>K425=K423</f>
        <v>1</v>
      </c>
      <c r="L434" s="79" t="b">
        <f t="shared" si="374"/>
        <v>1</v>
      </c>
      <c r="M434" s="79" t="b">
        <f t="shared" si="374"/>
        <v>1</v>
      </c>
      <c r="N434" s="79" t="b">
        <f>N425=N423</f>
        <v>1</v>
      </c>
      <c r="O434" s="79" t="b">
        <f t="shared" si="374"/>
        <v>1</v>
      </c>
      <c r="P434" s="79" t="b">
        <f>P425=P423</f>
        <v>1</v>
      </c>
    </row>
    <row r="435" spans="1:18" ht="61.5" x14ac:dyDescent="0.2">
      <c r="E435" s="79" t="b">
        <f>E423=F423</f>
        <v>1</v>
      </c>
      <c r="F435" s="97">
        <f>F416/E423</f>
        <v>5.6954416884072486E-3</v>
      </c>
      <c r="G435" s="86"/>
      <c r="H435" s="87"/>
      <c r="I435" s="88"/>
      <c r="J435" s="79" t="b">
        <f>J425=L425+O425</f>
        <v>1</v>
      </c>
      <c r="K435" s="95"/>
      <c r="L435" s="79"/>
      <c r="M435" s="88"/>
      <c r="N435" s="88"/>
      <c r="O435" s="79"/>
      <c r="P435" s="79" t="b">
        <f>E423+J423=P423</f>
        <v>1</v>
      </c>
    </row>
    <row r="436" spans="1:18" ht="60.75" x14ac:dyDescent="0.2">
      <c r="E436" s="89"/>
      <c r="F436" s="90"/>
      <c r="G436" s="89"/>
      <c r="H436" s="91">
        <f>H425-H423</f>
        <v>0</v>
      </c>
      <c r="I436" s="89"/>
      <c r="J436" s="59"/>
      <c r="K436" s="59"/>
    </row>
    <row r="437" spans="1:18" ht="61.5" x14ac:dyDescent="0.2">
      <c r="A437" s="21"/>
      <c r="B437" s="21"/>
      <c r="C437" s="21"/>
      <c r="D437" s="22"/>
      <c r="E437" s="37">
        <f>E423-E425</f>
        <v>0</v>
      </c>
      <c r="F437" s="97">
        <f>400000/E423</f>
        <v>1.0156270942704776E-4</v>
      </c>
      <c r="G437" s="86"/>
      <c r="H437" s="61"/>
      <c r="I437" s="22"/>
      <c r="J437" s="37">
        <f>J423-J425</f>
        <v>0</v>
      </c>
      <c r="K437" s="37">
        <f>K423-K425</f>
        <v>0</v>
      </c>
      <c r="L437" s="37"/>
      <c r="M437" s="37"/>
      <c r="N437" s="37"/>
      <c r="O437" s="37">
        <f>O423-O425</f>
        <v>0</v>
      </c>
      <c r="P437" s="37"/>
    </row>
    <row r="438" spans="1:18" ht="61.5" x14ac:dyDescent="0.2">
      <c r="D438" s="22"/>
      <c r="E438" s="37"/>
      <c r="F438" s="63"/>
      <c r="G438" s="55"/>
      <c r="H438" s="61"/>
      <c r="I438" s="22"/>
      <c r="J438" s="37"/>
      <c r="K438" s="37"/>
      <c r="L438" s="64"/>
      <c r="P438" s="55"/>
      <c r="Q438" s="85"/>
      <c r="R438" s="65"/>
    </row>
    <row r="439" spans="1:18" ht="60.75" x14ac:dyDescent="0.2">
      <c r="A439" s="21"/>
      <c r="B439" s="21"/>
      <c r="C439" s="21"/>
      <c r="D439" s="22"/>
      <c r="E439" s="26"/>
      <c r="F439" s="26"/>
      <c r="G439" s="26"/>
      <c r="H439" s="26"/>
      <c r="I439" s="66"/>
      <c r="J439" s="26"/>
      <c r="K439" s="26"/>
      <c r="L439" s="26"/>
      <c r="M439" s="26"/>
      <c r="N439" s="26"/>
      <c r="O439" s="26"/>
      <c r="P439" s="26"/>
      <c r="Q439" s="85"/>
      <c r="R439" s="65"/>
    </row>
    <row r="440" spans="1:18" ht="60.75" x14ac:dyDescent="0.2">
      <c r="D440" s="22"/>
      <c r="E440" s="37"/>
      <c r="F440" s="67"/>
      <c r="O440" s="55"/>
      <c r="P440" s="55"/>
    </row>
    <row r="441" spans="1:18" ht="60.75" x14ac:dyDescent="0.2">
      <c r="A441" s="21"/>
      <c r="B441" s="21"/>
      <c r="C441" s="21"/>
      <c r="D441" s="22"/>
      <c r="E441" s="37"/>
      <c r="F441" s="62"/>
      <c r="G441" s="64"/>
      <c r="I441" s="68"/>
      <c r="J441" s="59"/>
      <c r="K441" s="59"/>
      <c r="L441" s="21"/>
      <c r="M441" s="21"/>
      <c r="N441" s="21"/>
      <c r="O441" s="21"/>
      <c r="P441" s="55"/>
    </row>
    <row r="442" spans="1:18" ht="62.25" x14ac:dyDescent="0.8">
      <c r="A442" s="21"/>
      <c r="B442" s="21"/>
      <c r="C442" s="21"/>
      <c r="D442" s="21"/>
      <c r="E442" s="69"/>
      <c r="F442" s="62"/>
      <c r="J442" s="59"/>
      <c r="K442" s="59"/>
      <c r="L442" s="21"/>
      <c r="M442" s="21"/>
      <c r="N442" s="21"/>
      <c r="O442" s="21"/>
      <c r="P442" s="70"/>
    </row>
    <row r="443" spans="1:18" ht="45.75" x14ac:dyDescent="0.2">
      <c r="E443" s="71"/>
      <c r="F443" s="67"/>
    </row>
    <row r="444" spans="1:18" ht="45.75" x14ac:dyDescent="0.2">
      <c r="A444" s="21"/>
      <c r="B444" s="21"/>
      <c r="C444" s="21"/>
      <c r="D444" s="21"/>
      <c r="E444" s="69"/>
      <c r="F444" s="62"/>
      <c r="L444" s="21"/>
      <c r="M444" s="21"/>
      <c r="N444" s="21"/>
      <c r="O444" s="21"/>
      <c r="P444" s="21"/>
    </row>
    <row r="445" spans="1:18" ht="45.75" x14ac:dyDescent="0.2">
      <c r="E445" s="72"/>
      <c r="F445" s="67"/>
    </row>
    <row r="446" spans="1:18" ht="45.75" x14ac:dyDescent="0.2">
      <c r="E446" s="72"/>
      <c r="F446" s="67"/>
    </row>
    <row r="447" spans="1:18" ht="45.75" x14ac:dyDescent="0.2">
      <c r="E447" s="72"/>
      <c r="F447" s="67"/>
    </row>
    <row r="448" spans="1:18" ht="45.75" x14ac:dyDescent="0.2">
      <c r="A448" s="21"/>
      <c r="B448" s="21"/>
      <c r="C448" s="21"/>
      <c r="D448" s="21"/>
      <c r="E448" s="72"/>
      <c r="F448" s="67"/>
      <c r="G448" s="21"/>
      <c r="H448" s="21"/>
      <c r="I448" s="21"/>
      <c r="J448" s="21"/>
      <c r="K448" s="21"/>
      <c r="L448" s="21"/>
      <c r="M448" s="21"/>
      <c r="N448" s="21"/>
      <c r="O448" s="21"/>
      <c r="P448" s="21"/>
    </row>
    <row r="449" spans="1:16" ht="45.75" x14ac:dyDescent="0.2">
      <c r="A449" s="21"/>
      <c r="B449" s="21"/>
      <c r="C449" s="21"/>
      <c r="D449" s="21"/>
      <c r="E449" s="72"/>
      <c r="F449" s="67"/>
      <c r="G449" s="21"/>
      <c r="H449" s="21"/>
      <c r="I449" s="21"/>
      <c r="J449" s="21"/>
      <c r="K449" s="21"/>
      <c r="L449" s="21"/>
      <c r="M449" s="21"/>
      <c r="N449" s="21"/>
      <c r="O449" s="21"/>
      <c r="P449" s="21"/>
    </row>
    <row r="450" spans="1:16" ht="45.75" x14ac:dyDescent="0.2">
      <c r="A450" s="21"/>
      <c r="B450" s="21"/>
      <c r="C450" s="21"/>
      <c r="D450" s="21"/>
      <c r="E450" s="72"/>
      <c r="F450" s="67"/>
      <c r="G450" s="21"/>
      <c r="H450" s="21"/>
      <c r="I450" s="21"/>
      <c r="J450" s="21"/>
      <c r="K450" s="21"/>
      <c r="L450" s="21"/>
      <c r="M450" s="21"/>
      <c r="N450" s="21"/>
      <c r="O450" s="21"/>
      <c r="P450" s="21"/>
    </row>
    <row r="451" spans="1:16" ht="45.75" x14ac:dyDescent="0.2">
      <c r="A451" s="21"/>
      <c r="B451" s="21"/>
      <c r="C451" s="21"/>
      <c r="D451" s="21"/>
      <c r="E451" s="72"/>
      <c r="F451" s="67"/>
      <c r="G451" s="21"/>
      <c r="H451" s="21"/>
      <c r="I451" s="21"/>
      <c r="J451" s="21"/>
      <c r="K451" s="21"/>
      <c r="L451" s="21"/>
      <c r="M451" s="21"/>
      <c r="N451" s="21"/>
      <c r="O451" s="21"/>
      <c r="P451" s="21"/>
    </row>
  </sheetData>
  <mergeCells count="183">
    <mergeCell ref="A424:P424"/>
    <mergeCell ref="D428:P428"/>
    <mergeCell ref="D429:F429"/>
    <mergeCell ref="D430:P430"/>
    <mergeCell ref="J336:J337"/>
    <mergeCell ref="K336:K337"/>
    <mergeCell ref="L336:L337"/>
    <mergeCell ref="M336:M337"/>
    <mergeCell ref="N336:N337"/>
    <mergeCell ref="O336:O337"/>
    <mergeCell ref="O303:O304"/>
    <mergeCell ref="P303:P304"/>
    <mergeCell ref="A336:A337"/>
    <mergeCell ref="B336:B337"/>
    <mergeCell ref="C336:C337"/>
    <mergeCell ref="E336:E337"/>
    <mergeCell ref="F336:F337"/>
    <mergeCell ref="G336:G337"/>
    <mergeCell ref="H336:H337"/>
    <mergeCell ref="I336:I337"/>
    <mergeCell ref="I303:I304"/>
    <mergeCell ref="J303:J304"/>
    <mergeCell ref="K303:K304"/>
    <mergeCell ref="L303:L304"/>
    <mergeCell ref="M303:M304"/>
    <mergeCell ref="N303:N304"/>
    <mergeCell ref="P336:P337"/>
    <mergeCell ref="A303:A304"/>
    <mergeCell ref="B303:B304"/>
    <mergeCell ref="C303:C304"/>
    <mergeCell ref="E303:E304"/>
    <mergeCell ref="F303:F304"/>
    <mergeCell ref="G303:G304"/>
    <mergeCell ref="H303:H304"/>
    <mergeCell ref="N192:N193"/>
    <mergeCell ref="O192:O193"/>
    <mergeCell ref="P192:P193"/>
    <mergeCell ref="A272:A273"/>
    <mergeCell ref="B272:B273"/>
    <mergeCell ref="C272:C273"/>
    <mergeCell ref="E272:E273"/>
    <mergeCell ref="F272:F273"/>
    <mergeCell ref="G272:G273"/>
    <mergeCell ref="G192:G193"/>
    <mergeCell ref="H192:H193"/>
    <mergeCell ref="I192:I193"/>
    <mergeCell ref="J192:J193"/>
    <mergeCell ref="K192:K193"/>
    <mergeCell ref="L192:L193"/>
    <mergeCell ref="N272:N273"/>
    <mergeCell ref="O272:O273"/>
    <mergeCell ref="P272:P273"/>
    <mergeCell ref="J272:J273"/>
    <mergeCell ref="K272:K273"/>
    <mergeCell ref="L272:L273"/>
    <mergeCell ref="M272:M273"/>
    <mergeCell ref="A192:A193"/>
    <mergeCell ref="B192:B193"/>
    <mergeCell ref="C192:C193"/>
    <mergeCell ref="E192:E193"/>
    <mergeCell ref="F192:F193"/>
    <mergeCell ref="G174:G176"/>
    <mergeCell ref="H174:H176"/>
    <mergeCell ref="I174:I176"/>
    <mergeCell ref="J174:J176"/>
    <mergeCell ref="H272:H273"/>
    <mergeCell ref="I272:I273"/>
    <mergeCell ref="M192:M193"/>
    <mergeCell ref="R171:R173"/>
    <mergeCell ref="A174:A176"/>
    <mergeCell ref="B174:B176"/>
    <mergeCell ref="C174:C176"/>
    <mergeCell ref="E174:E176"/>
    <mergeCell ref="F174:F176"/>
    <mergeCell ref="G171:G173"/>
    <mergeCell ref="H171:H173"/>
    <mergeCell ref="I171:I173"/>
    <mergeCell ref="J171:J173"/>
    <mergeCell ref="K171:K173"/>
    <mergeCell ref="L171:L173"/>
    <mergeCell ref="M174:M176"/>
    <mergeCell ref="N174:N176"/>
    <mergeCell ref="O174:O176"/>
    <mergeCell ref="P174:P176"/>
    <mergeCell ref="R174:R176"/>
    <mergeCell ref="K174:K176"/>
    <mergeCell ref="L174:L176"/>
    <mergeCell ref="A171:A173"/>
    <mergeCell ref="B171:B173"/>
    <mergeCell ref="C171:C173"/>
    <mergeCell ref="E171:E173"/>
    <mergeCell ref="F171:F173"/>
    <mergeCell ref="G167:G170"/>
    <mergeCell ref="H167:H170"/>
    <mergeCell ref="I167:I170"/>
    <mergeCell ref="J167:J170"/>
    <mergeCell ref="P163:P166"/>
    <mergeCell ref="M171:M173"/>
    <mergeCell ref="N171:N173"/>
    <mergeCell ref="O171:O173"/>
    <mergeCell ref="P171:P173"/>
    <mergeCell ref="Q163:Q166"/>
    <mergeCell ref="R163:R166"/>
    <mergeCell ref="A167:A170"/>
    <mergeCell ref="B167:B170"/>
    <mergeCell ref="C167:C170"/>
    <mergeCell ref="E167:E170"/>
    <mergeCell ref="F167:F170"/>
    <mergeCell ref="H163:H166"/>
    <mergeCell ref="I163:I166"/>
    <mergeCell ref="J163:J166"/>
    <mergeCell ref="K163:K166"/>
    <mergeCell ref="L163:L166"/>
    <mergeCell ref="M163:M166"/>
    <mergeCell ref="M167:M170"/>
    <mergeCell ref="N167:N170"/>
    <mergeCell ref="O167:O170"/>
    <mergeCell ref="P167:P170"/>
    <mergeCell ref="R167:R170"/>
    <mergeCell ref="K167:K170"/>
    <mergeCell ref="L167:L170"/>
    <mergeCell ref="M73:M74"/>
    <mergeCell ref="N73:N74"/>
    <mergeCell ref="O73:O74"/>
    <mergeCell ref="P73:P74"/>
    <mergeCell ref="A163:A166"/>
    <mergeCell ref="B163:B166"/>
    <mergeCell ref="C163:C166"/>
    <mergeCell ref="E163:E166"/>
    <mergeCell ref="F163:F166"/>
    <mergeCell ref="G163:G166"/>
    <mergeCell ref="G73:G74"/>
    <mergeCell ref="H73:H74"/>
    <mergeCell ref="I73:I74"/>
    <mergeCell ref="J73:J74"/>
    <mergeCell ref="K73:K74"/>
    <mergeCell ref="L73:L74"/>
    <mergeCell ref="A73:A74"/>
    <mergeCell ref="B73:B74"/>
    <mergeCell ref="C73:C74"/>
    <mergeCell ref="D73:D74"/>
    <mergeCell ref="E73:E74"/>
    <mergeCell ref="F73:F74"/>
    <mergeCell ref="N163:N166"/>
    <mergeCell ref="O163:O166"/>
    <mergeCell ref="K30:K31"/>
    <mergeCell ref="L30:L31"/>
    <mergeCell ref="M30:M31"/>
    <mergeCell ref="N30:N31"/>
    <mergeCell ref="O30:O31"/>
    <mergeCell ref="P30:P31"/>
    <mergeCell ref="O12:O13"/>
    <mergeCell ref="A30:A31"/>
    <mergeCell ref="B30:B31"/>
    <mergeCell ref="C30:C31"/>
    <mergeCell ref="E30:E31"/>
    <mergeCell ref="F30:F31"/>
    <mergeCell ref="G30:G31"/>
    <mergeCell ref="H30:H31"/>
    <mergeCell ref="I30:I31"/>
    <mergeCell ref="J30:J31"/>
    <mergeCell ref="A9:B9"/>
    <mergeCell ref="A11:A13"/>
    <mergeCell ref="B11:B13"/>
    <mergeCell ref="C11:C13"/>
    <mergeCell ref="D11:D13"/>
    <mergeCell ref="E11:I11"/>
    <mergeCell ref="N1:Q1"/>
    <mergeCell ref="N2:Q2"/>
    <mergeCell ref="O3:P3"/>
    <mergeCell ref="A5:P5"/>
    <mergeCell ref="A6:P6"/>
    <mergeCell ref="A8:B8"/>
    <mergeCell ref="J11:O11"/>
    <mergeCell ref="P11:P13"/>
    <mergeCell ref="E12:E13"/>
    <mergeCell ref="F12:F13"/>
    <mergeCell ref="G12:H12"/>
    <mergeCell ref="I12:I13"/>
    <mergeCell ref="J12:J13"/>
    <mergeCell ref="K12:K13"/>
    <mergeCell ref="L12:L13"/>
    <mergeCell ref="M12:N12"/>
  </mergeCells>
  <conditionalFormatting sqref="Q340:Q347">
    <cfRule type="iconSet" priority="17">
      <iconSet iconSet="3Arrows">
        <cfvo type="percent" val="0"/>
        <cfvo type="percent" val="33"/>
        <cfvo type="percent" val="67"/>
      </iconSet>
    </cfRule>
  </conditionalFormatting>
  <conditionalFormatting sqref="Q349:Q350">
    <cfRule type="iconSet" priority="13">
      <iconSet iconSet="3Arrows">
        <cfvo type="percent" val="0"/>
        <cfvo type="percent" val="33"/>
        <cfvo type="percent" val="67"/>
      </iconSet>
    </cfRule>
  </conditionalFormatting>
  <conditionalFormatting sqref="Q351:Q366">
    <cfRule type="iconSet" priority="21">
      <iconSet iconSet="3Arrows">
        <cfvo type="percent" val="0"/>
        <cfvo type="percent" val="33"/>
        <cfvo type="percent" val="67"/>
      </iconSet>
    </cfRule>
  </conditionalFormatting>
  <conditionalFormatting sqref="Q387:Q392">
    <cfRule type="iconSet" priority="20">
      <iconSet iconSet="3Arrows">
        <cfvo type="percent" val="0"/>
        <cfvo type="percent" val="33"/>
        <cfvo type="percent" val="67"/>
      </iconSet>
    </cfRule>
  </conditionalFormatting>
  <conditionalFormatting sqref="Q393">
    <cfRule type="iconSet" priority="2">
      <iconSet iconSet="3Arrows">
        <cfvo type="percent" val="0"/>
        <cfvo type="percent" val="33"/>
        <cfvo type="percent" val="67"/>
      </iconSet>
    </cfRule>
  </conditionalFormatting>
  <conditionalFormatting sqref="Q394:Q395">
    <cfRule type="iconSet" priority="8">
      <iconSet iconSet="3Arrows">
        <cfvo type="percent" val="0"/>
        <cfvo type="percent" val="33"/>
        <cfvo type="percent" val="67"/>
      </iconSet>
    </cfRule>
  </conditionalFormatting>
  <conditionalFormatting sqref="Q397">
    <cfRule type="iconSet" priority="3">
      <iconSet iconSet="3Arrows">
        <cfvo type="percent" val="0"/>
        <cfvo type="percent" val="33"/>
        <cfvo type="percent" val="67"/>
      </iconSet>
    </cfRule>
  </conditionalFormatting>
  <conditionalFormatting sqref="Q406">
    <cfRule type="iconSet" priority="1">
      <iconSet iconSet="3Arrows">
        <cfvo type="percent" val="0"/>
        <cfvo type="percent" val="33"/>
        <cfvo type="percent" val="67"/>
      </iconSet>
    </cfRule>
  </conditionalFormatting>
  <conditionalFormatting sqref="Q407 Q409:R413 R408:S408">
    <cfRule type="iconSet" priority="16">
      <iconSet iconSet="3Arrows">
        <cfvo type="percent" val="0"/>
        <cfvo type="percent" val="33"/>
        <cfvo type="percent" val="67"/>
      </iconSet>
    </cfRule>
  </conditionalFormatting>
  <conditionalFormatting sqref="Q408">
    <cfRule type="iconSet" priority="7">
      <iconSet iconSet="3Arrows">
        <cfvo type="percent" val="0"/>
        <cfvo type="percent" val="33"/>
        <cfvo type="percent" val="67"/>
      </iconSet>
    </cfRule>
  </conditionalFormatting>
  <conditionalFormatting sqref="Q368:R374">
    <cfRule type="iconSet" priority="23">
      <iconSet iconSet="3Arrows">
        <cfvo type="percent" val="0"/>
        <cfvo type="percent" val="33"/>
        <cfvo type="percent" val="67"/>
      </iconSet>
    </cfRule>
  </conditionalFormatting>
  <conditionalFormatting sqref="R340:R341">
    <cfRule type="iconSet" priority="11">
      <iconSet iconSet="3Arrows">
        <cfvo type="percent" val="0"/>
        <cfvo type="percent" val="33"/>
        <cfvo type="percent" val="67"/>
      </iconSet>
    </cfRule>
  </conditionalFormatting>
  <conditionalFormatting sqref="R342:R347">
    <cfRule type="iconSet" priority="10">
      <iconSet iconSet="3Arrows">
        <cfvo type="percent" val="0"/>
        <cfvo type="percent" val="33"/>
        <cfvo type="percent" val="67"/>
      </iconSet>
    </cfRule>
  </conditionalFormatting>
  <conditionalFormatting sqref="R349:R350">
    <cfRule type="iconSet" priority="12">
      <iconSet iconSet="3Arrows">
        <cfvo type="percent" val="0"/>
        <cfvo type="percent" val="33"/>
        <cfvo type="percent" val="67"/>
      </iconSet>
    </cfRule>
  </conditionalFormatting>
  <conditionalFormatting sqref="R351:R366">
    <cfRule type="iconSet" priority="22">
      <iconSet iconSet="3Arrows">
        <cfvo type="percent" val="0"/>
        <cfvo type="percent" val="33"/>
        <cfvo type="percent" val="67"/>
      </iconSet>
    </cfRule>
  </conditionalFormatting>
  <conditionalFormatting sqref="R375:R385">
    <cfRule type="iconSet" priority="18">
      <iconSet iconSet="3Arrows">
        <cfvo type="percent" val="0"/>
        <cfvo type="percent" val="33"/>
        <cfvo type="percent" val="67"/>
      </iconSet>
    </cfRule>
  </conditionalFormatting>
  <conditionalFormatting sqref="R387:R388">
    <cfRule type="iconSet" priority="9">
      <iconSet iconSet="3Arrows">
        <cfvo type="percent" val="0"/>
        <cfvo type="percent" val="33"/>
        <cfvo type="percent" val="67"/>
      </iconSet>
    </cfRule>
  </conditionalFormatting>
  <conditionalFormatting sqref="R389:R392">
    <cfRule type="iconSet" priority="19">
      <iconSet iconSet="3Arrows">
        <cfvo type="percent" val="0"/>
        <cfvo type="percent" val="33"/>
        <cfvo type="percent" val="67"/>
      </iconSet>
    </cfRule>
  </conditionalFormatting>
  <conditionalFormatting sqref="R399:R401 Q398:R398 R397">
    <cfRule type="iconSet" priority="15">
      <iconSet iconSet="3Arrows">
        <cfvo type="percent" val="0"/>
        <cfvo type="percent" val="33"/>
        <cfvo type="percent" val="67"/>
      </iconSet>
    </cfRule>
  </conditionalFormatting>
  <conditionalFormatting sqref="R402">
    <cfRule type="iconSet" priority="5">
      <iconSet iconSet="3Arrows">
        <cfvo type="percent" val="0"/>
        <cfvo type="percent" val="33"/>
        <cfvo type="percent" val="67"/>
      </iconSet>
    </cfRule>
  </conditionalFormatting>
  <conditionalFormatting sqref="R404">
    <cfRule type="iconSet" priority="4">
      <iconSet iconSet="3Arrows">
        <cfvo type="percent" val="0"/>
        <cfvo type="percent" val="33"/>
        <cfvo type="percent" val="67"/>
      </iconSet>
    </cfRule>
  </conditionalFormatting>
  <conditionalFormatting sqref="R406">
    <cfRule type="iconSet" priority="6">
      <iconSet iconSet="3Arrows">
        <cfvo type="percent" val="0"/>
        <cfvo type="percent" val="33"/>
        <cfvo type="percent" val="67"/>
      </iconSet>
    </cfRule>
  </conditionalFormatting>
  <conditionalFormatting sqref="R407">
    <cfRule type="iconSet" priority="14">
      <iconSet iconSet="3Arrows">
        <cfvo type="percent" val="0"/>
        <cfvo type="percent" val="33"/>
        <cfvo type="percent" val="67"/>
      </iconSet>
    </cfRule>
  </conditionalFormatting>
  <pageMargins left="0.23622047244094491" right="0.27559055118110237" top="0.27559055118110237" bottom="0.15748031496062992" header="0.23622047244094491" footer="0.27559055118110237"/>
  <pageSetup paperSize="9" scale="13" orientation="landscape" r:id="rId1"/>
  <headerFooter alignWithMargins="0">
    <oddFooter>&amp;C&amp;"Times New Roman Cyr,курсив"Сторінка &amp;P з &amp;N</oddFooter>
  </headerFooter>
  <rowBreaks count="2" manualBreakCount="2">
    <brk id="215" max="15" man="1"/>
    <brk id="299" max="15"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99"/>
  </sheetPr>
  <dimension ref="A1:T457"/>
  <sheetViews>
    <sheetView view="pageBreakPreview" zoomScale="24" zoomScaleNormal="25" zoomScaleSheetLayoutView="24" zoomScalePageLayoutView="10" workbookViewId="0">
      <pane ySplit="14" topLeftCell="A15" activePane="bottomLeft" state="frozen"/>
      <selection activeCell="B52" sqref="B52:E52"/>
      <selection pane="bottomLeft" activeCell="A23" sqref="A23:D24"/>
    </sheetView>
  </sheetViews>
  <sheetFormatPr defaultColWidth="9.140625" defaultRowHeight="12.75" x14ac:dyDescent="0.2"/>
  <cols>
    <col min="1" max="1" width="48" style="18" customWidth="1"/>
    <col min="2" max="2" width="52.5703125" style="18" customWidth="1"/>
    <col min="3" max="3" width="65.7109375" style="18" customWidth="1"/>
    <col min="4" max="4" width="256.140625" style="18" customWidth="1"/>
    <col min="5" max="5" width="66.42578125" style="57" customWidth="1"/>
    <col min="6" max="6" width="62.5703125" style="18" customWidth="1"/>
    <col min="7" max="7" width="59.7109375" style="18" customWidth="1"/>
    <col min="8" max="8" width="53.140625" style="18" customWidth="1"/>
    <col min="9" max="9" width="41.85546875" style="18" customWidth="1"/>
    <col min="10" max="10" width="50.5703125" style="57" customWidth="1"/>
    <col min="11" max="11" width="52.5703125" style="57" customWidth="1"/>
    <col min="12" max="12" width="56.140625" style="18" customWidth="1"/>
    <col min="13" max="13" width="54.85546875" style="18" customWidth="1"/>
    <col min="14" max="14" width="51" style="18" customWidth="1"/>
    <col min="15" max="15" width="56.140625" style="18" bestFit="1" customWidth="1"/>
    <col min="16" max="16" width="86.28515625" style="57" customWidth="1"/>
    <col min="17" max="17" width="52.140625" style="81" customWidth="1"/>
    <col min="18" max="18" width="33.85546875" style="20" customWidth="1"/>
    <col min="19" max="19" width="40.140625" style="21" bestFit="1" customWidth="1"/>
    <col min="20" max="20" width="43.5703125" style="21" bestFit="1" customWidth="1"/>
    <col min="21" max="16384" width="9.140625" style="21"/>
  </cols>
  <sheetData>
    <row r="1" spans="1:18" ht="45.75" x14ac:dyDescent="0.2">
      <c r="A1" s="75"/>
      <c r="B1" s="75"/>
      <c r="C1" s="75"/>
      <c r="D1" s="76"/>
      <c r="E1" s="77"/>
      <c r="F1" s="78"/>
      <c r="G1" s="77"/>
      <c r="H1" s="77"/>
      <c r="I1" s="77"/>
      <c r="J1" s="77"/>
      <c r="K1" s="77"/>
      <c r="L1" s="77"/>
      <c r="M1" s="77"/>
      <c r="N1" s="806" t="s">
        <v>493</v>
      </c>
      <c r="O1" s="807"/>
      <c r="P1" s="807"/>
      <c r="Q1" s="807"/>
    </row>
    <row r="2" spans="1:18" ht="45.75" x14ac:dyDescent="0.2">
      <c r="A2" s="76"/>
      <c r="B2" s="76"/>
      <c r="C2" s="76"/>
      <c r="D2" s="76"/>
      <c r="E2" s="77"/>
      <c r="F2" s="78"/>
      <c r="G2" s="77"/>
      <c r="H2" s="77"/>
      <c r="I2" s="77"/>
      <c r="J2" s="77"/>
      <c r="K2" s="77"/>
      <c r="L2" s="77"/>
      <c r="M2" s="77"/>
      <c r="N2" s="806" t="s">
        <v>1583</v>
      </c>
      <c r="O2" s="808"/>
      <c r="P2" s="808"/>
      <c r="Q2" s="808"/>
    </row>
    <row r="3" spans="1:18" ht="40.700000000000003" customHeight="1" x14ac:dyDescent="0.2">
      <c r="A3" s="76"/>
      <c r="B3" s="76"/>
      <c r="C3" s="76"/>
      <c r="D3" s="76"/>
      <c r="E3" s="77"/>
      <c r="F3" s="78"/>
      <c r="G3" s="77"/>
      <c r="H3" s="77"/>
      <c r="I3" s="77"/>
      <c r="J3" s="77"/>
      <c r="K3" s="77"/>
      <c r="L3" s="77"/>
      <c r="M3" s="77"/>
      <c r="N3" s="77"/>
      <c r="O3" s="806"/>
      <c r="P3" s="809"/>
      <c r="Q3" s="80"/>
    </row>
    <row r="4" spans="1:18" ht="45.75" hidden="1" x14ac:dyDescent="0.2">
      <c r="A4" s="76"/>
      <c r="B4" s="76"/>
      <c r="C4" s="76"/>
      <c r="D4" s="76"/>
      <c r="E4" s="77"/>
      <c r="F4" s="78"/>
      <c r="G4" s="77"/>
      <c r="H4" s="77"/>
      <c r="I4" s="77"/>
      <c r="J4" s="77"/>
      <c r="K4" s="77"/>
      <c r="L4" s="77"/>
      <c r="M4" s="77"/>
      <c r="N4" s="77"/>
      <c r="O4" s="76"/>
      <c r="P4" s="78"/>
      <c r="Q4" s="80"/>
    </row>
    <row r="5" spans="1:18" ht="45" x14ac:dyDescent="0.2">
      <c r="A5" s="810" t="s">
        <v>1623</v>
      </c>
      <c r="B5" s="810"/>
      <c r="C5" s="810"/>
      <c r="D5" s="810"/>
      <c r="E5" s="810"/>
      <c r="F5" s="810"/>
      <c r="G5" s="810"/>
      <c r="H5" s="810"/>
      <c r="I5" s="810"/>
      <c r="J5" s="810"/>
      <c r="K5" s="810"/>
      <c r="L5" s="810"/>
      <c r="M5" s="810"/>
      <c r="N5" s="810"/>
      <c r="O5" s="810"/>
      <c r="P5" s="810"/>
      <c r="Q5" s="80"/>
    </row>
    <row r="6" spans="1:18" ht="45" x14ac:dyDescent="0.2">
      <c r="A6" s="810" t="s">
        <v>1498</v>
      </c>
      <c r="B6" s="810"/>
      <c r="C6" s="810"/>
      <c r="D6" s="810"/>
      <c r="E6" s="810"/>
      <c r="F6" s="810"/>
      <c r="G6" s="810"/>
      <c r="H6" s="810"/>
      <c r="I6" s="810"/>
      <c r="J6" s="810"/>
      <c r="K6" s="810"/>
      <c r="L6" s="810"/>
      <c r="M6" s="810"/>
      <c r="N6" s="810"/>
      <c r="O6" s="810"/>
      <c r="P6" s="810"/>
      <c r="Q6" s="80"/>
    </row>
    <row r="7" spans="1:18" ht="45" x14ac:dyDescent="0.2">
      <c r="A7" s="77"/>
      <c r="B7" s="77"/>
      <c r="C7" s="77"/>
      <c r="D7" s="77"/>
      <c r="E7" s="77"/>
      <c r="F7" s="77"/>
      <c r="G7" s="77"/>
      <c r="H7" s="77"/>
      <c r="I7" s="77"/>
      <c r="J7" s="77"/>
      <c r="K7" s="77"/>
      <c r="L7" s="77"/>
      <c r="M7" s="77"/>
      <c r="N7" s="77"/>
      <c r="O7" s="77"/>
      <c r="P7" s="77"/>
      <c r="Q7" s="80"/>
    </row>
    <row r="8" spans="1:18" ht="45.75" x14ac:dyDescent="0.65">
      <c r="A8" s="811">
        <v>2256400000</v>
      </c>
      <c r="B8" s="812"/>
      <c r="C8" s="77"/>
      <c r="D8" s="398"/>
      <c r="E8" s="398"/>
      <c r="F8" s="398"/>
      <c r="G8" s="398"/>
      <c r="H8" s="398"/>
      <c r="I8" s="398"/>
      <c r="J8" s="398"/>
      <c r="K8" s="398"/>
      <c r="L8" s="398"/>
      <c r="M8" s="398"/>
      <c r="N8" s="398"/>
      <c r="O8" s="398"/>
      <c r="P8" s="398"/>
      <c r="Q8" s="13"/>
    </row>
    <row r="9" spans="1:18" ht="45.75" x14ac:dyDescent="0.2">
      <c r="A9" s="816" t="s">
        <v>490</v>
      </c>
      <c r="B9" s="817"/>
      <c r="C9" s="77"/>
      <c r="D9" s="398"/>
      <c r="E9" s="398"/>
      <c r="F9" s="398"/>
      <c r="G9" s="398"/>
      <c r="H9" s="398"/>
      <c r="I9" s="398"/>
      <c r="J9" s="398"/>
      <c r="K9" s="398"/>
      <c r="L9" s="398"/>
      <c r="M9" s="398"/>
      <c r="N9" s="398"/>
      <c r="O9" s="398"/>
      <c r="P9" s="398"/>
      <c r="Q9" s="13"/>
    </row>
    <row r="10" spans="1:18" ht="53.45" customHeight="1" thickBot="1" x14ac:dyDescent="0.25">
      <c r="A10" s="77"/>
      <c r="B10" s="77"/>
      <c r="C10" s="77"/>
      <c r="D10" s="398"/>
      <c r="E10" s="398"/>
      <c r="F10" s="399"/>
      <c r="G10" s="398"/>
      <c r="H10" s="398"/>
      <c r="I10" s="398"/>
      <c r="J10" s="398"/>
      <c r="K10" s="398"/>
      <c r="L10" s="398"/>
      <c r="M10" s="398"/>
      <c r="N10" s="398"/>
      <c r="O10" s="398"/>
      <c r="P10" s="316" t="s">
        <v>404</v>
      </c>
      <c r="Q10" s="13"/>
    </row>
    <row r="11" spans="1:18" ht="62.45" customHeight="1" thickTop="1" thickBot="1" x14ac:dyDescent="0.25">
      <c r="A11" s="815" t="s">
        <v>491</v>
      </c>
      <c r="B11" s="815" t="s">
        <v>492</v>
      </c>
      <c r="C11" s="815" t="s">
        <v>390</v>
      </c>
      <c r="D11" s="815" t="s">
        <v>573</v>
      </c>
      <c r="E11" s="813" t="s">
        <v>12</v>
      </c>
      <c r="F11" s="813"/>
      <c r="G11" s="813"/>
      <c r="H11" s="813"/>
      <c r="I11" s="813"/>
      <c r="J11" s="813" t="s">
        <v>52</v>
      </c>
      <c r="K11" s="813"/>
      <c r="L11" s="813"/>
      <c r="M11" s="813"/>
      <c r="N11" s="813"/>
      <c r="O11" s="814"/>
      <c r="P11" s="813" t="s">
        <v>11</v>
      </c>
      <c r="Q11" s="20"/>
    </row>
    <row r="12" spans="1:18" ht="96" customHeight="1" thickTop="1" thickBot="1" x14ac:dyDescent="0.25">
      <c r="A12" s="813"/>
      <c r="B12" s="818"/>
      <c r="C12" s="818"/>
      <c r="D12" s="813"/>
      <c r="E12" s="815" t="s">
        <v>384</v>
      </c>
      <c r="F12" s="815" t="s">
        <v>53</v>
      </c>
      <c r="G12" s="815" t="s">
        <v>13</v>
      </c>
      <c r="H12" s="815"/>
      <c r="I12" s="815" t="s">
        <v>55</v>
      </c>
      <c r="J12" s="815" t="s">
        <v>384</v>
      </c>
      <c r="K12" s="815" t="s">
        <v>385</v>
      </c>
      <c r="L12" s="815" t="s">
        <v>53</v>
      </c>
      <c r="M12" s="815" t="s">
        <v>13</v>
      </c>
      <c r="N12" s="815"/>
      <c r="O12" s="815" t="s">
        <v>55</v>
      </c>
      <c r="P12" s="813"/>
      <c r="Q12" s="20"/>
    </row>
    <row r="13" spans="1:18" ht="328.7" customHeight="1" thickTop="1" thickBot="1" x14ac:dyDescent="0.25">
      <c r="A13" s="818"/>
      <c r="B13" s="818"/>
      <c r="C13" s="818"/>
      <c r="D13" s="818"/>
      <c r="E13" s="815"/>
      <c r="F13" s="815"/>
      <c r="G13" s="317" t="s">
        <v>54</v>
      </c>
      <c r="H13" s="317" t="s">
        <v>15</v>
      </c>
      <c r="I13" s="815"/>
      <c r="J13" s="815"/>
      <c r="K13" s="815"/>
      <c r="L13" s="815"/>
      <c r="M13" s="317" t="s">
        <v>54</v>
      </c>
      <c r="N13" s="317" t="s">
        <v>15</v>
      </c>
      <c r="O13" s="815"/>
      <c r="P13" s="813"/>
      <c r="Q13" s="20"/>
    </row>
    <row r="14" spans="1:18" s="24" customFormat="1" ht="47.25" thickTop="1" thickBot="1" x14ac:dyDescent="0.25">
      <c r="A14" s="311" t="s">
        <v>2</v>
      </c>
      <c r="B14" s="311" t="s">
        <v>3</v>
      </c>
      <c r="C14" s="311" t="s">
        <v>14</v>
      </c>
      <c r="D14" s="311" t="s">
        <v>5</v>
      </c>
      <c r="E14" s="311" t="s">
        <v>392</v>
      </c>
      <c r="F14" s="311" t="s">
        <v>393</v>
      </c>
      <c r="G14" s="311" t="s">
        <v>394</v>
      </c>
      <c r="H14" s="311" t="s">
        <v>395</v>
      </c>
      <c r="I14" s="311" t="s">
        <v>396</v>
      </c>
      <c r="J14" s="311" t="s">
        <v>397</v>
      </c>
      <c r="K14" s="311" t="s">
        <v>398</v>
      </c>
      <c r="L14" s="311" t="s">
        <v>399</v>
      </c>
      <c r="M14" s="311" t="s">
        <v>400</v>
      </c>
      <c r="N14" s="311" t="s">
        <v>401</v>
      </c>
      <c r="O14" s="311" t="s">
        <v>402</v>
      </c>
      <c r="P14" s="311" t="s">
        <v>403</v>
      </c>
      <c r="Q14" s="126"/>
      <c r="R14" s="23"/>
    </row>
    <row r="15" spans="1:18" s="24" customFormat="1" ht="120" customHeight="1" thickTop="1" thickBot="1" x14ac:dyDescent="0.25">
      <c r="A15" s="661" t="s">
        <v>148</v>
      </c>
      <c r="B15" s="661"/>
      <c r="C15" s="661"/>
      <c r="D15" s="662" t="s">
        <v>150</v>
      </c>
      <c r="E15" s="663">
        <f>E16</f>
        <v>-22006783</v>
      </c>
      <c r="F15" s="664">
        <f t="shared" ref="F15:N15" si="0">F16</f>
        <v>-22006783</v>
      </c>
      <c r="G15" s="664">
        <f t="shared" si="0"/>
        <v>0</v>
      </c>
      <c r="H15" s="664">
        <f t="shared" si="0"/>
        <v>0</v>
      </c>
      <c r="I15" s="664">
        <f t="shared" si="0"/>
        <v>0</v>
      </c>
      <c r="J15" s="663">
        <f t="shared" si="0"/>
        <v>56765656.340000018</v>
      </c>
      <c r="K15" s="664">
        <f t="shared" si="0"/>
        <v>56765656.340000018</v>
      </c>
      <c r="L15" s="664">
        <f t="shared" si="0"/>
        <v>0</v>
      </c>
      <c r="M15" s="664">
        <f t="shared" si="0"/>
        <v>0</v>
      </c>
      <c r="N15" s="664">
        <f t="shared" si="0"/>
        <v>0</v>
      </c>
      <c r="O15" s="663">
        <f>O16</f>
        <v>56765656.340000018</v>
      </c>
      <c r="P15" s="664">
        <f t="shared" ref="P15" si="1">P16</f>
        <v>34758873.340000018</v>
      </c>
      <c r="Q15" s="25"/>
      <c r="R15" s="25"/>
    </row>
    <row r="16" spans="1:18" s="24" customFormat="1" ht="120" customHeight="1" thickTop="1" thickBot="1" x14ac:dyDescent="0.25">
      <c r="A16" s="658" t="s">
        <v>149</v>
      </c>
      <c r="B16" s="658"/>
      <c r="C16" s="658"/>
      <c r="D16" s="659" t="s">
        <v>151</v>
      </c>
      <c r="E16" s="660">
        <f>E17+E25+E36+E42+E22</f>
        <v>-22006783</v>
      </c>
      <c r="F16" s="660">
        <f>F17+F25+F36+F42+F22</f>
        <v>-22006783</v>
      </c>
      <c r="G16" s="660">
        <f>G17+G25+G36+G42+G22</f>
        <v>0</v>
      </c>
      <c r="H16" s="660">
        <f>H17+H25+H36+H42+H22</f>
        <v>0</v>
      </c>
      <c r="I16" s="660">
        <f>I17+I25+I36+I42+I22</f>
        <v>0</v>
      </c>
      <c r="J16" s="660">
        <f>L16+O16</f>
        <v>56765656.340000018</v>
      </c>
      <c r="K16" s="660">
        <f>K17+K25+K36+K42+K22</f>
        <v>56765656.340000018</v>
      </c>
      <c r="L16" s="660">
        <f>L17+L25+L36+L42+L22</f>
        <v>0</v>
      </c>
      <c r="M16" s="660">
        <f>M17+M25+M36+M42+M22</f>
        <v>0</v>
      </c>
      <c r="N16" s="660">
        <f>N17+N25+N36+N42+N22</f>
        <v>0</v>
      </c>
      <c r="O16" s="660">
        <f>O17+O25+O36+O42+O22</f>
        <v>56765656.340000018</v>
      </c>
      <c r="P16" s="660">
        <f>E16+J16</f>
        <v>34758873.340000018</v>
      </c>
      <c r="Q16" s="565" t="b">
        <f>P16=P18+P21+P27+P31+P33+P35+P38+P39+P41+P44+P45+P46</f>
        <v>0</v>
      </c>
      <c r="R16" s="26"/>
    </row>
    <row r="17" spans="1:18" s="28" customFormat="1" ht="47.25" thickTop="1" thickBot="1" x14ac:dyDescent="0.25">
      <c r="A17" s="311" t="s">
        <v>683</v>
      </c>
      <c r="B17" s="311" t="s">
        <v>684</v>
      </c>
      <c r="C17" s="311"/>
      <c r="D17" s="311" t="s">
        <v>685</v>
      </c>
      <c r="E17" s="328">
        <f>'d3'!E17-d3П!E17</f>
        <v>-36450000</v>
      </c>
      <c r="F17" s="328">
        <f>'d3'!F17-d3П!F17</f>
        <v>-36450000</v>
      </c>
      <c r="G17" s="328">
        <f>'d3'!G17-d3П!G17</f>
        <v>0</v>
      </c>
      <c r="H17" s="328">
        <f>'d3'!H17-d3П!H17</f>
        <v>0</v>
      </c>
      <c r="I17" s="328">
        <f>'d3'!I17-d3П!I17</f>
        <v>0</v>
      </c>
      <c r="J17" s="328">
        <f>'d3'!J17-d3П!J17</f>
        <v>30000</v>
      </c>
      <c r="K17" s="328">
        <f>'d3'!K17-d3П!K17</f>
        <v>30000</v>
      </c>
      <c r="L17" s="328">
        <f>'d3'!L17-d3П!L17</f>
        <v>0</v>
      </c>
      <c r="M17" s="328">
        <f>'d3'!M17-d3П!M17</f>
        <v>0</v>
      </c>
      <c r="N17" s="328">
        <f>'d3'!N17-d3П!N17</f>
        <v>0</v>
      </c>
      <c r="O17" s="328">
        <f>'d3'!O17-d3П!O17</f>
        <v>30000</v>
      </c>
      <c r="P17" s="328">
        <f>'d3'!P17-d3П!P17</f>
        <v>-36420000</v>
      </c>
      <c r="Q17" s="31"/>
      <c r="R17" s="27"/>
    </row>
    <row r="18" spans="1:18" ht="173.25" customHeight="1" thickTop="1" thickBot="1" x14ac:dyDescent="0.25">
      <c r="A18" s="103" t="s">
        <v>232</v>
      </c>
      <c r="B18" s="103" t="s">
        <v>233</v>
      </c>
      <c r="C18" s="103" t="s">
        <v>234</v>
      </c>
      <c r="D18" s="103" t="s">
        <v>231</v>
      </c>
      <c r="E18" s="328">
        <f>'d3'!E18-d3П!E18</f>
        <v>0</v>
      </c>
      <c r="F18" s="328">
        <f>'d3'!F18-d3П!F18</f>
        <v>0</v>
      </c>
      <c r="G18" s="328">
        <f>'d3'!G18-d3П!G18</f>
        <v>0</v>
      </c>
      <c r="H18" s="328">
        <f>'d3'!H18-d3П!H18</f>
        <v>0</v>
      </c>
      <c r="I18" s="328">
        <f>'d3'!I18-d3П!I18</f>
        <v>0</v>
      </c>
      <c r="J18" s="328">
        <f>'d3'!J18-d3П!J18</f>
        <v>30000</v>
      </c>
      <c r="K18" s="328">
        <f>'d3'!K18-d3П!K18</f>
        <v>30000</v>
      </c>
      <c r="L18" s="328">
        <f>'d3'!L18-d3П!L18</f>
        <v>0</v>
      </c>
      <c r="M18" s="328">
        <f>'d3'!M18-d3П!M18</f>
        <v>0</v>
      </c>
      <c r="N18" s="328">
        <f>'d3'!N18-d3П!N18</f>
        <v>0</v>
      </c>
      <c r="O18" s="328">
        <f>'d3'!O18-d3П!O18</f>
        <v>30000</v>
      </c>
      <c r="P18" s="328">
        <f>'d3'!P18-d3П!P18</f>
        <v>30000</v>
      </c>
      <c r="Q18" s="133"/>
      <c r="R18" s="29"/>
    </row>
    <row r="19" spans="1:18" ht="93" hidden="1" customHeight="1" thickTop="1" thickBot="1" x14ac:dyDescent="0.25">
      <c r="A19" s="128" t="s">
        <v>584</v>
      </c>
      <c r="B19" s="128" t="s">
        <v>236</v>
      </c>
      <c r="C19" s="128" t="s">
        <v>234</v>
      </c>
      <c r="D19" s="128" t="s">
        <v>235</v>
      </c>
      <c r="E19" s="328">
        <f>'d3'!E19-d3П!E19</f>
        <v>0</v>
      </c>
      <c r="F19" s="328">
        <f>'d3'!F19-d3П!F19</f>
        <v>0</v>
      </c>
      <c r="G19" s="328">
        <f>'d3'!G19-d3П!G19</f>
        <v>0</v>
      </c>
      <c r="H19" s="328">
        <f>'d3'!H19-d3П!H19</f>
        <v>0</v>
      </c>
      <c r="I19" s="328">
        <f>'d3'!I19-d3П!I19</f>
        <v>0</v>
      </c>
      <c r="J19" s="328">
        <f>'d3'!J19-d3П!J19</f>
        <v>0</v>
      </c>
      <c r="K19" s="328">
        <f>'d3'!K19-d3П!K19</f>
        <v>0</v>
      </c>
      <c r="L19" s="328">
        <f>'d3'!L19-d3П!L19</f>
        <v>0</v>
      </c>
      <c r="M19" s="328">
        <f>'d3'!M19-d3П!M19</f>
        <v>0</v>
      </c>
      <c r="N19" s="328">
        <f>'d3'!N19-d3П!N19</f>
        <v>0</v>
      </c>
      <c r="O19" s="328">
        <f>'d3'!O19-d3П!O19</f>
        <v>0</v>
      </c>
      <c r="P19" s="328">
        <f>'d3'!P19-d3П!P19</f>
        <v>0</v>
      </c>
      <c r="Q19" s="133"/>
      <c r="R19" s="29"/>
    </row>
    <row r="20" spans="1:18" ht="93" hidden="1" customHeight="1" thickTop="1" thickBot="1" x14ac:dyDescent="0.25">
      <c r="A20" s="128" t="s">
        <v>624</v>
      </c>
      <c r="B20" s="128" t="s">
        <v>362</v>
      </c>
      <c r="C20" s="128" t="s">
        <v>625</v>
      </c>
      <c r="D20" s="128" t="s">
        <v>626</v>
      </c>
      <c r="E20" s="328">
        <f>'d3'!E20-d3П!E20</f>
        <v>0</v>
      </c>
      <c r="F20" s="328">
        <f>'d3'!F20-d3П!F20</f>
        <v>0</v>
      </c>
      <c r="G20" s="328">
        <f>'d3'!G20-d3П!G20</f>
        <v>0</v>
      </c>
      <c r="H20" s="328">
        <f>'d3'!H20-d3П!H20</f>
        <v>0</v>
      </c>
      <c r="I20" s="328">
        <f>'d3'!I20-d3П!I20</f>
        <v>0</v>
      </c>
      <c r="J20" s="328">
        <f>'d3'!J20-d3П!J20</f>
        <v>0</v>
      </c>
      <c r="K20" s="328">
        <f>'d3'!K20-d3П!K20</f>
        <v>0</v>
      </c>
      <c r="L20" s="328">
        <f>'d3'!L20-d3П!L20</f>
        <v>0</v>
      </c>
      <c r="M20" s="328">
        <f>'d3'!M20-d3П!M20</f>
        <v>0</v>
      </c>
      <c r="N20" s="328">
        <f>'d3'!N20-d3П!N20</f>
        <v>0</v>
      </c>
      <c r="O20" s="328">
        <f>'d3'!O20-d3П!O20</f>
        <v>0</v>
      </c>
      <c r="P20" s="328">
        <f>'d3'!P20-d3П!P20</f>
        <v>0</v>
      </c>
      <c r="Q20" s="133"/>
      <c r="R20" s="30"/>
    </row>
    <row r="21" spans="1:18" ht="47.25" thickTop="1" thickBot="1" x14ac:dyDescent="0.25">
      <c r="A21" s="103" t="s">
        <v>247</v>
      </c>
      <c r="B21" s="103" t="s">
        <v>43</v>
      </c>
      <c r="C21" s="103" t="s">
        <v>42</v>
      </c>
      <c r="D21" s="103" t="s">
        <v>248</v>
      </c>
      <c r="E21" s="328">
        <f>'d3'!E21-d3П!E21</f>
        <v>-36450000</v>
      </c>
      <c r="F21" s="328">
        <f>'d3'!F21-d3П!F21</f>
        <v>-36450000</v>
      </c>
      <c r="G21" s="328">
        <f>'d3'!G21-d3П!G21</f>
        <v>0</v>
      </c>
      <c r="H21" s="328">
        <f>'d3'!H21-d3П!H21</f>
        <v>0</v>
      </c>
      <c r="I21" s="328">
        <f>'d3'!I21-d3П!I21</f>
        <v>0</v>
      </c>
      <c r="J21" s="328">
        <f>'d3'!J21-d3П!J21</f>
        <v>0</v>
      </c>
      <c r="K21" s="328">
        <f>'d3'!K21-d3П!K21</f>
        <v>0</v>
      </c>
      <c r="L21" s="328">
        <f>'d3'!L21-d3П!L21</f>
        <v>0</v>
      </c>
      <c r="M21" s="328">
        <f>'d3'!M21-d3П!M21</f>
        <v>0</v>
      </c>
      <c r="N21" s="328">
        <f>'d3'!N21-d3П!N21</f>
        <v>0</v>
      </c>
      <c r="O21" s="328">
        <f>'d3'!O21-d3П!O21</f>
        <v>0</v>
      </c>
      <c r="P21" s="328">
        <f>'d3'!P21-d3П!P21</f>
        <v>-36450000</v>
      </c>
      <c r="Q21" s="133"/>
      <c r="R21" s="30"/>
    </row>
    <row r="22" spans="1:18" ht="47.25" thickTop="1" thickBot="1" x14ac:dyDescent="0.25">
      <c r="A22" s="311" t="s">
        <v>1626</v>
      </c>
      <c r="B22" s="311" t="s">
        <v>711</v>
      </c>
      <c r="C22" s="311"/>
      <c r="D22" s="311" t="s">
        <v>712</v>
      </c>
      <c r="E22" s="328">
        <f>'d3'!E22-0</f>
        <v>1000000</v>
      </c>
      <c r="F22" s="328">
        <f>'d3'!F22-0</f>
        <v>1000000</v>
      </c>
      <c r="G22" s="328">
        <f>'d3'!G22-0</f>
        <v>0</v>
      </c>
      <c r="H22" s="328">
        <f>'d3'!H22-0</f>
        <v>0</v>
      </c>
      <c r="I22" s="328">
        <f>'d3'!I22-0</f>
        <v>0</v>
      </c>
      <c r="J22" s="328">
        <f>'d3'!J22-0</f>
        <v>0</v>
      </c>
      <c r="K22" s="328">
        <f>'d3'!K22-0</f>
        <v>0</v>
      </c>
      <c r="L22" s="328">
        <f>'d3'!L22-0</f>
        <v>0</v>
      </c>
      <c r="M22" s="328">
        <f>'d3'!M22-0</f>
        <v>0</v>
      </c>
      <c r="N22" s="328">
        <f>'d3'!N22-0</f>
        <v>0</v>
      </c>
      <c r="O22" s="328">
        <f>'d3'!O22-0</f>
        <v>0</v>
      </c>
      <c r="P22" s="328">
        <f>'d3'!P22-0</f>
        <v>1000000</v>
      </c>
      <c r="Q22" s="133"/>
      <c r="R22" s="30"/>
    </row>
    <row r="23" spans="1:18" ht="47.25" thickTop="1" thickBot="1" x14ac:dyDescent="0.25">
      <c r="A23" s="669" t="s">
        <v>1627</v>
      </c>
      <c r="B23" s="669" t="s">
        <v>739</v>
      </c>
      <c r="C23" s="669"/>
      <c r="D23" s="669" t="s">
        <v>740</v>
      </c>
      <c r="E23" s="328">
        <f>'d3'!E23-0</f>
        <v>1000000</v>
      </c>
      <c r="F23" s="328">
        <f>'d3'!F23-0</f>
        <v>1000000</v>
      </c>
      <c r="G23" s="328">
        <f>'d3'!G23-0</f>
        <v>0</v>
      </c>
      <c r="H23" s="328">
        <f>'d3'!H23-0</f>
        <v>0</v>
      </c>
      <c r="I23" s="328">
        <f>'d3'!I23-0</f>
        <v>0</v>
      </c>
      <c r="J23" s="328">
        <f>'d3'!J23-0</f>
        <v>0</v>
      </c>
      <c r="K23" s="328">
        <f>'d3'!K23-0</f>
        <v>0</v>
      </c>
      <c r="L23" s="328">
        <f>'d3'!L23-0</f>
        <v>0</v>
      </c>
      <c r="M23" s="328">
        <f>'d3'!M23-0</f>
        <v>0</v>
      </c>
      <c r="N23" s="328">
        <f>'d3'!N23-0</f>
        <v>0</v>
      </c>
      <c r="O23" s="328">
        <f>'d3'!O23-0</f>
        <v>0</v>
      </c>
      <c r="P23" s="328">
        <f>'d3'!P23-0</f>
        <v>1000000</v>
      </c>
      <c r="Q23" s="133"/>
      <c r="R23" s="30"/>
    </row>
    <row r="24" spans="1:18" ht="93" thickTop="1" thickBot="1" x14ac:dyDescent="0.25">
      <c r="A24" s="665" t="s">
        <v>1628</v>
      </c>
      <c r="B24" s="665" t="s">
        <v>329</v>
      </c>
      <c r="C24" s="665" t="s">
        <v>191</v>
      </c>
      <c r="D24" s="742" t="s">
        <v>331</v>
      </c>
      <c r="E24" s="328">
        <f>'d3'!E24-0</f>
        <v>1000000</v>
      </c>
      <c r="F24" s="328">
        <f>'d3'!F24-0</f>
        <v>1000000</v>
      </c>
      <c r="G24" s="328">
        <f>'d3'!G24-0</f>
        <v>0</v>
      </c>
      <c r="H24" s="328">
        <f>'d3'!H24-0</f>
        <v>0</v>
      </c>
      <c r="I24" s="328">
        <f>'d3'!I24-0</f>
        <v>0</v>
      </c>
      <c r="J24" s="328">
        <f>'d3'!J24-0</f>
        <v>0</v>
      </c>
      <c r="K24" s="328">
        <f>'d3'!K24-0</f>
        <v>0</v>
      </c>
      <c r="L24" s="328">
        <f>'d3'!L24-0</f>
        <v>0</v>
      </c>
      <c r="M24" s="328">
        <f>'d3'!M24-0</f>
        <v>0</v>
      </c>
      <c r="N24" s="328">
        <f>'d3'!N24-0</f>
        <v>0</v>
      </c>
      <c r="O24" s="328">
        <f>'d3'!O24-0</f>
        <v>0</v>
      </c>
      <c r="P24" s="328">
        <f>'d3'!P24-0</f>
        <v>1000000</v>
      </c>
      <c r="Q24" s="133"/>
      <c r="R24" s="30"/>
    </row>
    <row r="25" spans="1:18" s="28" customFormat="1" ht="47.25" thickTop="1" thickBot="1" x14ac:dyDescent="0.3">
      <c r="A25" s="311" t="s">
        <v>747</v>
      </c>
      <c r="B25" s="311" t="s">
        <v>748</v>
      </c>
      <c r="C25" s="311"/>
      <c r="D25" s="311" t="s">
        <v>749</v>
      </c>
      <c r="E25" s="328">
        <f>'d3'!E25-d3П!E22</f>
        <v>500000</v>
      </c>
      <c r="F25" s="328">
        <f>'d3'!F25-d3П!F22</f>
        <v>500000</v>
      </c>
      <c r="G25" s="328">
        <f>'d3'!G25-d3П!G22</f>
        <v>0</v>
      </c>
      <c r="H25" s="328">
        <f>'d3'!H25-d3П!H22</f>
        <v>0</v>
      </c>
      <c r="I25" s="328">
        <f>'d3'!I25-d3П!I22</f>
        <v>0</v>
      </c>
      <c r="J25" s="328">
        <f>'d3'!J25-d3П!J22</f>
        <v>0</v>
      </c>
      <c r="K25" s="328">
        <f>'d3'!K25-d3П!K22</f>
        <v>0</v>
      </c>
      <c r="L25" s="328">
        <f>'d3'!L25-d3П!L22</f>
        <v>0</v>
      </c>
      <c r="M25" s="328">
        <f>'d3'!M25-d3П!M22</f>
        <v>0</v>
      </c>
      <c r="N25" s="328">
        <f>'d3'!N25-d3П!N22</f>
        <v>0</v>
      </c>
      <c r="O25" s="328">
        <f>'d3'!O25-d3П!O22</f>
        <v>0</v>
      </c>
      <c r="P25" s="328">
        <f>'d3'!P25-d3П!P22</f>
        <v>500000</v>
      </c>
      <c r="Q25" s="135"/>
      <c r="R25" s="31"/>
    </row>
    <row r="26" spans="1:18" s="33" customFormat="1" ht="47.25" thickTop="1" thickBot="1" x14ac:dyDescent="0.25">
      <c r="A26" s="313" t="s">
        <v>686</v>
      </c>
      <c r="B26" s="313" t="s">
        <v>687</v>
      </c>
      <c r="C26" s="313"/>
      <c r="D26" s="313" t="s">
        <v>688</v>
      </c>
      <c r="E26" s="328">
        <f>'d3'!E26-d3П!E23</f>
        <v>500000</v>
      </c>
      <c r="F26" s="328">
        <f>'d3'!F26-d3П!F23</f>
        <v>500000</v>
      </c>
      <c r="G26" s="328">
        <f>'d3'!G26-d3П!G23</f>
        <v>0</v>
      </c>
      <c r="H26" s="328">
        <f>'d3'!H26-d3П!H23</f>
        <v>0</v>
      </c>
      <c r="I26" s="328">
        <f>'d3'!I26-d3П!I23</f>
        <v>0</v>
      </c>
      <c r="J26" s="328">
        <f>'d3'!J26-d3П!J23</f>
        <v>0</v>
      </c>
      <c r="K26" s="328">
        <f>'d3'!K26-d3П!K23</f>
        <v>0</v>
      </c>
      <c r="L26" s="328">
        <f>'d3'!L26-d3П!L23</f>
        <v>0</v>
      </c>
      <c r="M26" s="328">
        <f>'d3'!M26-d3П!M23</f>
        <v>0</v>
      </c>
      <c r="N26" s="328">
        <f>'d3'!N26-d3П!N23</f>
        <v>0</v>
      </c>
      <c r="O26" s="328">
        <f>'d3'!O26-d3П!O23</f>
        <v>0</v>
      </c>
      <c r="P26" s="328">
        <f>'d3'!P26-d3П!P23</f>
        <v>500000</v>
      </c>
      <c r="Q26" s="138"/>
      <c r="R26" s="32"/>
    </row>
    <row r="27" spans="1:18" ht="47.25" thickTop="1" thickBot="1" x14ac:dyDescent="0.25">
      <c r="A27" s="103" t="s">
        <v>238</v>
      </c>
      <c r="B27" s="103" t="s">
        <v>239</v>
      </c>
      <c r="C27" s="103" t="s">
        <v>240</v>
      </c>
      <c r="D27" s="103" t="s">
        <v>237</v>
      </c>
      <c r="E27" s="328">
        <f>'d3'!E27-d3П!E24</f>
        <v>500000</v>
      </c>
      <c r="F27" s="328">
        <f>'d3'!F27-d3П!F24</f>
        <v>500000</v>
      </c>
      <c r="G27" s="328">
        <f>'d3'!G27-d3П!G24</f>
        <v>0</v>
      </c>
      <c r="H27" s="328">
        <f>'d3'!H27-d3П!H24</f>
        <v>0</v>
      </c>
      <c r="I27" s="328">
        <f>'d3'!I27-d3П!I24</f>
        <v>0</v>
      </c>
      <c r="J27" s="328">
        <f>'d3'!J27-d3П!J24</f>
        <v>0</v>
      </c>
      <c r="K27" s="328">
        <f>'d3'!K27-d3П!K24</f>
        <v>0</v>
      </c>
      <c r="L27" s="328">
        <f>'d3'!L27-d3П!L24</f>
        <v>0</v>
      </c>
      <c r="M27" s="328">
        <f>'d3'!M27-d3П!M24</f>
        <v>0</v>
      </c>
      <c r="N27" s="328">
        <f>'d3'!N27-d3П!N24</f>
        <v>0</v>
      </c>
      <c r="O27" s="328">
        <f>'d3'!O27-d3П!O24</f>
        <v>0</v>
      </c>
      <c r="P27" s="328">
        <f>'d3'!P27-d3П!P24</f>
        <v>500000</v>
      </c>
      <c r="Q27" s="133"/>
      <c r="R27" s="29"/>
    </row>
    <row r="28" spans="1:18" ht="93" hidden="1" customHeight="1" thickTop="1" thickBot="1" x14ac:dyDescent="0.25">
      <c r="A28" s="41" t="s">
        <v>976</v>
      </c>
      <c r="B28" s="41" t="s">
        <v>977</v>
      </c>
      <c r="C28" s="41" t="s">
        <v>240</v>
      </c>
      <c r="D28" s="41" t="s">
        <v>978</v>
      </c>
      <c r="E28" s="328">
        <f>'d3'!E28-d3П!E25</f>
        <v>0</v>
      </c>
      <c r="F28" s="328">
        <f>'d3'!F28-d3П!F25</f>
        <v>0</v>
      </c>
      <c r="G28" s="328">
        <f>'d3'!G28-d3П!G25</f>
        <v>0</v>
      </c>
      <c r="H28" s="328">
        <f>'d3'!H28-d3П!H25</f>
        <v>0</v>
      </c>
      <c r="I28" s="328">
        <f>'d3'!I28-d3П!I25</f>
        <v>0</v>
      </c>
      <c r="J28" s="328">
        <f>'d3'!J28-d3П!J25</f>
        <v>0</v>
      </c>
      <c r="K28" s="328">
        <f>'d3'!K28-d3П!K25</f>
        <v>0</v>
      </c>
      <c r="L28" s="328">
        <f>'d3'!L28-d3П!L25</f>
        <v>0</v>
      </c>
      <c r="M28" s="328">
        <f>'d3'!M28-d3П!M25</f>
        <v>0</v>
      </c>
      <c r="N28" s="328">
        <f>'d3'!N28-d3П!N25</f>
        <v>0</v>
      </c>
      <c r="O28" s="328">
        <f>'d3'!O28-d3П!O25</f>
        <v>0</v>
      </c>
      <c r="P28" s="328">
        <f>'d3'!P28-d3П!P25</f>
        <v>0</v>
      </c>
      <c r="Q28" s="133"/>
      <c r="R28" s="29"/>
    </row>
    <row r="29" spans="1:18" ht="47.25" thickTop="1" thickBot="1" x14ac:dyDescent="0.25">
      <c r="A29" s="313" t="s">
        <v>690</v>
      </c>
      <c r="B29" s="313" t="s">
        <v>691</v>
      </c>
      <c r="C29" s="313"/>
      <c r="D29" s="313" t="s">
        <v>689</v>
      </c>
      <c r="E29" s="328">
        <f>'d3'!E29-d3П!E26</f>
        <v>0</v>
      </c>
      <c r="F29" s="328">
        <f>'d3'!F29-d3П!F26</f>
        <v>0</v>
      </c>
      <c r="G29" s="328">
        <f>'d3'!G29-d3П!G26</f>
        <v>0</v>
      </c>
      <c r="H29" s="328">
        <f>'d3'!H29-d3П!H26</f>
        <v>0</v>
      </c>
      <c r="I29" s="328">
        <f>'d3'!I29-d3П!I26</f>
        <v>0</v>
      </c>
      <c r="J29" s="328">
        <f>'d3'!J29-d3П!J26</f>
        <v>0</v>
      </c>
      <c r="K29" s="328">
        <f>'d3'!K29-d3П!K26</f>
        <v>0</v>
      </c>
      <c r="L29" s="328">
        <f>'d3'!L29-d3П!L26</f>
        <v>0</v>
      </c>
      <c r="M29" s="328">
        <f>'d3'!M29-d3П!M26</f>
        <v>0</v>
      </c>
      <c r="N29" s="328">
        <f>'d3'!N29-d3П!N26</f>
        <v>0</v>
      </c>
      <c r="O29" s="328">
        <f>'d3'!O29-d3П!O26</f>
        <v>0</v>
      </c>
      <c r="P29" s="328">
        <f>'d3'!P29-d3П!P26</f>
        <v>0</v>
      </c>
      <c r="Q29" s="139"/>
      <c r="R29" s="34"/>
    </row>
    <row r="30" spans="1:18" ht="48" hidden="1" customHeight="1" thickTop="1" thickBot="1" x14ac:dyDescent="0.25">
      <c r="A30" s="103" t="s">
        <v>1404</v>
      </c>
      <c r="B30" s="103" t="s">
        <v>212</v>
      </c>
      <c r="C30" s="103" t="s">
        <v>213</v>
      </c>
      <c r="D30" s="103" t="s">
        <v>41</v>
      </c>
      <c r="E30" s="328">
        <f>'d3'!E30-d3П!E27</f>
        <v>0</v>
      </c>
      <c r="F30" s="328">
        <f>'d3'!F30-d3П!F27</f>
        <v>0</v>
      </c>
      <c r="G30" s="328">
        <f>'d3'!G30-d3П!G27</f>
        <v>0</v>
      </c>
      <c r="H30" s="328">
        <f>'d3'!H30-d3П!H27</f>
        <v>0</v>
      </c>
      <c r="I30" s="328">
        <f>'d3'!I30-d3П!I27</f>
        <v>0</v>
      </c>
      <c r="J30" s="328">
        <f>'d3'!J30-d3П!J27</f>
        <v>0</v>
      </c>
      <c r="K30" s="328">
        <f>'d3'!K30-d3П!K27</f>
        <v>0</v>
      </c>
      <c r="L30" s="328">
        <f>'d3'!L30-d3П!L27</f>
        <v>0</v>
      </c>
      <c r="M30" s="328">
        <f>'d3'!M30-d3П!M27</f>
        <v>0</v>
      </c>
      <c r="N30" s="328">
        <f>'d3'!N30-d3П!N27</f>
        <v>0</v>
      </c>
      <c r="O30" s="328">
        <f>'d3'!O30-d3П!O27</f>
        <v>0</v>
      </c>
      <c r="P30" s="328">
        <f>'d3'!P30-d3П!P27</f>
        <v>0</v>
      </c>
      <c r="Q30" s="139"/>
      <c r="R30" s="34"/>
    </row>
    <row r="31" spans="1:18" ht="47.25" thickTop="1" thickBot="1" x14ac:dyDescent="0.25">
      <c r="A31" s="103" t="s">
        <v>299</v>
      </c>
      <c r="B31" s="103" t="s">
        <v>300</v>
      </c>
      <c r="C31" s="103" t="s">
        <v>170</v>
      </c>
      <c r="D31" s="103" t="s">
        <v>442</v>
      </c>
      <c r="E31" s="328">
        <f>'d3'!E31-d3П!E28</f>
        <v>0</v>
      </c>
      <c r="F31" s="328">
        <f>'d3'!F31-d3П!F28</f>
        <v>0</v>
      </c>
      <c r="G31" s="328">
        <f>'d3'!G31-d3П!G28</f>
        <v>0</v>
      </c>
      <c r="H31" s="328">
        <f>'d3'!H31-d3П!H28</f>
        <v>0</v>
      </c>
      <c r="I31" s="328">
        <f>'d3'!I31-d3П!I28</f>
        <v>0</v>
      </c>
      <c r="J31" s="328">
        <f>'d3'!J31-d3П!J28</f>
        <v>0</v>
      </c>
      <c r="K31" s="328">
        <f>'d3'!K31-d3П!K28</f>
        <v>0</v>
      </c>
      <c r="L31" s="328">
        <f>'d3'!L31-d3П!L28</f>
        <v>0</v>
      </c>
      <c r="M31" s="328">
        <f>'d3'!M31-d3П!M28</f>
        <v>0</v>
      </c>
      <c r="N31" s="328">
        <f>'d3'!N31-d3П!N28</f>
        <v>0</v>
      </c>
      <c r="O31" s="328">
        <f>'d3'!O31-d3П!O28</f>
        <v>0</v>
      </c>
      <c r="P31" s="328">
        <f>'d3'!P31-d3П!P28</f>
        <v>0</v>
      </c>
      <c r="Q31" s="133"/>
      <c r="R31" s="30"/>
    </row>
    <row r="32" spans="1:18" ht="47.25" thickTop="1" thickBot="1" x14ac:dyDescent="0.25">
      <c r="A32" s="329" t="s">
        <v>693</v>
      </c>
      <c r="B32" s="329" t="s">
        <v>694</v>
      </c>
      <c r="C32" s="329"/>
      <c r="D32" s="566" t="s">
        <v>692</v>
      </c>
      <c r="E32" s="328">
        <f>'d3'!E32-d3П!E29</f>
        <v>0</v>
      </c>
      <c r="F32" s="328">
        <f>'d3'!F32-d3П!F29</f>
        <v>0</v>
      </c>
      <c r="G32" s="328">
        <f>'d3'!G32-d3П!G29</f>
        <v>0</v>
      </c>
      <c r="H32" s="328">
        <f>'d3'!H32-d3П!H29</f>
        <v>0</v>
      </c>
      <c r="I32" s="328">
        <f>'d3'!I32-d3П!I29</f>
        <v>0</v>
      </c>
      <c r="J32" s="328">
        <f>'d3'!J32-d3П!J29</f>
        <v>0</v>
      </c>
      <c r="K32" s="328">
        <f>'d3'!K32-d3П!K29</f>
        <v>0</v>
      </c>
      <c r="L32" s="328">
        <f>'d3'!L32-d3П!L29</f>
        <v>0</v>
      </c>
      <c r="M32" s="328">
        <f>'d3'!M32-d3П!M29</f>
        <v>0</v>
      </c>
      <c r="N32" s="328">
        <f>'d3'!N32-d3П!N29</f>
        <v>0</v>
      </c>
      <c r="O32" s="328">
        <f>'d3'!O32-d3П!O29</f>
        <v>0</v>
      </c>
      <c r="P32" s="328">
        <f>'d3'!P32-d3П!P29</f>
        <v>0</v>
      </c>
      <c r="Q32" s="139"/>
      <c r="R32" s="35"/>
    </row>
    <row r="33" spans="1:18" s="33" customFormat="1" ht="156.75" customHeight="1" thickTop="1" thickBot="1" x14ac:dyDescent="0.7">
      <c r="A33" s="796" t="s">
        <v>339</v>
      </c>
      <c r="B33" s="796" t="s">
        <v>338</v>
      </c>
      <c r="C33" s="796" t="s">
        <v>170</v>
      </c>
      <c r="D33" s="567" t="s">
        <v>440</v>
      </c>
      <c r="E33" s="827">
        <f>'d3'!E33-d3П!E30</f>
        <v>0</v>
      </c>
      <c r="F33" s="827">
        <f>'d3'!F33-d3П!F30</f>
        <v>0</v>
      </c>
      <c r="G33" s="827">
        <f>'d3'!G33-d3П!G30</f>
        <v>0</v>
      </c>
      <c r="H33" s="827">
        <f>'d3'!H33-d3П!H30</f>
        <v>0</v>
      </c>
      <c r="I33" s="827">
        <f>'d3'!I33-d3П!I30</f>
        <v>0</v>
      </c>
      <c r="J33" s="827">
        <f>'d3'!J33-d3П!J30</f>
        <v>0</v>
      </c>
      <c r="K33" s="827">
        <f>'d3'!K33-d3П!K30</f>
        <v>0</v>
      </c>
      <c r="L33" s="827">
        <f>'d3'!L33-d3П!L30</f>
        <v>0</v>
      </c>
      <c r="M33" s="827">
        <f>'d3'!M33-d3П!M30</f>
        <v>0</v>
      </c>
      <c r="N33" s="827">
        <f>'d3'!N33-d3П!N30</f>
        <v>0</v>
      </c>
      <c r="O33" s="827">
        <f>'d3'!O33-d3П!O30</f>
        <v>0</v>
      </c>
      <c r="P33" s="827">
        <f>'d3'!P33-d3П!P30</f>
        <v>0</v>
      </c>
      <c r="Q33" s="142"/>
      <c r="R33" s="36"/>
    </row>
    <row r="34" spans="1:18" s="33" customFormat="1" ht="120.75" customHeight="1" thickTop="1" thickBot="1" x14ac:dyDescent="0.25">
      <c r="A34" s="804"/>
      <c r="B34" s="803"/>
      <c r="C34" s="804"/>
      <c r="D34" s="568" t="s">
        <v>441</v>
      </c>
      <c r="E34" s="828"/>
      <c r="F34" s="828">
        <f>'d3'!F34-d3П!F31</f>
        <v>0</v>
      </c>
      <c r="G34" s="828">
        <f>'d3'!G34-d3П!G31</f>
        <v>0</v>
      </c>
      <c r="H34" s="828">
        <f>'d3'!H34-d3П!H31</f>
        <v>0</v>
      </c>
      <c r="I34" s="828">
        <f>'d3'!I34-d3П!I31</f>
        <v>0</v>
      </c>
      <c r="J34" s="828">
        <f>'d3'!J34-d3П!J31</f>
        <v>0</v>
      </c>
      <c r="K34" s="828">
        <f>'d3'!K34-d3П!K31</f>
        <v>0</v>
      </c>
      <c r="L34" s="828">
        <f>'d3'!L34-d3П!L31</f>
        <v>0</v>
      </c>
      <c r="M34" s="828">
        <f>'d3'!M34-d3П!M31</f>
        <v>0</v>
      </c>
      <c r="N34" s="828">
        <f>'d3'!N34-d3П!N31</f>
        <v>0</v>
      </c>
      <c r="O34" s="828">
        <f>'d3'!O34-d3П!O31</f>
        <v>0</v>
      </c>
      <c r="P34" s="828">
        <f>'d3'!P34-d3П!P31</f>
        <v>0</v>
      </c>
      <c r="Q34" s="36"/>
      <c r="R34" s="36"/>
    </row>
    <row r="35" spans="1:18" s="33" customFormat="1" ht="47.25" thickTop="1" thickBot="1" x14ac:dyDescent="0.25">
      <c r="A35" s="103" t="s">
        <v>914</v>
      </c>
      <c r="B35" s="103" t="s">
        <v>257</v>
      </c>
      <c r="C35" s="103" t="s">
        <v>170</v>
      </c>
      <c r="D35" s="103" t="s">
        <v>255</v>
      </c>
      <c r="E35" s="328">
        <f>'d3'!E35-d3П!E32</f>
        <v>0</v>
      </c>
      <c r="F35" s="328">
        <f>'d3'!F35-d3П!F32</f>
        <v>0</v>
      </c>
      <c r="G35" s="328">
        <f>'d3'!G35-d3П!G32</f>
        <v>0</v>
      </c>
      <c r="H35" s="328">
        <f>'d3'!H35-d3П!H32</f>
        <v>0</v>
      </c>
      <c r="I35" s="328">
        <f>'d3'!I35-d3П!I32</f>
        <v>0</v>
      </c>
      <c r="J35" s="328">
        <f>'d3'!J35-d3П!J32</f>
        <v>0</v>
      </c>
      <c r="K35" s="328">
        <f>'d3'!K35-d3П!K32</f>
        <v>0</v>
      </c>
      <c r="L35" s="328">
        <f>'d3'!L35-d3П!L32</f>
        <v>0</v>
      </c>
      <c r="M35" s="328">
        <f>'d3'!M35-d3П!M32</f>
        <v>0</v>
      </c>
      <c r="N35" s="328">
        <f>'d3'!N35-d3П!N32</f>
        <v>0</v>
      </c>
      <c r="O35" s="328">
        <f>'d3'!O35-d3П!O32</f>
        <v>0</v>
      </c>
      <c r="P35" s="328">
        <f>'d3'!P35-d3П!P32</f>
        <v>0</v>
      </c>
      <c r="Q35" s="36"/>
      <c r="R35" s="36"/>
    </row>
    <row r="36" spans="1:18" s="33" customFormat="1" ht="46.5" customHeight="1" thickTop="1" thickBot="1" x14ac:dyDescent="0.25">
      <c r="A36" s="311" t="s">
        <v>695</v>
      </c>
      <c r="B36" s="311" t="s">
        <v>696</v>
      </c>
      <c r="C36" s="311"/>
      <c r="D36" s="311" t="s">
        <v>697</v>
      </c>
      <c r="E36" s="328">
        <f>'d3'!E36-d3П!E33</f>
        <v>7855999</v>
      </c>
      <c r="F36" s="328">
        <f>'d3'!F36-d3П!F33</f>
        <v>7855999</v>
      </c>
      <c r="G36" s="328">
        <f>'d3'!G36-d3П!G33</f>
        <v>0</v>
      </c>
      <c r="H36" s="328">
        <f>'d3'!H36-d3П!H33</f>
        <v>0</v>
      </c>
      <c r="I36" s="328">
        <f>'d3'!I36-d3П!I33</f>
        <v>0</v>
      </c>
      <c r="J36" s="328">
        <f>'d3'!J36-d3П!J33</f>
        <v>28889406.340000004</v>
      </c>
      <c r="K36" s="328">
        <f>'d3'!K36-d3П!K33</f>
        <v>28889406.340000004</v>
      </c>
      <c r="L36" s="328">
        <f>'d3'!L36-d3П!L33</f>
        <v>0</v>
      </c>
      <c r="M36" s="328">
        <f>'d3'!M36-d3П!M33</f>
        <v>0</v>
      </c>
      <c r="N36" s="328">
        <f>'d3'!N36-d3П!N33</f>
        <v>0</v>
      </c>
      <c r="O36" s="328">
        <f>'d3'!O36-d3П!O33</f>
        <v>28889406.340000004</v>
      </c>
      <c r="P36" s="328">
        <f>'d3'!P36-d3П!P33</f>
        <v>36745405.340000004</v>
      </c>
      <c r="Q36" s="36"/>
      <c r="R36" s="36"/>
    </row>
    <row r="37" spans="1:18" s="33" customFormat="1" ht="47.25" thickTop="1" thickBot="1" x14ac:dyDescent="0.25">
      <c r="A37" s="313" t="s">
        <v>1185</v>
      </c>
      <c r="B37" s="313" t="s">
        <v>1186</v>
      </c>
      <c r="C37" s="313"/>
      <c r="D37" s="313" t="s">
        <v>1184</v>
      </c>
      <c r="E37" s="328">
        <f>'d3'!E37-d3П!E34</f>
        <v>7855999</v>
      </c>
      <c r="F37" s="328">
        <f>'d3'!F37-d3П!F34</f>
        <v>7855999</v>
      </c>
      <c r="G37" s="328">
        <f>'d3'!G37-d3П!G34</f>
        <v>0</v>
      </c>
      <c r="H37" s="328">
        <f>'d3'!H37-d3П!H34</f>
        <v>0</v>
      </c>
      <c r="I37" s="328">
        <f>'d3'!I37-d3П!I34</f>
        <v>0</v>
      </c>
      <c r="J37" s="328">
        <f>'d3'!J37-d3П!J34</f>
        <v>28889406.340000004</v>
      </c>
      <c r="K37" s="328">
        <f>'d3'!K37-d3П!K34</f>
        <v>28889406.340000004</v>
      </c>
      <c r="L37" s="328">
        <f>'d3'!L37-d3П!L34</f>
        <v>0</v>
      </c>
      <c r="M37" s="328">
        <f>'d3'!M37-d3П!M34</f>
        <v>0</v>
      </c>
      <c r="N37" s="328">
        <f>'d3'!N37-d3П!N34</f>
        <v>0</v>
      </c>
      <c r="O37" s="328">
        <f>'d3'!O37-d3П!O34</f>
        <v>28889406.340000004</v>
      </c>
      <c r="P37" s="328">
        <f>'d3'!P37-d3П!P34</f>
        <v>36745405.340000004</v>
      </c>
      <c r="Q37" s="36"/>
      <c r="R37" s="36"/>
    </row>
    <row r="38" spans="1:18" s="33" customFormat="1" ht="47.25" thickTop="1" thickBot="1" x14ac:dyDescent="0.25">
      <c r="A38" s="103" t="s">
        <v>1212</v>
      </c>
      <c r="B38" s="103" t="s">
        <v>1213</v>
      </c>
      <c r="C38" s="103" t="s">
        <v>1188</v>
      </c>
      <c r="D38" s="103" t="s">
        <v>1214</v>
      </c>
      <c r="E38" s="328">
        <f>'d3'!E38-d3П!E35</f>
        <v>6000000</v>
      </c>
      <c r="F38" s="328">
        <f>'d3'!F38-d3П!F35</f>
        <v>6000000</v>
      </c>
      <c r="G38" s="328">
        <f>'d3'!G38-d3П!G35</f>
        <v>0</v>
      </c>
      <c r="H38" s="328">
        <f>'d3'!H38-d3П!H35</f>
        <v>0</v>
      </c>
      <c r="I38" s="328">
        <f>'d3'!I38-d3П!I35</f>
        <v>0</v>
      </c>
      <c r="J38" s="328">
        <f>'d3'!J38-d3П!J35</f>
        <v>25000000</v>
      </c>
      <c r="K38" s="328">
        <f>'d3'!K38-d3П!K35</f>
        <v>25000000</v>
      </c>
      <c r="L38" s="328">
        <f>'d3'!L38-d3П!L35</f>
        <v>0</v>
      </c>
      <c r="M38" s="328">
        <f>'d3'!M38-d3П!M35</f>
        <v>0</v>
      </c>
      <c r="N38" s="328">
        <f>'d3'!N38-d3П!N35</f>
        <v>0</v>
      </c>
      <c r="O38" s="328">
        <f>'d3'!O38-d3П!O35</f>
        <v>25000000</v>
      </c>
      <c r="P38" s="328">
        <f>'d3'!P38-d3П!P35</f>
        <v>31000000</v>
      </c>
      <c r="Q38" s="36"/>
      <c r="R38" s="36"/>
    </row>
    <row r="39" spans="1:18" s="33" customFormat="1" ht="47.25" thickTop="1" thickBot="1" x14ac:dyDescent="0.25">
      <c r="A39" s="103" t="s">
        <v>1189</v>
      </c>
      <c r="B39" s="103" t="s">
        <v>1190</v>
      </c>
      <c r="C39" s="103" t="s">
        <v>1188</v>
      </c>
      <c r="D39" s="103" t="s">
        <v>1187</v>
      </c>
      <c r="E39" s="328">
        <f>'d3'!E39-d3П!E36</f>
        <v>1855999</v>
      </c>
      <c r="F39" s="328">
        <f>'d3'!F39-d3П!F36</f>
        <v>1855999</v>
      </c>
      <c r="G39" s="328">
        <f>'d3'!G39-d3П!G36</f>
        <v>0</v>
      </c>
      <c r="H39" s="328">
        <f>'d3'!H39-d3П!H36</f>
        <v>0</v>
      </c>
      <c r="I39" s="328">
        <f>'d3'!I39-d3П!I36</f>
        <v>0</v>
      </c>
      <c r="J39" s="328">
        <f>'d3'!J39-d3П!J36</f>
        <v>3889406.34</v>
      </c>
      <c r="K39" s="328">
        <f>'d3'!K39-d3П!K36</f>
        <v>3889406.34</v>
      </c>
      <c r="L39" s="328">
        <f>'d3'!L39-d3П!L36</f>
        <v>0</v>
      </c>
      <c r="M39" s="328">
        <f>'d3'!M39-d3П!M36</f>
        <v>0</v>
      </c>
      <c r="N39" s="328">
        <f>'d3'!N39-d3П!N36</f>
        <v>0</v>
      </c>
      <c r="O39" s="328">
        <f>'d3'!O39-d3П!O36</f>
        <v>3889406.34</v>
      </c>
      <c r="P39" s="328">
        <f>'d3'!P39-d3П!P36</f>
        <v>5745405.3399999999</v>
      </c>
      <c r="Q39" s="36"/>
      <c r="R39" s="36"/>
    </row>
    <row r="40" spans="1:18" s="33" customFormat="1" ht="47.25" thickTop="1" thickBot="1" x14ac:dyDescent="0.25">
      <c r="A40" s="313" t="s">
        <v>698</v>
      </c>
      <c r="B40" s="313" t="s">
        <v>699</v>
      </c>
      <c r="C40" s="313"/>
      <c r="D40" s="313" t="s">
        <v>700</v>
      </c>
      <c r="E40" s="328">
        <f>'d3'!E40-d3П!E37</f>
        <v>0</v>
      </c>
      <c r="F40" s="328">
        <f>'d3'!F40-d3П!F37</f>
        <v>0</v>
      </c>
      <c r="G40" s="328">
        <f>'d3'!G40-d3П!G37</f>
        <v>0</v>
      </c>
      <c r="H40" s="328">
        <f>'d3'!H40-d3П!H37</f>
        <v>0</v>
      </c>
      <c r="I40" s="328">
        <f>'d3'!I40-d3П!I37</f>
        <v>0</v>
      </c>
      <c r="J40" s="328">
        <f>'d3'!J40-d3П!J37</f>
        <v>0</v>
      </c>
      <c r="K40" s="328">
        <f>'d3'!K40-d3П!K37</f>
        <v>0</v>
      </c>
      <c r="L40" s="328">
        <f>'d3'!L40-d3П!L37</f>
        <v>0</v>
      </c>
      <c r="M40" s="328">
        <f>'d3'!M40-d3П!M37</f>
        <v>0</v>
      </c>
      <c r="N40" s="328">
        <f>'d3'!N40-d3П!N37</f>
        <v>0</v>
      </c>
      <c r="O40" s="328">
        <f>'d3'!O40-d3П!O37</f>
        <v>0</v>
      </c>
      <c r="P40" s="328">
        <f>'d3'!P40-d3П!P37</f>
        <v>0</v>
      </c>
      <c r="Q40" s="36"/>
    </row>
    <row r="41" spans="1:18" ht="47.25" thickTop="1" thickBot="1" x14ac:dyDescent="0.25">
      <c r="A41" s="103" t="s">
        <v>241</v>
      </c>
      <c r="B41" s="103" t="s">
        <v>242</v>
      </c>
      <c r="C41" s="103" t="s">
        <v>243</v>
      </c>
      <c r="D41" s="103" t="s">
        <v>244</v>
      </c>
      <c r="E41" s="328">
        <f>'d3'!E41-d3П!E38</f>
        <v>0</v>
      </c>
      <c r="F41" s="328">
        <f>'d3'!F41-d3П!F38</f>
        <v>0</v>
      </c>
      <c r="G41" s="328">
        <f>'d3'!G41-d3П!G38</f>
        <v>0</v>
      </c>
      <c r="H41" s="328">
        <f>'d3'!H41-d3П!H38</f>
        <v>0</v>
      </c>
      <c r="I41" s="328">
        <f>'d3'!I41-d3П!I38</f>
        <v>0</v>
      </c>
      <c r="J41" s="328">
        <f>'d3'!J41-d3П!J38</f>
        <v>0</v>
      </c>
      <c r="K41" s="328">
        <f>'d3'!K41-d3П!K38</f>
        <v>0</v>
      </c>
      <c r="L41" s="328">
        <f>'d3'!L41-d3П!L38</f>
        <v>0</v>
      </c>
      <c r="M41" s="328">
        <f>'d3'!M41-d3П!M38</f>
        <v>0</v>
      </c>
      <c r="N41" s="328">
        <f>'d3'!N41-d3П!N38</f>
        <v>0</v>
      </c>
      <c r="O41" s="328">
        <f>'d3'!O41-d3П!O38</f>
        <v>0</v>
      </c>
      <c r="P41" s="328">
        <f>'d3'!P41-d3П!P38</f>
        <v>0</v>
      </c>
      <c r="Q41" s="20"/>
    </row>
    <row r="42" spans="1:18" ht="47.25" thickTop="1" thickBot="1" x14ac:dyDescent="0.25">
      <c r="A42" s="311" t="s">
        <v>701</v>
      </c>
      <c r="B42" s="311" t="s">
        <v>702</v>
      </c>
      <c r="C42" s="311"/>
      <c r="D42" s="311" t="s">
        <v>703</v>
      </c>
      <c r="E42" s="328">
        <f>'d3'!E42-d3П!E39</f>
        <v>5087218</v>
      </c>
      <c r="F42" s="328">
        <f>'d3'!F42-d3П!F39</f>
        <v>5087218</v>
      </c>
      <c r="G42" s="328">
        <f>'d3'!G42-d3П!G39</f>
        <v>0</v>
      </c>
      <c r="H42" s="328">
        <f>'d3'!H42-d3П!H39</f>
        <v>0</v>
      </c>
      <c r="I42" s="328">
        <f>'d3'!I42-d3П!I39</f>
        <v>0</v>
      </c>
      <c r="J42" s="328">
        <f>'d3'!J42-d3П!J39</f>
        <v>27846250.000000015</v>
      </c>
      <c r="K42" s="328">
        <f>'d3'!K42-d3П!K39</f>
        <v>27846250.000000015</v>
      </c>
      <c r="L42" s="328">
        <f>'d3'!L42-d3П!L39</f>
        <v>0</v>
      </c>
      <c r="M42" s="328">
        <f>'d3'!M42-d3П!M39</f>
        <v>0</v>
      </c>
      <c r="N42" s="328">
        <f>'d3'!N42-d3П!N39</f>
        <v>0</v>
      </c>
      <c r="O42" s="328">
        <f>'d3'!O42-d3П!O39</f>
        <v>27846250.000000015</v>
      </c>
      <c r="P42" s="328">
        <f>'d3'!P42-d3П!P39</f>
        <v>32933468</v>
      </c>
      <c r="Q42" s="20"/>
    </row>
    <row r="43" spans="1:18" s="33" customFormat="1" ht="91.5" thickTop="1" thickBot="1" x14ac:dyDescent="0.25">
      <c r="A43" s="313" t="s">
        <v>704</v>
      </c>
      <c r="B43" s="313" t="s">
        <v>705</v>
      </c>
      <c r="C43" s="313"/>
      <c r="D43" s="313" t="s">
        <v>706</v>
      </c>
      <c r="E43" s="328">
        <f>'d3'!E43-d3П!E40</f>
        <v>0</v>
      </c>
      <c r="F43" s="328">
        <f>'d3'!F43-d3П!F40</f>
        <v>0</v>
      </c>
      <c r="G43" s="328">
        <f>'d3'!G43-d3П!G40</f>
        <v>0</v>
      </c>
      <c r="H43" s="328">
        <f>'d3'!H43-d3П!H40</f>
        <v>0</v>
      </c>
      <c r="I43" s="328">
        <f>'d3'!I43-d3П!I40</f>
        <v>0</v>
      </c>
      <c r="J43" s="328">
        <f>'d3'!J43-d3П!J40</f>
        <v>0</v>
      </c>
      <c r="K43" s="328">
        <f>'d3'!K43-d3П!K40</f>
        <v>0</v>
      </c>
      <c r="L43" s="328">
        <f>'d3'!L43-d3П!L40</f>
        <v>0</v>
      </c>
      <c r="M43" s="328">
        <f>'d3'!M43-d3П!M40</f>
        <v>0</v>
      </c>
      <c r="N43" s="328">
        <f>'d3'!N43-d3П!N40</f>
        <v>0</v>
      </c>
      <c r="O43" s="328">
        <f>'d3'!O43-d3П!O40</f>
        <v>0</v>
      </c>
      <c r="P43" s="328">
        <f>'d3'!P43-d3П!P40</f>
        <v>0</v>
      </c>
      <c r="Q43" s="36"/>
      <c r="R43" s="36"/>
    </row>
    <row r="44" spans="1:18" ht="93" thickTop="1" thickBot="1" x14ac:dyDescent="0.25">
      <c r="A44" s="103" t="s">
        <v>245</v>
      </c>
      <c r="B44" s="103" t="s">
        <v>246</v>
      </c>
      <c r="C44" s="103" t="s">
        <v>43</v>
      </c>
      <c r="D44" s="103" t="s">
        <v>443</v>
      </c>
      <c r="E44" s="328">
        <f>'d3'!E44-d3П!E41</f>
        <v>0</v>
      </c>
      <c r="F44" s="328">
        <f>'d3'!F44-d3П!F41</f>
        <v>0</v>
      </c>
      <c r="G44" s="328">
        <f>'d3'!G44-d3П!G41</f>
        <v>0</v>
      </c>
      <c r="H44" s="328">
        <f>'d3'!H44-d3П!H41</f>
        <v>0</v>
      </c>
      <c r="I44" s="328">
        <f>'d3'!I44-d3П!I41</f>
        <v>0</v>
      </c>
      <c r="J44" s="328">
        <f>'d3'!J44-d3П!J41</f>
        <v>0</v>
      </c>
      <c r="K44" s="328">
        <f>'d3'!K44-d3П!K41</f>
        <v>0</v>
      </c>
      <c r="L44" s="328">
        <f>'d3'!L44-d3П!L41</f>
        <v>0</v>
      </c>
      <c r="M44" s="328">
        <f>'d3'!M44-d3П!M41</f>
        <v>0</v>
      </c>
      <c r="N44" s="328">
        <f>'d3'!N44-d3П!N41</f>
        <v>0</v>
      </c>
      <c r="O44" s="328">
        <f>'d3'!O44-d3П!O41</f>
        <v>0</v>
      </c>
      <c r="P44" s="328">
        <f>'d3'!P44-d3П!P41</f>
        <v>0</v>
      </c>
      <c r="Q44" s="20"/>
    </row>
    <row r="45" spans="1:18" ht="47.25" thickTop="1" thickBot="1" x14ac:dyDescent="0.25">
      <c r="A45" s="103" t="s">
        <v>575</v>
      </c>
      <c r="B45" s="103" t="s">
        <v>363</v>
      </c>
      <c r="C45" s="103" t="s">
        <v>43</v>
      </c>
      <c r="D45" s="103" t="s">
        <v>364</v>
      </c>
      <c r="E45" s="328">
        <f>'d3'!E45-d3П!E42</f>
        <v>0</v>
      </c>
      <c r="F45" s="328">
        <f>'d3'!F45-d3П!F42</f>
        <v>0</v>
      </c>
      <c r="G45" s="328">
        <f>'d3'!G45-d3П!G42</f>
        <v>0</v>
      </c>
      <c r="H45" s="328">
        <f>'d3'!H45-d3П!H42</f>
        <v>0</v>
      </c>
      <c r="I45" s="328">
        <f>'d3'!I45-d3П!I42</f>
        <v>0</v>
      </c>
      <c r="J45" s="328">
        <f>'d3'!J45-d3П!J42</f>
        <v>0</v>
      </c>
      <c r="K45" s="328">
        <f>'d3'!K45-d3П!K42</f>
        <v>0</v>
      </c>
      <c r="L45" s="328">
        <f>'d3'!L45-d3П!L42</f>
        <v>0</v>
      </c>
      <c r="M45" s="328">
        <f>'d3'!M45-d3П!M42</f>
        <v>0</v>
      </c>
      <c r="N45" s="328">
        <f>'d3'!N45-d3П!N42</f>
        <v>0</v>
      </c>
      <c r="O45" s="328">
        <f>'d3'!O45-d3П!O42</f>
        <v>0</v>
      </c>
      <c r="P45" s="328">
        <f>'d3'!P45-d3П!P42</f>
        <v>0</v>
      </c>
      <c r="Q45" s="20"/>
    </row>
    <row r="46" spans="1:18" ht="91.5" thickTop="1" thickBot="1" x14ac:dyDescent="0.25">
      <c r="A46" s="313" t="s">
        <v>513</v>
      </c>
      <c r="B46" s="313" t="s">
        <v>514</v>
      </c>
      <c r="C46" s="313" t="s">
        <v>43</v>
      </c>
      <c r="D46" s="313" t="s">
        <v>515</v>
      </c>
      <c r="E46" s="328">
        <f>'d3'!E46-d3П!E43</f>
        <v>5087218</v>
      </c>
      <c r="F46" s="328">
        <f>'d3'!F46-d3П!F43</f>
        <v>5087218</v>
      </c>
      <c r="G46" s="328">
        <f>'d3'!G46-d3П!G43</f>
        <v>0</v>
      </c>
      <c r="H46" s="328">
        <f>'d3'!H46-d3П!H43</f>
        <v>0</v>
      </c>
      <c r="I46" s="328">
        <f>'d3'!I46-d3П!I43</f>
        <v>0</v>
      </c>
      <c r="J46" s="328">
        <f>'d3'!J46-d3П!J43</f>
        <v>27846250.000000015</v>
      </c>
      <c r="K46" s="328">
        <f>'d3'!K46-d3П!K43</f>
        <v>27846250.000000015</v>
      </c>
      <c r="L46" s="328">
        <f>'d3'!L46-d3П!L43</f>
        <v>0</v>
      </c>
      <c r="M46" s="328">
        <f>'d3'!M46-d3П!M43</f>
        <v>0</v>
      </c>
      <c r="N46" s="328">
        <f>'d3'!N46-d3П!N43</f>
        <v>0</v>
      </c>
      <c r="O46" s="328">
        <f>'d3'!O46-d3П!O43</f>
        <v>27846250.000000015</v>
      </c>
      <c r="P46" s="328">
        <f>'d3'!P46-d3П!P43</f>
        <v>32933468</v>
      </c>
      <c r="Q46" s="20"/>
      <c r="R46" s="26"/>
    </row>
    <row r="47" spans="1:18" ht="120" customHeight="1" thickTop="1" thickBot="1" x14ac:dyDescent="0.25">
      <c r="A47" s="661" t="s">
        <v>152</v>
      </c>
      <c r="B47" s="661"/>
      <c r="C47" s="661"/>
      <c r="D47" s="662" t="s">
        <v>0</v>
      </c>
      <c r="E47" s="663">
        <f>E48</f>
        <v>10342485.650000095</v>
      </c>
      <c r="F47" s="664">
        <f t="shared" ref="F47" si="2">F48</f>
        <v>10342485.650000095</v>
      </c>
      <c r="G47" s="664">
        <f>G48</f>
        <v>4393852</v>
      </c>
      <c r="H47" s="664">
        <f>H48</f>
        <v>133727.50999999046</v>
      </c>
      <c r="I47" s="664">
        <f t="shared" ref="I47" si="3">I48</f>
        <v>0</v>
      </c>
      <c r="J47" s="663">
        <f>J48</f>
        <v>53451956.069999993</v>
      </c>
      <c r="K47" s="664">
        <f>K48</f>
        <v>45779845.069999993</v>
      </c>
      <c r="L47" s="664">
        <f>L48</f>
        <v>-152499</v>
      </c>
      <c r="M47" s="664">
        <f t="shared" ref="M47" si="4">M48</f>
        <v>-133500</v>
      </c>
      <c r="N47" s="664">
        <f>N48</f>
        <v>0</v>
      </c>
      <c r="O47" s="663">
        <f>O48</f>
        <v>53604455.069999993</v>
      </c>
      <c r="P47" s="664">
        <f t="shared" ref="P47" si="5">P48</f>
        <v>63794441.720000088</v>
      </c>
      <c r="Q47" s="20"/>
    </row>
    <row r="48" spans="1:18" ht="120" customHeight="1" thickTop="1" thickBot="1" x14ac:dyDescent="0.25">
      <c r="A48" s="658" t="s">
        <v>153</v>
      </c>
      <c r="B48" s="658"/>
      <c r="C48" s="658"/>
      <c r="D48" s="659" t="s">
        <v>1</v>
      </c>
      <c r="E48" s="660">
        <f>E49+E92+E104+E95+E101</f>
        <v>10342485.650000095</v>
      </c>
      <c r="F48" s="660">
        <f>F49+F92+F104+F95+F101</f>
        <v>10342485.650000095</v>
      </c>
      <c r="G48" s="660">
        <f>G49+G92+G104+G95+G101</f>
        <v>4393852</v>
      </c>
      <c r="H48" s="660">
        <f>H49+H92+H104+H95+H101</f>
        <v>133727.50999999046</v>
      </c>
      <c r="I48" s="660">
        <f>I49+I92+I104+I95+I101</f>
        <v>0</v>
      </c>
      <c r="J48" s="660">
        <f>L48+O48</f>
        <v>53451956.069999993</v>
      </c>
      <c r="K48" s="660">
        <f>K49+K92+K104+K95+K101</f>
        <v>45779845.069999993</v>
      </c>
      <c r="L48" s="660">
        <f>L49+L92+L104+L95+L101</f>
        <v>-152499</v>
      </c>
      <c r="M48" s="660">
        <f>M49+M92+M104+M95+M101</f>
        <v>-133500</v>
      </c>
      <c r="N48" s="660">
        <f>N49+N92+N104+N95+N101</f>
        <v>0</v>
      </c>
      <c r="O48" s="660">
        <f>O49+O92+O104+O95+O101</f>
        <v>53604455.069999993</v>
      </c>
      <c r="P48" s="660">
        <f>E48+J48</f>
        <v>63794441.720000088</v>
      </c>
      <c r="Q48" s="565" t="b">
        <f>P48=P50+P52+P53+P54+P56+P57+P60+P62+P63+P65+P66+P68+P69+P70+P84+P93+P94+P98+P100+P59+P90+P91+P78+P79+P81+P82</f>
        <v>0</v>
      </c>
      <c r="R48" s="26"/>
    </row>
    <row r="49" spans="1:20" ht="47.25" thickTop="1" thickBot="1" x14ac:dyDescent="0.25">
      <c r="A49" s="311" t="s">
        <v>707</v>
      </c>
      <c r="B49" s="311" t="s">
        <v>708</v>
      </c>
      <c r="C49" s="311"/>
      <c r="D49" s="311" t="s">
        <v>709</v>
      </c>
      <c r="E49" s="328">
        <f>'d3'!E49-d3П!E46</f>
        <v>10342485.650000095</v>
      </c>
      <c r="F49" s="328">
        <f>'d3'!F49-d3П!F46</f>
        <v>10342485.650000095</v>
      </c>
      <c r="G49" s="328">
        <f>'d3'!G49-d3П!G46</f>
        <v>4393852</v>
      </c>
      <c r="H49" s="328">
        <f>'d3'!H49-d3П!H46</f>
        <v>133727.50999999046</v>
      </c>
      <c r="I49" s="328">
        <f>'d3'!I49-d3П!I46</f>
        <v>0</v>
      </c>
      <c r="J49" s="328">
        <f>'d3'!J49-d3П!J46</f>
        <v>43652677.289999962</v>
      </c>
      <c r="K49" s="328">
        <f>'d3'!K49-d3П!K46</f>
        <v>35980566.289999992</v>
      </c>
      <c r="L49" s="328">
        <f>'d3'!L49-d3П!L46</f>
        <v>-152499</v>
      </c>
      <c r="M49" s="328">
        <f>'d3'!M49-d3П!M46</f>
        <v>-133500</v>
      </c>
      <c r="N49" s="328">
        <f>'d3'!N49-d3П!N46</f>
        <v>0</v>
      </c>
      <c r="O49" s="328">
        <f>'d3'!O49-d3П!O46</f>
        <v>43805176.289999992</v>
      </c>
      <c r="P49" s="328">
        <f>'d3'!P49-d3П!P46</f>
        <v>53995162.93999958</v>
      </c>
      <c r="Q49" s="30"/>
      <c r="R49" s="26"/>
    </row>
    <row r="50" spans="1:20" ht="47.25" thickTop="1" thickBot="1" x14ac:dyDescent="0.6">
      <c r="A50" s="103" t="s">
        <v>198</v>
      </c>
      <c r="B50" s="103" t="s">
        <v>199</v>
      </c>
      <c r="C50" s="103" t="s">
        <v>201</v>
      </c>
      <c r="D50" s="103" t="s">
        <v>202</v>
      </c>
      <c r="E50" s="328">
        <f>'d3'!E50-d3П!E47</f>
        <v>797817</v>
      </c>
      <c r="F50" s="328">
        <f>'d3'!F50-d3П!F47</f>
        <v>797817</v>
      </c>
      <c r="G50" s="328">
        <f>'d3'!G50-d3П!G47</f>
        <v>0</v>
      </c>
      <c r="H50" s="328">
        <f>'d3'!H50-d3П!H47</f>
        <v>0</v>
      </c>
      <c r="I50" s="328">
        <f>'d3'!I50-d3П!I47</f>
        <v>0</v>
      </c>
      <c r="J50" s="328">
        <f>'d3'!J50-d3П!J47</f>
        <v>0</v>
      </c>
      <c r="K50" s="328">
        <f>'d3'!K50-d3П!K47</f>
        <v>0</v>
      </c>
      <c r="L50" s="328">
        <f>'d3'!L50-d3П!L47</f>
        <v>-31099</v>
      </c>
      <c r="M50" s="328">
        <f>'d3'!M50-d3П!M47</f>
        <v>89700</v>
      </c>
      <c r="N50" s="328">
        <f>'d3'!N50-d3П!N47</f>
        <v>0</v>
      </c>
      <c r="O50" s="328">
        <f>'d3'!O50-d3П!O47</f>
        <v>31099</v>
      </c>
      <c r="P50" s="328">
        <f>'d3'!P50-d3П!P47</f>
        <v>797817</v>
      </c>
      <c r="Q50" s="143"/>
      <c r="R50" s="26"/>
    </row>
    <row r="51" spans="1:20" ht="47.25" thickTop="1" thickBot="1" x14ac:dyDescent="0.6">
      <c r="A51" s="329" t="s">
        <v>203</v>
      </c>
      <c r="B51" s="329" t="s">
        <v>200</v>
      </c>
      <c r="C51" s="329"/>
      <c r="D51" s="329" t="s">
        <v>643</v>
      </c>
      <c r="E51" s="328">
        <f>'d3'!E51-d3П!E48</f>
        <v>3994644.1399999857</v>
      </c>
      <c r="F51" s="328">
        <f>'d3'!F51-d3П!F48</f>
        <v>3994644.1399999857</v>
      </c>
      <c r="G51" s="328">
        <f>'d3'!G51-d3П!G48</f>
        <v>0</v>
      </c>
      <c r="H51" s="328">
        <f>'d3'!H51-d3П!H48</f>
        <v>0</v>
      </c>
      <c r="I51" s="328">
        <f>'d3'!I51-d3П!I48</f>
        <v>0</v>
      </c>
      <c r="J51" s="328">
        <f>'d3'!J51-d3П!J48</f>
        <v>5136016.2899999917</v>
      </c>
      <c r="K51" s="328">
        <f>'d3'!K51-d3П!K48</f>
        <v>5136016.2899999991</v>
      </c>
      <c r="L51" s="328">
        <f>'d3'!L51-d3П!L48</f>
        <v>-1400</v>
      </c>
      <c r="M51" s="328">
        <f>'d3'!M51-d3П!M48</f>
        <v>42800</v>
      </c>
      <c r="N51" s="328">
        <f>'d3'!N51-d3П!N48</f>
        <v>0</v>
      </c>
      <c r="O51" s="328">
        <f>'d3'!O51-d3П!O48</f>
        <v>5137416.2899999991</v>
      </c>
      <c r="P51" s="328">
        <f>'d3'!P51-d3П!P48</f>
        <v>9130660.4299999475</v>
      </c>
      <c r="Q51" s="143"/>
      <c r="R51" s="37"/>
    </row>
    <row r="52" spans="1:20" ht="93" thickTop="1" thickBot="1" x14ac:dyDescent="0.6">
      <c r="A52" s="103" t="s">
        <v>641</v>
      </c>
      <c r="B52" s="103" t="s">
        <v>642</v>
      </c>
      <c r="C52" s="103" t="s">
        <v>204</v>
      </c>
      <c r="D52" s="103" t="s">
        <v>1276</v>
      </c>
      <c r="E52" s="328">
        <f>'d3'!E52-d3П!E49</f>
        <v>3994644.1399999857</v>
      </c>
      <c r="F52" s="328">
        <f>'d3'!F52-d3П!F49</f>
        <v>3994644.1399999857</v>
      </c>
      <c r="G52" s="328">
        <f>'d3'!G52-d3П!G49</f>
        <v>0</v>
      </c>
      <c r="H52" s="328">
        <f>'d3'!H52-d3П!H49</f>
        <v>0</v>
      </c>
      <c r="I52" s="328">
        <f>'d3'!I52-d3П!I49</f>
        <v>0</v>
      </c>
      <c r="J52" s="328">
        <f>'d3'!J52-d3П!J49</f>
        <v>5136016.2899999917</v>
      </c>
      <c r="K52" s="328">
        <f>'d3'!K52-d3П!K49</f>
        <v>5136016.2899999991</v>
      </c>
      <c r="L52" s="328">
        <f>'d3'!L52-d3П!L49</f>
        <v>-1400</v>
      </c>
      <c r="M52" s="328">
        <f>'d3'!M52-d3П!M49</f>
        <v>42800</v>
      </c>
      <c r="N52" s="328">
        <f>'d3'!N52-d3П!N49</f>
        <v>0</v>
      </c>
      <c r="O52" s="328">
        <f>'d3'!O52-d3П!O49</f>
        <v>5137416.2899999991</v>
      </c>
      <c r="P52" s="328">
        <f>'d3'!P52-d3П!P49</f>
        <v>9130660.4299999475</v>
      </c>
      <c r="Q52" s="143"/>
      <c r="R52" s="26"/>
      <c r="T52" s="38"/>
    </row>
    <row r="53" spans="1:20" ht="138.75" thickTop="1" thickBot="1" x14ac:dyDescent="0.25">
      <c r="A53" s="103" t="s">
        <v>650</v>
      </c>
      <c r="B53" s="103" t="s">
        <v>651</v>
      </c>
      <c r="C53" s="103" t="s">
        <v>207</v>
      </c>
      <c r="D53" s="103" t="s">
        <v>1277</v>
      </c>
      <c r="E53" s="328">
        <f>'d3'!E53-d3П!E50</f>
        <v>0</v>
      </c>
      <c r="F53" s="328">
        <f>'d3'!F53-d3П!F50</f>
        <v>0</v>
      </c>
      <c r="G53" s="328">
        <f>'d3'!G53-d3П!G50</f>
        <v>0</v>
      </c>
      <c r="H53" s="328">
        <f>'d3'!H53-d3П!H50</f>
        <v>0</v>
      </c>
      <c r="I53" s="328">
        <f>'d3'!I53-d3П!I50</f>
        <v>0</v>
      </c>
      <c r="J53" s="328">
        <f>'d3'!J53-d3П!J50</f>
        <v>0</v>
      </c>
      <c r="K53" s="328">
        <f>'d3'!K53-d3П!K50</f>
        <v>0</v>
      </c>
      <c r="L53" s="328">
        <f>'d3'!L53-d3П!L50</f>
        <v>0</v>
      </c>
      <c r="M53" s="328">
        <f>'d3'!M53-d3П!M50</f>
        <v>0</v>
      </c>
      <c r="N53" s="328">
        <f>'d3'!N53-d3П!N50</f>
        <v>0</v>
      </c>
      <c r="O53" s="328">
        <f>'d3'!O53-d3П!O50</f>
        <v>0</v>
      </c>
      <c r="P53" s="328">
        <f>'d3'!P53-d3П!P50</f>
        <v>0</v>
      </c>
      <c r="Q53" s="20"/>
      <c r="R53" s="27"/>
    </row>
    <row r="54" spans="1:20" ht="93" thickTop="1" thickBot="1" x14ac:dyDescent="0.25">
      <c r="A54" s="103" t="s">
        <v>996</v>
      </c>
      <c r="B54" s="103" t="s">
        <v>997</v>
      </c>
      <c r="C54" s="103" t="s">
        <v>207</v>
      </c>
      <c r="D54" s="103" t="s">
        <v>1278</v>
      </c>
      <c r="E54" s="328">
        <f>'d3'!E54-d3П!E51</f>
        <v>0</v>
      </c>
      <c r="F54" s="328">
        <f>'d3'!F54-d3П!F51</f>
        <v>0</v>
      </c>
      <c r="G54" s="328">
        <f>'d3'!G54-d3П!G51</f>
        <v>0</v>
      </c>
      <c r="H54" s="328">
        <f>'d3'!H54-d3П!H51</f>
        <v>0</v>
      </c>
      <c r="I54" s="328">
        <f>'d3'!I54-d3П!I51</f>
        <v>0</v>
      </c>
      <c r="J54" s="328">
        <f>'d3'!J54-d3П!J51</f>
        <v>0</v>
      </c>
      <c r="K54" s="328">
        <f>'d3'!K54-d3П!K51</f>
        <v>0</v>
      </c>
      <c r="L54" s="328">
        <f>'d3'!L54-d3П!L51</f>
        <v>0</v>
      </c>
      <c r="M54" s="328">
        <f>'d3'!M54-d3П!M51</f>
        <v>0</v>
      </c>
      <c r="N54" s="328">
        <f>'d3'!N54-d3П!N51</f>
        <v>0</v>
      </c>
      <c r="O54" s="328">
        <f>'d3'!O54-d3П!O51</f>
        <v>0</v>
      </c>
      <c r="P54" s="328">
        <f>'d3'!P54-d3П!P51</f>
        <v>0</v>
      </c>
      <c r="Q54" s="20"/>
      <c r="R54" s="27"/>
    </row>
    <row r="55" spans="1:20" ht="47.25" thickTop="1" thickBot="1" x14ac:dyDescent="0.25">
      <c r="A55" s="329" t="s">
        <v>498</v>
      </c>
      <c r="B55" s="329" t="s">
        <v>205</v>
      </c>
      <c r="C55" s="329"/>
      <c r="D55" s="329" t="s">
        <v>658</v>
      </c>
      <c r="E55" s="328">
        <f>'d3'!E55-d3П!E52</f>
        <v>1158900</v>
      </c>
      <c r="F55" s="328">
        <f>'d3'!F55-d3П!F52</f>
        <v>1158900</v>
      </c>
      <c r="G55" s="328">
        <f>'d3'!G55-d3П!G52</f>
        <v>949920</v>
      </c>
      <c r="H55" s="328">
        <f>'d3'!H55-d3П!H52</f>
        <v>0</v>
      </c>
      <c r="I55" s="328">
        <f>'d3'!I55-d3П!I52</f>
        <v>0</v>
      </c>
      <c r="J55" s="328">
        <f>'d3'!J55-d3П!J52</f>
        <v>0</v>
      </c>
      <c r="K55" s="328">
        <f>'d3'!K55-d3П!K52</f>
        <v>0</v>
      </c>
      <c r="L55" s="328">
        <f>'d3'!L55-d3П!L52</f>
        <v>0</v>
      </c>
      <c r="M55" s="328">
        <f>'d3'!M55-d3П!M52</f>
        <v>0</v>
      </c>
      <c r="N55" s="328">
        <f>'d3'!N55-d3П!N52</f>
        <v>0</v>
      </c>
      <c r="O55" s="328">
        <f>'d3'!O55-d3П!O52</f>
        <v>0</v>
      </c>
      <c r="P55" s="328">
        <f>'d3'!P55-d3П!P52</f>
        <v>1158900</v>
      </c>
      <c r="Q55" s="20"/>
      <c r="R55" s="35"/>
    </row>
    <row r="56" spans="1:20" ht="93" thickTop="1" thickBot="1" x14ac:dyDescent="0.25">
      <c r="A56" s="103" t="s">
        <v>659</v>
      </c>
      <c r="B56" s="103" t="s">
        <v>660</v>
      </c>
      <c r="C56" s="103" t="s">
        <v>204</v>
      </c>
      <c r="D56" s="103" t="s">
        <v>1279</v>
      </c>
      <c r="E56" s="328">
        <f>'d3'!E56-d3П!E53</f>
        <v>1158900</v>
      </c>
      <c r="F56" s="328">
        <f>'d3'!F56-d3П!F53</f>
        <v>1158900</v>
      </c>
      <c r="G56" s="328">
        <f>'d3'!G56-d3П!G53</f>
        <v>949920</v>
      </c>
      <c r="H56" s="328">
        <f>'d3'!H56-d3П!H53</f>
        <v>0</v>
      </c>
      <c r="I56" s="328">
        <f>'d3'!I56-d3П!I53</f>
        <v>0</v>
      </c>
      <c r="J56" s="328">
        <f>'d3'!J56-d3П!J53</f>
        <v>0</v>
      </c>
      <c r="K56" s="328">
        <f>'d3'!K56-d3П!K53</f>
        <v>0</v>
      </c>
      <c r="L56" s="328">
        <f>'d3'!L56-d3П!L53</f>
        <v>0</v>
      </c>
      <c r="M56" s="328">
        <f>'d3'!M56-d3П!M53</f>
        <v>0</v>
      </c>
      <c r="N56" s="328">
        <f>'d3'!N56-d3П!N53</f>
        <v>0</v>
      </c>
      <c r="O56" s="328">
        <f>'d3'!O56-d3П!O53</f>
        <v>0</v>
      </c>
      <c r="P56" s="328">
        <f>'d3'!P56-d3П!P53</f>
        <v>1158900</v>
      </c>
      <c r="Q56" s="20"/>
      <c r="R56" s="30"/>
    </row>
    <row r="57" spans="1:20" ht="93" thickTop="1" thickBot="1" x14ac:dyDescent="0.25">
      <c r="A57" s="103" t="s">
        <v>1130</v>
      </c>
      <c r="B57" s="343" t="s">
        <v>1131</v>
      </c>
      <c r="C57" s="103" t="s">
        <v>207</v>
      </c>
      <c r="D57" s="103" t="s">
        <v>1280</v>
      </c>
      <c r="E57" s="328">
        <f>'d3'!E57-d3П!E54</f>
        <v>0</v>
      </c>
      <c r="F57" s="328">
        <f>'d3'!F57-d3П!F54</f>
        <v>0</v>
      </c>
      <c r="G57" s="328">
        <f>'d3'!G57-d3П!G54</f>
        <v>0</v>
      </c>
      <c r="H57" s="328">
        <f>'d3'!H57-d3П!H54</f>
        <v>0</v>
      </c>
      <c r="I57" s="328">
        <f>'d3'!I57-d3П!I54</f>
        <v>0</v>
      </c>
      <c r="J57" s="328">
        <f>'d3'!J57-d3П!J54</f>
        <v>0</v>
      </c>
      <c r="K57" s="328">
        <f>'d3'!K57-d3П!K54</f>
        <v>0</v>
      </c>
      <c r="L57" s="328">
        <f>'d3'!L57-d3П!L54</f>
        <v>0</v>
      </c>
      <c r="M57" s="328">
        <f>'d3'!M57-d3П!M54</f>
        <v>0</v>
      </c>
      <c r="N57" s="328">
        <f>'d3'!N57-d3П!N54</f>
        <v>0</v>
      </c>
      <c r="O57" s="328">
        <f>'d3'!O57-d3П!O54</f>
        <v>0</v>
      </c>
      <c r="P57" s="328">
        <f>'d3'!P57-d3П!P54</f>
        <v>0</v>
      </c>
      <c r="Q57" s="20"/>
      <c r="R57" s="30"/>
    </row>
    <row r="58" spans="1:20" ht="230.25" thickTop="1" thickBot="1" x14ac:dyDescent="0.25">
      <c r="A58" s="566" t="s">
        <v>930</v>
      </c>
      <c r="B58" s="566" t="s">
        <v>50</v>
      </c>
      <c r="C58" s="566"/>
      <c r="D58" s="656" t="s">
        <v>1565</v>
      </c>
      <c r="E58" s="328">
        <f>'d3'!E58-d3П!E55</f>
        <v>0</v>
      </c>
      <c r="F58" s="328">
        <f>'d3'!F58-d3П!F55</f>
        <v>0</v>
      </c>
      <c r="G58" s="328">
        <f>'d3'!G58-d3П!G55</f>
        <v>0</v>
      </c>
      <c r="H58" s="328">
        <f>'d3'!H58-d3П!H55</f>
        <v>0</v>
      </c>
      <c r="I58" s="328">
        <f>'d3'!I58-d3П!I55</f>
        <v>0</v>
      </c>
      <c r="J58" s="328">
        <f>'d3'!J58-d3П!J55</f>
        <v>0</v>
      </c>
      <c r="K58" s="328">
        <f>'d3'!K58-d3П!K55</f>
        <v>0</v>
      </c>
      <c r="L58" s="328">
        <f>'d3'!L58-d3П!L55</f>
        <v>0</v>
      </c>
      <c r="M58" s="328">
        <f>'d3'!M58-d3П!M55</f>
        <v>0</v>
      </c>
      <c r="N58" s="328">
        <f>'d3'!N58-d3П!N55</f>
        <v>0</v>
      </c>
      <c r="O58" s="328">
        <f>'d3'!O58-d3П!O55</f>
        <v>0</v>
      </c>
      <c r="P58" s="328">
        <f>'d3'!P58-d3П!P55</f>
        <v>0</v>
      </c>
      <c r="Q58" s="20"/>
      <c r="R58" s="30"/>
    </row>
    <row r="59" spans="1:20" ht="310.5" customHeight="1" thickTop="1" thickBot="1" x14ac:dyDescent="0.25">
      <c r="A59" s="103" t="s">
        <v>931</v>
      </c>
      <c r="B59" s="103" t="s">
        <v>932</v>
      </c>
      <c r="C59" s="103" t="s">
        <v>204</v>
      </c>
      <c r="D59" s="103" t="s">
        <v>1566</v>
      </c>
      <c r="E59" s="328">
        <f>'d3'!E59-d3П!E56</f>
        <v>0</v>
      </c>
      <c r="F59" s="328">
        <f>'d3'!F59-d3П!F56</f>
        <v>0</v>
      </c>
      <c r="G59" s="328">
        <f>'d3'!G59-d3П!G56</f>
        <v>0</v>
      </c>
      <c r="H59" s="328">
        <f>'d3'!H59-d3П!H56</f>
        <v>0</v>
      </c>
      <c r="I59" s="328">
        <f>'d3'!I59-d3П!I56</f>
        <v>0</v>
      </c>
      <c r="J59" s="328">
        <f>'d3'!J59-d3П!J56</f>
        <v>0</v>
      </c>
      <c r="K59" s="328">
        <f>'d3'!K59-d3П!K56</f>
        <v>0</v>
      </c>
      <c r="L59" s="328">
        <f>'d3'!L59-d3П!L56</f>
        <v>0</v>
      </c>
      <c r="M59" s="328">
        <f>'d3'!M59-d3П!M56</f>
        <v>0</v>
      </c>
      <c r="N59" s="328">
        <f>'d3'!N59-d3П!N56</f>
        <v>0</v>
      </c>
      <c r="O59" s="328">
        <f>'d3'!O59-d3П!O56</f>
        <v>0</v>
      </c>
      <c r="P59" s="328">
        <f>'d3'!P59-d3П!P56</f>
        <v>0</v>
      </c>
      <c r="Q59" s="20"/>
      <c r="R59" s="26"/>
    </row>
    <row r="60" spans="1:20" ht="93" thickTop="1" thickBot="1" x14ac:dyDescent="0.25">
      <c r="A60" s="103" t="s">
        <v>661</v>
      </c>
      <c r="B60" s="103" t="s">
        <v>206</v>
      </c>
      <c r="C60" s="103" t="s">
        <v>181</v>
      </c>
      <c r="D60" s="103" t="s">
        <v>499</v>
      </c>
      <c r="E60" s="328">
        <f>'d3'!E60-d3П!E57</f>
        <v>0</v>
      </c>
      <c r="F60" s="328">
        <f>'d3'!F60-d3П!F57</f>
        <v>0</v>
      </c>
      <c r="G60" s="328">
        <f>'d3'!G60-d3П!G57</f>
        <v>0</v>
      </c>
      <c r="H60" s="328">
        <f>'d3'!H60-d3П!H57</f>
        <v>0</v>
      </c>
      <c r="I60" s="328">
        <f>'d3'!I60-d3П!I57</f>
        <v>0</v>
      </c>
      <c r="J60" s="328">
        <f>'d3'!J60-d3П!J57</f>
        <v>1000000</v>
      </c>
      <c r="K60" s="328">
        <f>'d3'!K60-d3П!K57</f>
        <v>1000000</v>
      </c>
      <c r="L60" s="328">
        <f>'d3'!L60-d3П!L57</f>
        <v>0</v>
      </c>
      <c r="M60" s="328">
        <f>'d3'!M60-d3П!M57</f>
        <v>0</v>
      </c>
      <c r="N60" s="328">
        <f>'d3'!N60-d3П!N57</f>
        <v>0</v>
      </c>
      <c r="O60" s="328">
        <f>'d3'!O60-d3П!O57</f>
        <v>1000000</v>
      </c>
      <c r="P60" s="328">
        <f>'d3'!P60-d3П!P57</f>
        <v>1000000</v>
      </c>
      <c r="Q60" s="20"/>
      <c r="R60" s="26"/>
    </row>
    <row r="61" spans="1:20" ht="93" thickTop="1" thickBot="1" x14ac:dyDescent="0.25">
      <c r="A61" s="329" t="s">
        <v>208</v>
      </c>
      <c r="B61" s="329" t="s">
        <v>191</v>
      </c>
      <c r="C61" s="329"/>
      <c r="D61" s="329" t="s">
        <v>500</v>
      </c>
      <c r="E61" s="328">
        <f>'d3'!E61-d3П!E58</f>
        <v>133727.50999999046</v>
      </c>
      <c r="F61" s="328">
        <f>'d3'!F61-d3П!F58</f>
        <v>133727.50999999046</v>
      </c>
      <c r="G61" s="328">
        <f>'d3'!G61-d3П!G58</f>
        <v>0</v>
      </c>
      <c r="H61" s="328">
        <f>'d3'!H61-d3П!H58</f>
        <v>133727.51000000164</v>
      </c>
      <c r="I61" s="328">
        <f>'d3'!I61-d3П!I58</f>
        <v>0</v>
      </c>
      <c r="J61" s="328">
        <f>'d3'!J61-d3П!J58</f>
        <v>0</v>
      </c>
      <c r="K61" s="328">
        <f>'d3'!K61-d3П!K58</f>
        <v>0</v>
      </c>
      <c r="L61" s="328">
        <f>'d3'!L61-d3П!L58</f>
        <v>-120000</v>
      </c>
      <c r="M61" s="328">
        <f>'d3'!M61-d3П!M58</f>
        <v>-266000</v>
      </c>
      <c r="N61" s="328">
        <f>'d3'!N61-d3П!N58</f>
        <v>0</v>
      </c>
      <c r="O61" s="328">
        <f>'d3'!O61-d3П!O58</f>
        <v>120000</v>
      </c>
      <c r="P61" s="328">
        <f>'d3'!P61-d3П!P58</f>
        <v>133727.50999999046</v>
      </c>
      <c r="Q61" s="20"/>
      <c r="R61" s="35"/>
    </row>
    <row r="62" spans="1:20" ht="93" thickTop="1" thickBot="1" x14ac:dyDescent="0.25">
      <c r="A62" s="103" t="s">
        <v>662</v>
      </c>
      <c r="B62" s="103" t="s">
        <v>663</v>
      </c>
      <c r="C62" s="103" t="s">
        <v>209</v>
      </c>
      <c r="D62" s="103" t="s">
        <v>664</v>
      </c>
      <c r="E62" s="328">
        <f>'d3'!E62-d3П!E59</f>
        <v>133727.50999999046</v>
      </c>
      <c r="F62" s="328">
        <f>'d3'!F62-d3П!F59</f>
        <v>133727.50999999046</v>
      </c>
      <c r="G62" s="328">
        <f>'d3'!G62-d3П!G59</f>
        <v>0</v>
      </c>
      <c r="H62" s="328">
        <f>'d3'!H62-d3П!H59</f>
        <v>133727.51000000164</v>
      </c>
      <c r="I62" s="328">
        <f>'d3'!I62-d3П!I59</f>
        <v>0</v>
      </c>
      <c r="J62" s="328">
        <f>'d3'!J62-d3П!J59</f>
        <v>0</v>
      </c>
      <c r="K62" s="328">
        <f>'d3'!K62-d3П!K59</f>
        <v>0</v>
      </c>
      <c r="L62" s="328">
        <f>'d3'!L62-d3П!L59</f>
        <v>-120000</v>
      </c>
      <c r="M62" s="328">
        <f>'d3'!M62-d3П!M59</f>
        <v>-266000</v>
      </c>
      <c r="N62" s="328">
        <f>'d3'!N62-d3П!N59</f>
        <v>0</v>
      </c>
      <c r="O62" s="328">
        <f>'d3'!O62-d3П!O59</f>
        <v>120000</v>
      </c>
      <c r="P62" s="328">
        <f>'d3'!P62-d3П!P59</f>
        <v>133727.50999999046</v>
      </c>
      <c r="Q62" s="20"/>
      <c r="R62" s="26"/>
    </row>
    <row r="63" spans="1:20" ht="93" thickTop="1" thickBot="1" x14ac:dyDescent="0.25">
      <c r="A63" s="103" t="s">
        <v>666</v>
      </c>
      <c r="B63" s="103" t="s">
        <v>665</v>
      </c>
      <c r="C63" s="103" t="s">
        <v>209</v>
      </c>
      <c r="D63" s="103" t="s">
        <v>667</v>
      </c>
      <c r="E63" s="328">
        <f>'d3'!E63-d3П!E60</f>
        <v>0</v>
      </c>
      <c r="F63" s="328">
        <f>'d3'!F63-d3П!F60</f>
        <v>0</v>
      </c>
      <c r="G63" s="328">
        <f>'d3'!G63-d3П!G60</f>
        <v>0</v>
      </c>
      <c r="H63" s="328">
        <f>'d3'!H63-d3П!H60</f>
        <v>0</v>
      </c>
      <c r="I63" s="328">
        <f>'d3'!I63-d3П!I60</f>
        <v>0</v>
      </c>
      <c r="J63" s="328">
        <f>'d3'!J63-d3П!J60</f>
        <v>0</v>
      </c>
      <c r="K63" s="328">
        <f>'d3'!K63-d3П!K60</f>
        <v>0</v>
      </c>
      <c r="L63" s="328">
        <f>'d3'!L63-d3П!L60</f>
        <v>0</v>
      </c>
      <c r="M63" s="328">
        <f>'d3'!M63-d3П!M60</f>
        <v>0</v>
      </c>
      <c r="N63" s="328">
        <f>'d3'!N63-d3П!N60</f>
        <v>0</v>
      </c>
      <c r="O63" s="328">
        <f>'d3'!O63-d3П!O60</f>
        <v>0</v>
      </c>
      <c r="P63" s="328">
        <f>'d3'!P63-d3П!P60</f>
        <v>0</v>
      </c>
      <c r="Q63" s="20"/>
      <c r="R63" s="30"/>
    </row>
    <row r="64" spans="1:20" ht="47.25" thickTop="1" thickBot="1" x14ac:dyDescent="0.25">
      <c r="A64" s="329" t="s">
        <v>669</v>
      </c>
      <c r="B64" s="329" t="s">
        <v>668</v>
      </c>
      <c r="C64" s="329"/>
      <c r="D64" s="329" t="s">
        <v>670</v>
      </c>
      <c r="E64" s="328">
        <f>'d3'!E64-d3П!E61</f>
        <v>55800</v>
      </c>
      <c r="F64" s="328">
        <f>'d3'!F64-d3П!F61</f>
        <v>55800</v>
      </c>
      <c r="G64" s="328">
        <f>'d3'!G64-d3П!G61</f>
        <v>0</v>
      </c>
      <c r="H64" s="328">
        <f>'d3'!H64-d3П!H61</f>
        <v>0</v>
      </c>
      <c r="I64" s="328">
        <f>'d3'!I64-d3П!I61</f>
        <v>0</v>
      </c>
      <c r="J64" s="328">
        <f>'d3'!J64-d3П!J61</f>
        <v>140000.00000000012</v>
      </c>
      <c r="K64" s="328">
        <f>'d3'!K64-d3П!K61</f>
        <v>140000.00000000012</v>
      </c>
      <c r="L64" s="328">
        <f>'d3'!L64-d3П!L61</f>
        <v>0</v>
      </c>
      <c r="M64" s="328">
        <f>'d3'!M64-d3П!M61</f>
        <v>0</v>
      </c>
      <c r="N64" s="328">
        <f>'d3'!N64-d3П!N61</f>
        <v>0</v>
      </c>
      <c r="O64" s="328">
        <f>'d3'!O64-d3П!O61</f>
        <v>140000.00000000012</v>
      </c>
      <c r="P64" s="328">
        <f>'d3'!P64-d3П!P61</f>
        <v>195800</v>
      </c>
      <c r="Q64" s="20"/>
      <c r="R64" s="35"/>
    </row>
    <row r="65" spans="1:18" ht="47.25" thickTop="1" thickBot="1" x14ac:dyDescent="0.25">
      <c r="A65" s="103" t="s">
        <v>671</v>
      </c>
      <c r="B65" s="103" t="s">
        <v>672</v>
      </c>
      <c r="C65" s="103" t="s">
        <v>210</v>
      </c>
      <c r="D65" s="103" t="s">
        <v>501</v>
      </c>
      <c r="E65" s="328">
        <f>'d3'!E65-d3П!E62</f>
        <v>55800</v>
      </c>
      <c r="F65" s="328">
        <f>'d3'!F65-d3П!F62</f>
        <v>55800</v>
      </c>
      <c r="G65" s="328">
        <f>'d3'!G65-d3П!G62</f>
        <v>0</v>
      </c>
      <c r="H65" s="328">
        <f>'d3'!H65-d3П!H62</f>
        <v>0</v>
      </c>
      <c r="I65" s="328">
        <f>'d3'!I65-d3П!I62</f>
        <v>0</v>
      </c>
      <c r="J65" s="328">
        <f>'d3'!J65-d3П!J62</f>
        <v>140000.00000000012</v>
      </c>
      <c r="K65" s="328">
        <f>'d3'!K65-d3П!K62</f>
        <v>140000.00000000012</v>
      </c>
      <c r="L65" s="328">
        <f>'d3'!L65-d3П!L62</f>
        <v>0</v>
      </c>
      <c r="M65" s="328">
        <f>'d3'!M65-d3П!M62</f>
        <v>0</v>
      </c>
      <c r="N65" s="328">
        <f>'d3'!N65-d3П!N62</f>
        <v>0</v>
      </c>
      <c r="O65" s="328">
        <f>'d3'!O65-d3П!O62</f>
        <v>140000.00000000012</v>
      </c>
      <c r="P65" s="328">
        <f>'d3'!P65-d3П!P62</f>
        <v>195800</v>
      </c>
      <c r="Q65" s="20"/>
      <c r="R65" s="30"/>
    </row>
    <row r="66" spans="1:18" ht="47.25" thickTop="1" thickBot="1" x14ac:dyDescent="0.25">
      <c r="A66" s="103" t="s">
        <v>673</v>
      </c>
      <c r="B66" s="103" t="s">
        <v>674</v>
      </c>
      <c r="C66" s="103" t="s">
        <v>210</v>
      </c>
      <c r="D66" s="103" t="s">
        <v>337</v>
      </c>
      <c r="E66" s="328">
        <f>'d3'!E66-d3П!E63</f>
        <v>0</v>
      </c>
      <c r="F66" s="328">
        <f>'d3'!F66-d3П!F63</f>
        <v>0</v>
      </c>
      <c r="G66" s="328">
        <f>'d3'!G66-d3П!G63</f>
        <v>0</v>
      </c>
      <c r="H66" s="328">
        <f>'d3'!H66-d3П!H63</f>
        <v>0</v>
      </c>
      <c r="I66" s="328">
        <f>'d3'!I66-d3П!I63</f>
        <v>0</v>
      </c>
      <c r="J66" s="328">
        <f>'d3'!J66-d3П!J63</f>
        <v>0</v>
      </c>
      <c r="K66" s="328">
        <f>'d3'!K66-d3П!K63</f>
        <v>0</v>
      </c>
      <c r="L66" s="328">
        <f>'d3'!L66-d3П!L63</f>
        <v>0</v>
      </c>
      <c r="M66" s="328">
        <f>'d3'!M66-d3П!M63</f>
        <v>0</v>
      </c>
      <c r="N66" s="328">
        <f>'d3'!N66-d3П!N63</f>
        <v>0</v>
      </c>
      <c r="O66" s="328">
        <f>'d3'!O66-d3П!O63</f>
        <v>0</v>
      </c>
      <c r="P66" s="328">
        <f>'d3'!P66-d3П!P63</f>
        <v>0</v>
      </c>
      <c r="Q66" s="20"/>
      <c r="R66" s="30"/>
    </row>
    <row r="67" spans="1:18" ht="47.25" thickTop="1" thickBot="1" x14ac:dyDescent="0.25">
      <c r="A67" s="329" t="s">
        <v>675</v>
      </c>
      <c r="B67" s="329" t="s">
        <v>676</v>
      </c>
      <c r="C67" s="329"/>
      <c r="D67" s="329" t="s">
        <v>429</v>
      </c>
      <c r="E67" s="328">
        <f>'d3'!E67-d3П!E64</f>
        <v>0</v>
      </c>
      <c r="F67" s="328">
        <f>'d3'!F67-d3П!F64</f>
        <v>0</v>
      </c>
      <c r="G67" s="328">
        <f>'d3'!G67-d3П!G64</f>
        <v>0</v>
      </c>
      <c r="H67" s="328">
        <f>'d3'!H67-d3П!H64</f>
        <v>0</v>
      </c>
      <c r="I67" s="328">
        <f>'d3'!I67-d3П!I64</f>
        <v>0</v>
      </c>
      <c r="J67" s="328">
        <f>'d3'!J67-d3П!J64</f>
        <v>0</v>
      </c>
      <c r="K67" s="328">
        <f>'d3'!K67-d3П!K64</f>
        <v>0</v>
      </c>
      <c r="L67" s="328">
        <f>'d3'!L67-d3П!L64</f>
        <v>0</v>
      </c>
      <c r="M67" s="328">
        <f>'d3'!M67-d3П!M64</f>
        <v>0</v>
      </c>
      <c r="N67" s="328">
        <f>'d3'!N67-d3П!N64</f>
        <v>0</v>
      </c>
      <c r="O67" s="328">
        <f>'d3'!O67-d3П!O64</f>
        <v>0</v>
      </c>
      <c r="P67" s="328">
        <f>'d3'!P67-d3П!P64</f>
        <v>0</v>
      </c>
      <c r="Q67" s="20"/>
      <c r="R67" s="35"/>
    </row>
    <row r="68" spans="1:18" ht="93" thickTop="1" thickBot="1" x14ac:dyDescent="0.25">
      <c r="A68" s="103" t="s">
        <v>677</v>
      </c>
      <c r="B68" s="103" t="s">
        <v>678</v>
      </c>
      <c r="C68" s="103" t="s">
        <v>210</v>
      </c>
      <c r="D68" s="103" t="s">
        <v>679</v>
      </c>
      <c r="E68" s="328">
        <f>'d3'!E68-d3П!E65</f>
        <v>0</v>
      </c>
      <c r="F68" s="328">
        <f>'d3'!F68-d3П!F65</f>
        <v>0</v>
      </c>
      <c r="G68" s="328">
        <f>'d3'!G68-d3П!G65</f>
        <v>0</v>
      </c>
      <c r="H68" s="328">
        <f>'d3'!H68-d3П!H65</f>
        <v>0</v>
      </c>
      <c r="I68" s="328">
        <f>'d3'!I68-d3П!I65</f>
        <v>0</v>
      </c>
      <c r="J68" s="328">
        <f>'d3'!J68-d3П!J65</f>
        <v>0</v>
      </c>
      <c r="K68" s="328">
        <f>'d3'!K68-d3П!K65</f>
        <v>0</v>
      </c>
      <c r="L68" s="328">
        <f>'d3'!L68-d3П!L65</f>
        <v>0</v>
      </c>
      <c r="M68" s="328">
        <f>'d3'!M68-d3П!M65</f>
        <v>0</v>
      </c>
      <c r="N68" s="328">
        <f>'d3'!N68-d3П!N65</f>
        <v>0</v>
      </c>
      <c r="O68" s="328">
        <f>'d3'!O68-d3П!O65</f>
        <v>0</v>
      </c>
      <c r="P68" s="328">
        <f>'d3'!P68-d3П!P65</f>
        <v>0</v>
      </c>
      <c r="Q68" s="20"/>
      <c r="R68" s="26"/>
    </row>
    <row r="69" spans="1:18" ht="93" thickTop="1" thickBot="1" x14ac:dyDescent="0.25">
      <c r="A69" s="103" t="s">
        <v>680</v>
      </c>
      <c r="B69" s="103" t="s">
        <v>681</v>
      </c>
      <c r="C69" s="103" t="s">
        <v>210</v>
      </c>
      <c r="D69" s="103" t="s">
        <v>682</v>
      </c>
      <c r="E69" s="328">
        <f>'d3'!E69-d3П!E66</f>
        <v>0</v>
      </c>
      <c r="F69" s="328">
        <f>'d3'!F69-d3П!F66</f>
        <v>0</v>
      </c>
      <c r="G69" s="328">
        <f>'d3'!G69-d3П!G66</f>
        <v>0</v>
      </c>
      <c r="H69" s="328">
        <f>'d3'!H69-d3П!H66</f>
        <v>0</v>
      </c>
      <c r="I69" s="328">
        <f>'d3'!I69-d3П!I66</f>
        <v>0</v>
      </c>
      <c r="J69" s="328">
        <f>'d3'!J69-d3П!J66</f>
        <v>0</v>
      </c>
      <c r="K69" s="328">
        <f>'d3'!K69-d3П!K66</f>
        <v>0</v>
      </c>
      <c r="L69" s="328">
        <f>'d3'!L69-d3П!L66</f>
        <v>0</v>
      </c>
      <c r="M69" s="328">
        <f>'d3'!M69-d3П!M66</f>
        <v>0</v>
      </c>
      <c r="N69" s="328">
        <f>'d3'!N69-d3П!N66</f>
        <v>0</v>
      </c>
      <c r="O69" s="328">
        <f>'d3'!O69-d3П!O66</f>
        <v>0</v>
      </c>
      <c r="P69" s="328">
        <f>'d3'!P69-d3П!P66</f>
        <v>0</v>
      </c>
      <c r="Q69" s="20"/>
      <c r="R69" s="30"/>
    </row>
    <row r="70" spans="1:18" ht="47.25" thickTop="1" thickBot="1" x14ac:dyDescent="0.25">
      <c r="A70" s="103" t="s">
        <v>647</v>
      </c>
      <c r="B70" s="103" t="s">
        <v>648</v>
      </c>
      <c r="C70" s="103" t="s">
        <v>210</v>
      </c>
      <c r="D70" s="103" t="s">
        <v>649</v>
      </c>
      <c r="E70" s="328">
        <f>'d3'!E70-d3П!E67</f>
        <v>0</v>
      </c>
      <c r="F70" s="328">
        <f>'d3'!F70-d3П!F67</f>
        <v>0</v>
      </c>
      <c r="G70" s="328">
        <f>'d3'!G70-d3П!G67</f>
        <v>0</v>
      </c>
      <c r="H70" s="328">
        <f>'d3'!H70-d3П!H67</f>
        <v>0</v>
      </c>
      <c r="I70" s="328">
        <f>'d3'!I70-d3П!I67</f>
        <v>0</v>
      </c>
      <c r="J70" s="328">
        <f>'d3'!J70-d3П!J67</f>
        <v>0</v>
      </c>
      <c r="K70" s="328">
        <f>'d3'!K70-d3П!K67</f>
        <v>0</v>
      </c>
      <c r="L70" s="328">
        <f>'d3'!L70-d3П!L67</f>
        <v>0</v>
      </c>
      <c r="M70" s="328">
        <f>'d3'!M70-d3П!M67</f>
        <v>0</v>
      </c>
      <c r="N70" s="328">
        <f>'d3'!N70-d3П!N67</f>
        <v>0</v>
      </c>
      <c r="O70" s="328">
        <f>'d3'!O70-d3П!O67</f>
        <v>0</v>
      </c>
      <c r="P70" s="328">
        <f>'d3'!P70-d3П!P67</f>
        <v>0</v>
      </c>
      <c r="Q70" s="20"/>
      <c r="R70" s="26"/>
    </row>
    <row r="71" spans="1:18" s="33" customFormat="1" ht="93" hidden="1" customHeight="1" thickTop="1" thickBot="1" x14ac:dyDescent="0.25">
      <c r="A71" s="144" t="s">
        <v>652</v>
      </c>
      <c r="B71" s="144" t="s">
        <v>653</v>
      </c>
      <c r="C71" s="144"/>
      <c r="D71" s="144" t="s">
        <v>654</v>
      </c>
      <c r="E71" s="328">
        <f>'d3'!E71-d3П!E68</f>
        <v>0</v>
      </c>
      <c r="F71" s="328">
        <f>'d3'!F71-d3П!F68</f>
        <v>0</v>
      </c>
      <c r="G71" s="328">
        <f>'d3'!G71-d3П!G68</f>
        <v>0</v>
      </c>
      <c r="H71" s="328">
        <f>'d3'!H71-d3П!H68</f>
        <v>0</v>
      </c>
      <c r="I71" s="328">
        <f>'d3'!I71-d3П!I68</f>
        <v>0</v>
      </c>
      <c r="J71" s="328">
        <f>'d3'!J71-d3П!J68</f>
        <v>0</v>
      </c>
      <c r="K71" s="328">
        <f>'d3'!K71-d3П!K68</f>
        <v>0</v>
      </c>
      <c r="L71" s="328">
        <f>'d3'!L71-d3П!L68</f>
        <v>0</v>
      </c>
      <c r="M71" s="328">
        <f>'d3'!M71-d3П!M68</f>
        <v>0</v>
      </c>
      <c r="N71" s="328">
        <f>'d3'!N71-d3П!N68</f>
        <v>0</v>
      </c>
      <c r="O71" s="328">
        <f>'d3'!O71-d3П!O68</f>
        <v>0</v>
      </c>
      <c r="P71" s="328">
        <f>'d3'!P71-d3П!P68</f>
        <v>0</v>
      </c>
      <c r="Q71" s="36"/>
      <c r="R71" s="37"/>
    </row>
    <row r="72" spans="1:18" s="33" customFormat="1" ht="138.75" hidden="1" customHeight="1" thickTop="1" thickBot="1" x14ac:dyDescent="0.25">
      <c r="A72" s="41" t="s">
        <v>655</v>
      </c>
      <c r="B72" s="41" t="s">
        <v>656</v>
      </c>
      <c r="C72" s="41" t="s">
        <v>210</v>
      </c>
      <c r="D72" s="41" t="s">
        <v>657</v>
      </c>
      <c r="E72" s="328">
        <f>'d3'!E72-d3П!E69</f>
        <v>0</v>
      </c>
      <c r="F72" s="328">
        <f>'d3'!F72-d3П!F69</f>
        <v>0</v>
      </c>
      <c r="G72" s="328">
        <f>'d3'!G72-d3П!G69</f>
        <v>0</v>
      </c>
      <c r="H72" s="328">
        <f>'d3'!H72-d3П!H69</f>
        <v>0</v>
      </c>
      <c r="I72" s="328">
        <f>'d3'!I72-d3П!I69</f>
        <v>0</v>
      </c>
      <c r="J72" s="328">
        <f>'d3'!J72-d3П!J69</f>
        <v>0</v>
      </c>
      <c r="K72" s="328">
        <f>'d3'!K72-d3П!K69</f>
        <v>0</v>
      </c>
      <c r="L72" s="328">
        <f>'d3'!L72-d3П!L69</f>
        <v>0</v>
      </c>
      <c r="M72" s="328">
        <f>'d3'!M72-d3П!M69</f>
        <v>0</v>
      </c>
      <c r="N72" s="328">
        <f>'d3'!N72-d3П!N69</f>
        <v>0</v>
      </c>
      <c r="O72" s="328">
        <f>'d3'!O72-d3П!O69</f>
        <v>0</v>
      </c>
      <c r="P72" s="328">
        <f>'d3'!P72-d3П!P69</f>
        <v>0</v>
      </c>
      <c r="Q72" s="36"/>
      <c r="R72" s="26"/>
    </row>
    <row r="73" spans="1:18" s="33" customFormat="1" ht="138.75" hidden="1" customHeight="1" thickTop="1" thickBot="1" x14ac:dyDescent="0.25">
      <c r="A73" s="41" t="s">
        <v>979</v>
      </c>
      <c r="B73" s="41" t="s">
        <v>980</v>
      </c>
      <c r="C73" s="41" t="s">
        <v>210</v>
      </c>
      <c r="D73" s="41" t="s">
        <v>981</v>
      </c>
      <c r="E73" s="328">
        <f>'d3'!E73-d3П!E70</f>
        <v>0</v>
      </c>
      <c r="F73" s="328">
        <f>'d3'!F73-d3П!F70</f>
        <v>0</v>
      </c>
      <c r="G73" s="328">
        <f>'d3'!G73-d3П!G70</f>
        <v>0</v>
      </c>
      <c r="H73" s="328">
        <f>'d3'!H73-d3П!H70</f>
        <v>0</v>
      </c>
      <c r="I73" s="328">
        <f>'d3'!I73-d3П!I70</f>
        <v>0</v>
      </c>
      <c r="J73" s="328">
        <f>'d3'!J73-d3П!J70</f>
        <v>0</v>
      </c>
      <c r="K73" s="328">
        <f>'d3'!K73-d3П!K70</f>
        <v>0</v>
      </c>
      <c r="L73" s="328">
        <f>'d3'!L73-d3П!L70</f>
        <v>0</v>
      </c>
      <c r="M73" s="328">
        <f>'d3'!M73-d3П!M70</f>
        <v>0</v>
      </c>
      <c r="N73" s="328">
        <f>'d3'!N73-d3П!N70</f>
        <v>0</v>
      </c>
      <c r="O73" s="328">
        <f>'d3'!O73-d3П!O70</f>
        <v>0</v>
      </c>
      <c r="P73" s="328">
        <f>'d3'!P73-d3П!P70</f>
        <v>0</v>
      </c>
      <c r="Q73" s="36"/>
      <c r="R73" s="26"/>
    </row>
    <row r="74" spans="1:18" s="33" customFormat="1" ht="184.5" hidden="1" customHeight="1" thickTop="1" thickBot="1" x14ac:dyDescent="0.25">
      <c r="A74" s="144" t="s">
        <v>998</v>
      </c>
      <c r="B74" s="144" t="s">
        <v>1000</v>
      </c>
      <c r="C74" s="144"/>
      <c r="D74" s="144" t="s">
        <v>1002</v>
      </c>
      <c r="E74" s="328">
        <f>'d3'!E74-d3П!E71</f>
        <v>0</v>
      </c>
      <c r="F74" s="328">
        <f>'d3'!F74-d3П!F71</f>
        <v>0</v>
      </c>
      <c r="G74" s="328">
        <f>'d3'!G74-d3П!G71</f>
        <v>0</v>
      </c>
      <c r="H74" s="328">
        <f>'d3'!H74-d3П!H71</f>
        <v>0</v>
      </c>
      <c r="I74" s="328">
        <f>'d3'!I74-d3П!I71</f>
        <v>0</v>
      </c>
      <c r="J74" s="328">
        <f>'d3'!J74-d3П!J71</f>
        <v>0</v>
      </c>
      <c r="K74" s="328">
        <f>'d3'!K74-d3П!K71</f>
        <v>0</v>
      </c>
      <c r="L74" s="328">
        <f>'d3'!L74-d3П!L71</f>
        <v>0</v>
      </c>
      <c r="M74" s="328">
        <f>'d3'!M74-d3П!M71</f>
        <v>0</v>
      </c>
      <c r="N74" s="328">
        <f>'d3'!N74-d3П!N71</f>
        <v>0</v>
      </c>
      <c r="O74" s="328">
        <f>'d3'!O74-d3П!O71</f>
        <v>0</v>
      </c>
      <c r="P74" s="328">
        <f>'d3'!P74-d3П!P71</f>
        <v>0</v>
      </c>
      <c r="Q74" s="36"/>
      <c r="R74" s="26"/>
    </row>
    <row r="75" spans="1:18" s="33" customFormat="1" ht="230.25" hidden="1" customHeight="1" thickTop="1" thickBot="1" x14ac:dyDescent="0.25">
      <c r="A75" s="41" t="s">
        <v>999</v>
      </c>
      <c r="B75" s="41" t="s">
        <v>1001</v>
      </c>
      <c r="C75" s="41" t="s">
        <v>210</v>
      </c>
      <c r="D75" s="41" t="s">
        <v>1003</v>
      </c>
      <c r="E75" s="328">
        <f>'d3'!E75-d3П!E72</f>
        <v>0</v>
      </c>
      <c r="F75" s="328">
        <f>'d3'!F75-d3П!F72</f>
        <v>0</v>
      </c>
      <c r="G75" s="328">
        <f>'d3'!G75-d3П!G72</f>
        <v>0</v>
      </c>
      <c r="H75" s="328">
        <f>'d3'!H75-d3П!H72</f>
        <v>0</v>
      </c>
      <c r="I75" s="328">
        <f>'d3'!I75-d3П!I72</f>
        <v>0</v>
      </c>
      <c r="J75" s="328">
        <f>'d3'!J75-d3П!J72</f>
        <v>0</v>
      </c>
      <c r="K75" s="328">
        <f>'d3'!K75-d3П!K72</f>
        <v>0</v>
      </c>
      <c r="L75" s="328">
        <f>'d3'!L75-d3П!L72</f>
        <v>0</v>
      </c>
      <c r="M75" s="328">
        <f>'d3'!M75-d3П!M72</f>
        <v>0</v>
      </c>
      <c r="N75" s="328">
        <f>'d3'!N75-d3П!N72</f>
        <v>0</v>
      </c>
      <c r="O75" s="328">
        <f>'d3'!O75-d3П!O72</f>
        <v>0</v>
      </c>
      <c r="P75" s="328">
        <f>'d3'!P75-d3П!P72</f>
        <v>0</v>
      </c>
      <c r="Q75" s="36"/>
      <c r="R75" s="26"/>
    </row>
    <row r="76" spans="1:18" s="33" customFormat="1" ht="46.5" hidden="1" customHeight="1" thickTop="1" thickBot="1" x14ac:dyDescent="0.25">
      <c r="A76" s="777" t="s">
        <v>1017</v>
      </c>
      <c r="B76" s="777" t="s">
        <v>1018</v>
      </c>
      <c r="C76" s="777" t="s">
        <v>210</v>
      </c>
      <c r="D76" s="777" t="s">
        <v>1019</v>
      </c>
      <c r="E76" s="328">
        <f>'d3'!E76-d3П!E73</f>
        <v>0</v>
      </c>
      <c r="F76" s="328">
        <f>'d3'!F76-d3П!F73</f>
        <v>0</v>
      </c>
      <c r="G76" s="328">
        <f>'d3'!G76-d3П!G73</f>
        <v>0</v>
      </c>
      <c r="H76" s="328">
        <f>'d3'!H76-d3П!H73</f>
        <v>0</v>
      </c>
      <c r="I76" s="328">
        <f>'d3'!I76-d3П!I73</f>
        <v>0</v>
      </c>
      <c r="J76" s="328">
        <f>'d3'!J76-d3П!J73</f>
        <v>0</v>
      </c>
      <c r="K76" s="328">
        <f>'d3'!K76-d3П!K73</f>
        <v>0</v>
      </c>
      <c r="L76" s="328">
        <f>'d3'!L76-d3П!L73</f>
        <v>0</v>
      </c>
      <c r="M76" s="328">
        <f>'d3'!M76-d3П!M73</f>
        <v>0</v>
      </c>
      <c r="N76" s="328">
        <f>'d3'!N76-d3П!N73</f>
        <v>0</v>
      </c>
      <c r="O76" s="328">
        <f>'d3'!O76-d3П!O73</f>
        <v>0</v>
      </c>
      <c r="P76" s="328">
        <f>'d3'!P76-d3П!P73</f>
        <v>0</v>
      </c>
      <c r="Q76" s="36"/>
      <c r="R76" s="26"/>
    </row>
    <row r="77" spans="1:18" s="33" customFormat="1" ht="46.5" hidden="1" customHeight="1" thickTop="1" thickBot="1" x14ac:dyDescent="0.25">
      <c r="A77" s="773"/>
      <c r="B77" s="773"/>
      <c r="C77" s="773"/>
      <c r="D77" s="773"/>
      <c r="E77" s="328">
        <f>'d3'!E77-d3П!E74</f>
        <v>0</v>
      </c>
      <c r="F77" s="328">
        <f>'d3'!F77-d3П!F74</f>
        <v>0</v>
      </c>
      <c r="G77" s="328">
        <f>'d3'!G77-d3П!G74</f>
        <v>0</v>
      </c>
      <c r="H77" s="328">
        <f>'d3'!H77-d3П!H74</f>
        <v>0</v>
      </c>
      <c r="I77" s="328">
        <f>'d3'!I77-d3П!I74</f>
        <v>0</v>
      </c>
      <c r="J77" s="328">
        <f>'d3'!J77-d3П!J74</f>
        <v>0</v>
      </c>
      <c r="K77" s="328">
        <f>'d3'!K77-d3П!K74</f>
        <v>0</v>
      </c>
      <c r="L77" s="328">
        <f>'d3'!L77-d3П!L74</f>
        <v>0</v>
      </c>
      <c r="M77" s="328">
        <f>'d3'!M77-d3П!M74</f>
        <v>0</v>
      </c>
      <c r="N77" s="328">
        <f>'d3'!N77-d3П!N74</f>
        <v>0</v>
      </c>
      <c r="O77" s="328">
        <f>'d3'!O77-d3П!O74</f>
        <v>0</v>
      </c>
      <c r="P77" s="328">
        <f>'d3'!P77-d3П!P74</f>
        <v>0</v>
      </c>
      <c r="Q77" s="36"/>
      <c r="R77" s="26"/>
    </row>
    <row r="78" spans="1:18" s="33" customFormat="1" ht="93" thickTop="1" thickBot="1" x14ac:dyDescent="0.25">
      <c r="A78" s="665" t="s">
        <v>644</v>
      </c>
      <c r="B78" s="665" t="s">
        <v>645</v>
      </c>
      <c r="C78" s="665" t="s">
        <v>210</v>
      </c>
      <c r="D78" s="665" t="s">
        <v>646</v>
      </c>
      <c r="E78" s="328">
        <f>'d3'!E78-d3П!E75</f>
        <v>3668858</v>
      </c>
      <c r="F78" s="328">
        <f>'d3'!F78-d3П!F75</f>
        <v>3668858</v>
      </c>
      <c r="G78" s="328">
        <f>'d3'!G78-d3П!G75</f>
        <v>3007261</v>
      </c>
      <c r="H78" s="328">
        <f>'d3'!H78-d3П!H75</f>
        <v>0</v>
      </c>
      <c r="I78" s="328">
        <f>'d3'!I78-d3П!I75</f>
        <v>0</v>
      </c>
      <c r="J78" s="328">
        <f>'d3'!J78-d3П!J75</f>
        <v>0</v>
      </c>
      <c r="K78" s="328">
        <f>'d3'!K78-d3П!K75</f>
        <v>0</v>
      </c>
      <c r="L78" s="328">
        <f>'d3'!L78-d3П!L75</f>
        <v>0</v>
      </c>
      <c r="M78" s="328">
        <f>'d3'!M78-d3П!M75</f>
        <v>0</v>
      </c>
      <c r="N78" s="328">
        <f>'d3'!N78-d3П!N75</f>
        <v>0</v>
      </c>
      <c r="O78" s="328">
        <f>'d3'!O78-d3П!O75</f>
        <v>0</v>
      </c>
      <c r="P78" s="328">
        <f>'d3'!P78-d3П!P75</f>
        <v>3668858</v>
      </c>
      <c r="Q78" s="36"/>
      <c r="R78" s="26"/>
    </row>
    <row r="79" spans="1:18" s="33" customFormat="1" ht="160.5" customHeight="1" thickTop="1" thickBot="1" x14ac:dyDescent="0.25">
      <c r="A79" s="665" t="s">
        <v>941</v>
      </c>
      <c r="B79" s="665" t="s">
        <v>942</v>
      </c>
      <c r="C79" s="665" t="s">
        <v>210</v>
      </c>
      <c r="D79" s="665" t="s">
        <v>1449</v>
      </c>
      <c r="E79" s="328">
        <f>'d3'!E79-d3П!E76</f>
        <v>532739</v>
      </c>
      <c r="F79" s="328">
        <f>'d3'!F79-d3П!F76</f>
        <v>532739</v>
      </c>
      <c r="G79" s="328">
        <f>'d3'!G79-d3П!G76</f>
        <v>436671</v>
      </c>
      <c r="H79" s="328">
        <f>'d3'!H79-d3П!H76</f>
        <v>0</v>
      </c>
      <c r="I79" s="328">
        <f>'d3'!I79-d3П!I76</f>
        <v>0</v>
      </c>
      <c r="J79" s="328">
        <f>'d3'!J79-d3П!J76</f>
        <v>0</v>
      </c>
      <c r="K79" s="328">
        <f>'d3'!K79-d3П!K76</f>
        <v>0</v>
      </c>
      <c r="L79" s="328">
        <f>'d3'!L79-d3П!L76</f>
        <v>0</v>
      </c>
      <c r="M79" s="328">
        <f>'d3'!M79-d3П!M76</f>
        <v>0</v>
      </c>
      <c r="N79" s="328">
        <f>'d3'!N79-d3П!N76</f>
        <v>0</v>
      </c>
      <c r="O79" s="328">
        <f>'d3'!O79-d3П!O76</f>
        <v>0</v>
      </c>
      <c r="P79" s="328">
        <f>'d3'!P79-d3П!P76</f>
        <v>532739</v>
      </c>
      <c r="Q79" s="36"/>
      <c r="R79" s="26"/>
    </row>
    <row r="80" spans="1:18" s="33" customFormat="1" ht="93" thickTop="1" thickBot="1" x14ac:dyDescent="0.25">
      <c r="A80" s="693" t="s">
        <v>1004</v>
      </c>
      <c r="B80" s="693" t="s">
        <v>1006</v>
      </c>
      <c r="C80" s="693"/>
      <c r="D80" s="693" t="s">
        <v>1441</v>
      </c>
      <c r="E80" s="328">
        <f>'d3'!E80-d3П!E77</f>
        <v>0</v>
      </c>
      <c r="F80" s="328">
        <f>'d3'!F80-d3П!F77</f>
        <v>0</v>
      </c>
      <c r="G80" s="328">
        <f>'d3'!G80-d3П!G77</f>
        <v>0</v>
      </c>
      <c r="H80" s="328">
        <f>'d3'!H80-d3П!H77</f>
        <v>0</v>
      </c>
      <c r="I80" s="328">
        <f>'d3'!I80-d3П!I77</f>
        <v>0</v>
      </c>
      <c r="J80" s="328">
        <f>'d3'!J80-d3П!J77</f>
        <v>14416500</v>
      </c>
      <c r="K80" s="328">
        <f>'d3'!K80-d3П!K77</f>
        <v>14416500</v>
      </c>
      <c r="L80" s="328">
        <f>'d3'!L80-d3П!L77</f>
        <v>0</v>
      </c>
      <c r="M80" s="328">
        <f>'d3'!M80-d3П!M77</f>
        <v>0</v>
      </c>
      <c r="N80" s="328">
        <f>'d3'!N80-d3П!N77</f>
        <v>0</v>
      </c>
      <c r="O80" s="328">
        <f>'d3'!O80-d3П!O77</f>
        <v>14416500</v>
      </c>
      <c r="P80" s="328">
        <f>'d3'!P80-d3П!P77</f>
        <v>14416500</v>
      </c>
      <c r="Q80" s="36"/>
      <c r="R80" s="26"/>
    </row>
    <row r="81" spans="1:18" s="33" customFormat="1" ht="189" customHeight="1" thickTop="1" thickBot="1" x14ac:dyDescent="0.25">
      <c r="A81" s="694" t="s">
        <v>1005</v>
      </c>
      <c r="B81" s="694" t="s">
        <v>1007</v>
      </c>
      <c r="C81" s="694" t="s">
        <v>210</v>
      </c>
      <c r="D81" s="694" t="s">
        <v>1251</v>
      </c>
      <c r="E81" s="328">
        <f>'d3'!E81-d3П!E78</f>
        <v>0</v>
      </c>
      <c r="F81" s="328">
        <f>'d3'!F81-d3П!F78</f>
        <v>0</v>
      </c>
      <c r="G81" s="328">
        <f>'d3'!G81-d3П!G78</f>
        <v>0</v>
      </c>
      <c r="H81" s="328">
        <f>'d3'!H81-d3П!H78</f>
        <v>0</v>
      </c>
      <c r="I81" s="328">
        <f>'d3'!I81-d3П!I78</f>
        <v>0</v>
      </c>
      <c r="J81" s="328">
        <f>'d3'!J81-d3П!J78</f>
        <v>5766600</v>
      </c>
      <c r="K81" s="328">
        <f>'d3'!K81-d3П!K78</f>
        <v>5766600</v>
      </c>
      <c r="L81" s="328">
        <f>'d3'!L81-d3П!L78</f>
        <v>0</v>
      </c>
      <c r="M81" s="328">
        <f>'d3'!M81-d3П!M78</f>
        <v>0</v>
      </c>
      <c r="N81" s="328">
        <f>'d3'!N81-d3П!N78</f>
        <v>0</v>
      </c>
      <c r="O81" s="328">
        <f>'d3'!O81-d3П!O78</f>
        <v>5766600</v>
      </c>
      <c r="P81" s="328">
        <f>'d3'!P81-d3П!P78</f>
        <v>5766600</v>
      </c>
      <c r="Q81" s="36"/>
      <c r="R81" s="26"/>
    </row>
    <row r="82" spans="1:18" s="33" customFormat="1" ht="176.25" customHeight="1" thickTop="1" thickBot="1" x14ac:dyDescent="0.25">
      <c r="A82" s="694" t="s">
        <v>1049</v>
      </c>
      <c r="B82" s="694" t="s">
        <v>1050</v>
      </c>
      <c r="C82" s="694" t="s">
        <v>210</v>
      </c>
      <c r="D82" s="694" t="s">
        <v>1596</v>
      </c>
      <c r="E82" s="328">
        <f>'d3'!E82-d3П!E79</f>
        <v>0</v>
      </c>
      <c r="F82" s="328">
        <f>'d3'!F82-d3П!F79</f>
        <v>0</v>
      </c>
      <c r="G82" s="328">
        <f>'d3'!G82-d3П!G79</f>
        <v>0</v>
      </c>
      <c r="H82" s="328">
        <f>'d3'!H82-d3П!H79</f>
        <v>0</v>
      </c>
      <c r="I82" s="328">
        <f>'d3'!I82-d3П!I79</f>
        <v>0</v>
      </c>
      <c r="J82" s="328">
        <f>'d3'!J82-d3П!J79</f>
        <v>8649900</v>
      </c>
      <c r="K82" s="328">
        <f>'d3'!K82-d3П!K79</f>
        <v>8649900</v>
      </c>
      <c r="L82" s="328">
        <f>'d3'!L82-d3П!L79</f>
        <v>0</v>
      </c>
      <c r="M82" s="328">
        <f>'d3'!M82-d3П!M79</f>
        <v>0</v>
      </c>
      <c r="N82" s="328">
        <f>'d3'!N82-d3П!N79</f>
        <v>0</v>
      </c>
      <c r="O82" s="328">
        <f>'d3'!O82-d3П!O79</f>
        <v>8649900</v>
      </c>
      <c r="P82" s="328">
        <f>'d3'!P82-d3П!P79</f>
        <v>8649900</v>
      </c>
      <c r="Q82" s="36"/>
      <c r="R82" s="26"/>
    </row>
    <row r="83" spans="1:18" s="33" customFormat="1" ht="114.75" customHeight="1" thickTop="1" thickBot="1" x14ac:dyDescent="0.25">
      <c r="A83" s="329" t="s">
        <v>1391</v>
      </c>
      <c r="B83" s="329" t="s">
        <v>1392</v>
      </c>
      <c r="C83" s="329"/>
      <c r="D83" s="329" t="s">
        <v>1552</v>
      </c>
      <c r="E83" s="328">
        <f>'d3'!E83-d3П!E80</f>
        <v>0</v>
      </c>
      <c r="F83" s="328">
        <f>'d3'!F83-d3П!F80</f>
        <v>0</v>
      </c>
      <c r="G83" s="328">
        <f>'d3'!G83-d3П!G80</f>
        <v>0</v>
      </c>
      <c r="H83" s="328">
        <f>'d3'!H83-d3П!H80</f>
        <v>0</v>
      </c>
      <c r="I83" s="328">
        <f>'d3'!I83-d3П!I80</f>
        <v>0</v>
      </c>
      <c r="J83" s="328">
        <f>'d3'!J83-d3П!J80</f>
        <v>12000000</v>
      </c>
      <c r="K83" s="328">
        <f>'d3'!K83-d3П!K80</f>
        <v>12000000</v>
      </c>
      <c r="L83" s="328">
        <f>'d3'!L83-d3П!L80</f>
        <v>0</v>
      </c>
      <c r="M83" s="328">
        <f>'d3'!M83-d3П!M80</f>
        <v>0</v>
      </c>
      <c r="N83" s="328">
        <f>'d3'!N83-d3П!N80</f>
        <v>0</v>
      </c>
      <c r="O83" s="328">
        <f>'d3'!O83-d3П!O80</f>
        <v>12000000</v>
      </c>
      <c r="P83" s="328">
        <f>'d3'!P83-d3П!P80</f>
        <v>12000000</v>
      </c>
      <c r="Q83" s="36"/>
      <c r="R83" s="26"/>
    </row>
    <row r="84" spans="1:18" s="33" customFormat="1" ht="163.5" customHeight="1" thickTop="1" thickBot="1" x14ac:dyDescent="0.25">
      <c r="A84" s="103" t="s">
        <v>1393</v>
      </c>
      <c r="B84" s="103" t="s">
        <v>1394</v>
      </c>
      <c r="C84" s="103" t="s">
        <v>210</v>
      </c>
      <c r="D84" s="103" t="s">
        <v>1553</v>
      </c>
      <c r="E84" s="328">
        <f>'d3'!E84-d3П!E81</f>
        <v>0</v>
      </c>
      <c r="F84" s="328">
        <f>'d3'!F84-d3П!F81</f>
        <v>0</v>
      </c>
      <c r="G84" s="328">
        <f>'d3'!G84-d3П!G81</f>
        <v>0</v>
      </c>
      <c r="H84" s="328">
        <f>'d3'!H84-d3П!H81</f>
        <v>0</v>
      </c>
      <c r="I84" s="328">
        <f>'d3'!I84-d3П!I81</f>
        <v>0</v>
      </c>
      <c r="J84" s="328">
        <f>'d3'!J84-d3П!J81</f>
        <v>12000000</v>
      </c>
      <c r="K84" s="328">
        <f>'d3'!K84-d3П!K81</f>
        <v>12000000</v>
      </c>
      <c r="L84" s="328">
        <f>'d3'!L84-d3П!L81</f>
        <v>0</v>
      </c>
      <c r="M84" s="328">
        <f>'d3'!M84-d3П!M81</f>
        <v>0</v>
      </c>
      <c r="N84" s="328">
        <f>'d3'!N84-d3П!N81</f>
        <v>0</v>
      </c>
      <c r="O84" s="328">
        <f>'d3'!O84-d3П!O81</f>
        <v>12000000</v>
      </c>
      <c r="P84" s="328">
        <f>'d3'!P84-d3П!P81</f>
        <v>12000000</v>
      </c>
      <c r="Q84" s="36"/>
      <c r="R84" s="26"/>
    </row>
    <row r="85" spans="1:18" s="33" customFormat="1" ht="138.75" hidden="1" customHeight="1" thickTop="1" thickBot="1" x14ac:dyDescent="0.25">
      <c r="A85" s="128" t="s">
        <v>1395</v>
      </c>
      <c r="B85" s="128" t="s">
        <v>1396</v>
      </c>
      <c r="C85" s="128" t="s">
        <v>210</v>
      </c>
      <c r="D85" s="128" t="s">
        <v>1397</v>
      </c>
      <c r="E85" s="328">
        <f>'d3'!E85-d3П!E82</f>
        <v>0</v>
      </c>
      <c r="F85" s="328">
        <f>'d3'!F85-d3П!F82</f>
        <v>0</v>
      </c>
      <c r="G85" s="328">
        <f>'d3'!G85-d3П!G82</f>
        <v>0</v>
      </c>
      <c r="H85" s="328">
        <f>'d3'!H85-d3П!H82</f>
        <v>0</v>
      </c>
      <c r="I85" s="328">
        <f>'d3'!I85-d3П!I82</f>
        <v>0</v>
      </c>
      <c r="J85" s="328">
        <f>'d3'!J85-d3П!J82</f>
        <v>0</v>
      </c>
      <c r="K85" s="328">
        <f>'d3'!K85-d3П!K82</f>
        <v>0</v>
      </c>
      <c r="L85" s="328">
        <f>'d3'!L85-d3П!L82</f>
        <v>0</v>
      </c>
      <c r="M85" s="328">
        <f>'d3'!M85-d3П!M82</f>
        <v>0</v>
      </c>
      <c r="N85" s="328">
        <f>'d3'!N85-d3П!N82</f>
        <v>0</v>
      </c>
      <c r="O85" s="328">
        <f>'d3'!O85-d3П!O82</f>
        <v>0</v>
      </c>
      <c r="P85" s="328">
        <f>'d3'!P85-d3П!P82</f>
        <v>0</v>
      </c>
      <c r="Q85" s="36"/>
      <c r="R85" s="26"/>
    </row>
    <row r="86" spans="1:18" s="33" customFormat="1" ht="138.75" hidden="1" customHeight="1" thickTop="1" thickBot="1" x14ac:dyDescent="0.25">
      <c r="A86" s="140" t="s">
        <v>1462</v>
      </c>
      <c r="B86" s="140" t="s">
        <v>1461</v>
      </c>
      <c r="C86" s="140"/>
      <c r="D86" s="140" t="s">
        <v>1463</v>
      </c>
      <c r="E86" s="328">
        <f>'d3'!E86-d3П!E83</f>
        <v>0</v>
      </c>
      <c r="F86" s="328">
        <f>'d3'!F86-d3П!F83</f>
        <v>0</v>
      </c>
      <c r="G86" s="328">
        <f>'d3'!G86-d3П!G83</f>
        <v>0</v>
      </c>
      <c r="H86" s="328">
        <f>'d3'!H86-d3П!H83</f>
        <v>0</v>
      </c>
      <c r="I86" s="328">
        <f>'d3'!I86-d3П!I83</f>
        <v>0</v>
      </c>
      <c r="J86" s="328">
        <f>'d3'!J86-d3П!J83</f>
        <v>0</v>
      </c>
      <c r="K86" s="328">
        <f>'d3'!K86-d3П!K83</f>
        <v>0</v>
      </c>
      <c r="L86" s="328">
        <f>'d3'!L86-d3П!L83</f>
        <v>0</v>
      </c>
      <c r="M86" s="328">
        <f>'d3'!M86-d3П!M83</f>
        <v>0</v>
      </c>
      <c r="N86" s="328">
        <f>'d3'!N86-d3П!N83</f>
        <v>0</v>
      </c>
      <c r="O86" s="328">
        <f>'d3'!O86-d3П!O83</f>
        <v>0</v>
      </c>
      <c r="P86" s="328">
        <f>'d3'!P86-d3П!P83</f>
        <v>0</v>
      </c>
      <c r="Q86" s="36"/>
      <c r="R86" s="26"/>
    </row>
    <row r="87" spans="1:18" s="33" customFormat="1" ht="93" hidden="1" customHeight="1" thickTop="1" thickBot="1" x14ac:dyDescent="0.25">
      <c r="A87" s="128" t="s">
        <v>1464</v>
      </c>
      <c r="B87" s="128" t="s">
        <v>1465</v>
      </c>
      <c r="C87" s="128" t="s">
        <v>210</v>
      </c>
      <c r="D87" s="128" t="s">
        <v>1469</v>
      </c>
      <c r="E87" s="328">
        <f>'d3'!E87-d3П!E84</f>
        <v>0</v>
      </c>
      <c r="F87" s="328">
        <f>'d3'!F87-d3П!F84</f>
        <v>0</v>
      </c>
      <c r="G87" s="328">
        <f>'d3'!G87-d3П!G84</f>
        <v>0</v>
      </c>
      <c r="H87" s="328">
        <f>'d3'!H87-d3П!H84</f>
        <v>0</v>
      </c>
      <c r="I87" s="328">
        <f>'d3'!I87-d3П!I84</f>
        <v>0</v>
      </c>
      <c r="J87" s="328">
        <f>'d3'!J87-d3П!J84</f>
        <v>0</v>
      </c>
      <c r="K87" s="328">
        <f>'d3'!K87-d3П!K84</f>
        <v>0</v>
      </c>
      <c r="L87" s="328">
        <f>'d3'!L87-d3П!L84</f>
        <v>0</v>
      </c>
      <c r="M87" s="328">
        <f>'d3'!M87-d3П!M84</f>
        <v>0</v>
      </c>
      <c r="N87" s="328">
        <f>'d3'!N87-d3П!N84</f>
        <v>0</v>
      </c>
      <c r="O87" s="328">
        <f>'d3'!O87-d3П!O84</f>
        <v>0</v>
      </c>
      <c r="P87" s="328">
        <f>'d3'!P87-d3П!P84</f>
        <v>0</v>
      </c>
      <c r="Q87" s="36"/>
      <c r="R87" s="26"/>
    </row>
    <row r="88" spans="1:18" s="33" customFormat="1" ht="138.75" hidden="1" customHeight="1" thickTop="1" thickBot="1" x14ac:dyDescent="0.25">
      <c r="A88" s="128" t="s">
        <v>1466</v>
      </c>
      <c r="B88" s="128" t="s">
        <v>1467</v>
      </c>
      <c r="C88" s="128" t="s">
        <v>210</v>
      </c>
      <c r="D88" s="128" t="s">
        <v>1468</v>
      </c>
      <c r="E88" s="328">
        <f>'d3'!E88-d3П!E85</f>
        <v>0</v>
      </c>
      <c r="F88" s="328">
        <f>'d3'!F88-d3П!F85</f>
        <v>0</v>
      </c>
      <c r="G88" s="328">
        <f>'d3'!G88-d3П!G85</f>
        <v>0</v>
      </c>
      <c r="H88" s="328">
        <f>'d3'!H88-d3П!H85</f>
        <v>0</v>
      </c>
      <c r="I88" s="328">
        <f>'d3'!I88-d3П!I85</f>
        <v>0</v>
      </c>
      <c r="J88" s="328">
        <f>'d3'!J88-d3П!J85</f>
        <v>0</v>
      </c>
      <c r="K88" s="328">
        <f>'d3'!K88-d3П!K85</f>
        <v>0</v>
      </c>
      <c r="L88" s="328">
        <f>'d3'!L88-d3П!L85</f>
        <v>0</v>
      </c>
      <c r="M88" s="328">
        <f>'d3'!M88-d3П!M85</f>
        <v>0</v>
      </c>
      <c r="N88" s="328">
        <f>'d3'!N88-d3П!N85</f>
        <v>0</v>
      </c>
      <c r="O88" s="328">
        <f>'d3'!O88-d3П!O85</f>
        <v>0</v>
      </c>
      <c r="P88" s="328">
        <f>'d3'!P88-d3П!P85</f>
        <v>0</v>
      </c>
      <c r="Q88" s="36"/>
      <c r="R88" s="26"/>
    </row>
    <row r="89" spans="1:18" s="33" customFormat="1" ht="213" customHeight="1" thickTop="1" thickBot="1" x14ac:dyDescent="0.25">
      <c r="A89" s="329" t="s">
        <v>1568</v>
      </c>
      <c r="B89" s="329" t="s">
        <v>1570</v>
      </c>
      <c r="C89" s="128"/>
      <c r="D89" s="329" t="s">
        <v>1567</v>
      </c>
      <c r="E89" s="328">
        <f>'d3'!E89-d3П!E86</f>
        <v>0</v>
      </c>
      <c r="F89" s="328">
        <f>'d3'!F89-d3П!F86</f>
        <v>0</v>
      </c>
      <c r="G89" s="328">
        <f>'d3'!G89-d3П!G86</f>
        <v>0</v>
      </c>
      <c r="H89" s="328">
        <f>'d3'!H89-d3П!H86</f>
        <v>0</v>
      </c>
      <c r="I89" s="328">
        <f>'d3'!I89-d3П!I86</f>
        <v>0</v>
      </c>
      <c r="J89" s="328">
        <f>'d3'!J89-d3П!J86</f>
        <v>10960161</v>
      </c>
      <c r="K89" s="328">
        <f>'d3'!K89-d3П!K86</f>
        <v>3288050</v>
      </c>
      <c r="L89" s="328">
        <f>'d3'!L89-d3П!L86</f>
        <v>0</v>
      </c>
      <c r="M89" s="328">
        <f>'d3'!M89-d3П!M86</f>
        <v>0</v>
      </c>
      <c r="N89" s="328">
        <f>'d3'!N89-d3П!N86</f>
        <v>0</v>
      </c>
      <c r="O89" s="328">
        <f>'d3'!O89-d3П!O86</f>
        <v>10960161</v>
      </c>
      <c r="P89" s="328">
        <f>'d3'!P89-d3П!P86</f>
        <v>10960161</v>
      </c>
      <c r="Q89" s="36"/>
      <c r="R89" s="26"/>
    </row>
    <row r="90" spans="1:18" s="33" customFormat="1" ht="184.5" thickTop="1" thickBot="1" x14ac:dyDescent="0.25">
      <c r="A90" s="103" t="s">
        <v>1571</v>
      </c>
      <c r="B90" s="103" t="s">
        <v>1569</v>
      </c>
      <c r="C90" s="103" t="s">
        <v>210</v>
      </c>
      <c r="D90" s="103" t="s">
        <v>1572</v>
      </c>
      <c r="E90" s="328">
        <f>'d3'!E90-d3П!E87</f>
        <v>0</v>
      </c>
      <c r="F90" s="328">
        <f>'d3'!F90-d3П!F87</f>
        <v>0</v>
      </c>
      <c r="G90" s="328">
        <f>'d3'!G90-d3П!G87</f>
        <v>0</v>
      </c>
      <c r="H90" s="328">
        <f>'d3'!H90-d3П!H87</f>
        <v>0</v>
      </c>
      <c r="I90" s="328">
        <f>'d3'!I90-d3П!I87</f>
        <v>0</v>
      </c>
      <c r="J90" s="328">
        <f>'d3'!J90-d3П!J87</f>
        <v>3288050</v>
      </c>
      <c r="K90" s="328">
        <f>'d3'!K90-d3П!K87</f>
        <v>3288050</v>
      </c>
      <c r="L90" s="328">
        <f>'d3'!L90-d3П!L87</f>
        <v>0</v>
      </c>
      <c r="M90" s="328">
        <f>'d3'!M90-d3П!M87</f>
        <v>0</v>
      </c>
      <c r="N90" s="328">
        <f>'d3'!N90-d3П!N87</f>
        <v>0</v>
      </c>
      <c r="O90" s="328">
        <f>'d3'!O90-d3П!O87</f>
        <v>3288050</v>
      </c>
      <c r="P90" s="328">
        <f>'d3'!P90-d3П!P87</f>
        <v>3288050</v>
      </c>
      <c r="Q90" s="36"/>
      <c r="R90" s="26"/>
    </row>
    <row r="91" spans="1:18" s="33" customFormat="1" ht="219" customHeight="1" thickTop="1" thickBot="1" x14ac:dyDescent="0.25">
      <c r="A91" s="103" t="s">
        <v>1573</v>
      </c>
      <c r="B91" s="103" t="s">
        <v>1574</v>
      </c>
      <c r="C91" s="103" t="s">
        <v>210</v>
      </c>
      <c r="D91" s="103" t="s">
        <v>1575</v>
      </c>
      <c r="E91" s="328">
        <f>'d3'!E91-d3П!E88</f>
        <v>0</v>
      </c>
      <c r="F91" s="328">
        <f>'d3'!F91-d3П!F88</f>
        <v>0</v>
      </c>
      <c r="G91" s="328">
        <f>'d3'!G91-d3П!G88</f>
        <v>0</v>
      </c>
      <c r="H91" s="328">
        <f>'d3'!H91-d3П!H88</f>
        <v>0</v>
      </c>
      <c r="I91" s="328">
        <f>'d3'!I91-d3П!I88</f>
        <v>0</v>
      </c>
      <c r="J91" s="328">
        <f>'d3'!J91-d3П!J88</f>
        <v>7672111</v>
      </c>
      <c r="K91" s="328">
        <f>'d3'!K91-d3П!K88</f>
        <v>0</v>
      </c>
      <c r="L91" s="328">
        <f>'d3'!L91-d3П!L88</f>
        <v>0</v>
      </c>
      <c r="M91" s="328">
        <f>'d3'!M91-d3П!M88</f>
        <v>0</v>
      </c>
      <c r="N91" s="328">
        <f>'d3'!N91-d3П!N88</f>
        <v>0</v>
      </c>
      <c r="O91" s="328">
        <f>'d3'!O91-d3П!O88</f>
        <v>7672111</v>
      </c>
      <c r="P91" s="328">
        <f>'d3'!P91-d3П!P88</f>
        <v>7672111</v>
      </c>
      <c r="Q91" s="36"/>
      <c r="R91" s="26"/>
    </row>
    <row r="92" spans="1:18" s="33" customFormat="1" ht="47.25" thickTop="1" thickBot="1" x14ac:dyDescent="0.25">
      <c r="A92" s="311" t="s">
        <v>710</v>
      </c>
      <c r="B92" s="311" t="s">
        <v>711</v>
      </c>
      <c r="C92" s="311"/>
      <c r="D92" s="311" t="s">
        <v>712</v>
      </c>
      <c r="E92" s="328">
        <f>'d3'!E92-d3П!E89</f>
        <v>0</v>
      </c>
      <c r="F92" s="328">
        <f>'d3'!F92-d3П!F89</f>
        <v>0</v>
      </c>
      <c r="G92" s="328">
        <f>'d3'!G92-d3П!G89</f>
        <v>0</v>
      </c>
      <c r="H92" s="328">
        <f>'d3'!H92-d3П!H89</f>
        <v>0</v>
      </c>
      <c r="I92" s="328">
        <f>'d3'!I92-d3П!I89</f>
        <v>0</v>
      </c>
      <c r="J92" s="328">
        <f>'d3'!J92-d3П!J89</f>
        <v>0</v>
      </c>
      <c r="K92" s="328">
        <f>'d3'!K92-d3П!K89</f>
        <v>0</v>
      </c>
      <c r="L92" s="328">
        <f>'d3'!L92-d3П!L89</f>
        <v>0</v>
      </c>
      <c r="M92" s="328">
        <f>'d3'!M92-d3П!M89</f>
        <v>0</v>
      </c>
      <c r="N92" s="328">
        <f>'d3'!N92-d3П!N89</f>
        <v>0</v>
      </c>
      <c r="O92" s="328">
        <f>'d3'!O92-d3П!O89</f>
        <v>0</v>
      </c>
      <c r="P92" s="328">
        <f>'d3'!P92-d3П!P89</f>
        <v>0</v>
      </c>
      <c r="Q92" s="36"/>
      <c r="R92" s="26"/>
    </row>
    <row r="93" spans="1:18" s="33" customFormat="1" ht="167.25" customHeight="1" thickTop="1" thickBot="1" x14ac:dyDescent="0.25">
      <c r="A93" s="103" t="s">
        <v>431</v>
      </c>
      <c r="B93" s="103" t="s">
        <v>432</v>
      </c>
      <c r="C93" s="103" t="s">
        <v>185</v>
      </c>
      <c r="D93" s="103" t="s">
        <v>430</v>
      </c>
      <c r="E93" s="328">
        <f>'d3'!E93-d3П!E90</f>
        <v>0</v>
      </c>
      <c r="F93" s="328">
        <f>'d3'!F93-d3П!F90</f>
        <v>0</v>
      </c>
      <c r="G93" s="328">
        <f>'d3'!G93-d3П!G90</f>
        <v>0</v>
      </c>
      <c r="H93" s="328">
        <f>'d3'!H93-d3П!H90</f>
        <v>0</v>
      </c>
      <c r="I93" s="328">
        <f>'d3'!I93-d3П!I90</f>
        <v>0</v>
      </c>
      <c r="J93" s="328">
        <f>'d3'!J93-d3П!J90</f>
        <v>0</v>
      </c>
      <c r="K93" s="328">
        <f>'d3'!K93-d3П!K90</f>
        <v>0</v>
      </c>
      <c r="L93" s="328">
        <f>'d3'!L93-d3П!L90</f>
        <v>0</v>
      </c>
      <c r="M93" s="328">
        <f>'d3'!M93-d3П!M90</f>
        <v>0</v>
      </c>
      <c r="N93" s="328">
        <f>'d3'!N93-d3П!N90</f>
        <v>0</v>
      </c>
      <c r="O93" s="328">
        <f>'d3'!O93-d3П!O90</f>
        <v>0</v>
      </c>
      <c r="P93" s="328">
        <f>'d3'!P93-d3П!P90</f>
        <v>0</v>
      </c>
      <c r="Q93" s="36"/>
      <c r="R93" s="39"/>
    </row>
    <row r="94" spans="1:18" s="33" customFormat="1" ht="114.75" customHeight="1" thickTop="1" thickBot="1" x14ac:dyDescent="0.25">
      <c r="A94" s="103" t="s">
        <v>1233</v>
      </c>
      <c r="B94" s="103" t="s">
        <v>1200</v>
      </c>
      <c r="C94" s="103" t="s">
        <v>206</v>
      </c>
      <c r="D94" s="470" t="s">
        <v>1201</v>
      </c>
      <c r="E94" s="328">
        <f>'d3'!E94-d3П!E91</f>
        <v>0</v>
      </c>
      <c r="F94" s="328">
        <f>'d3'!F94-d3П!F91</f>
        <v>0</v>
      </c>
      <c r="G94" s="328">
        <f>'d3'!G94-d3П!G91</f>
        <v>0</v>
      </c>
      <c r="H94" s="328">
        <f>'d3'!H94-d3П!H91</f>
        <v>0</v>
      </c>
      <c r="I94" s="328">
        <f>'d3'!I94-d3П!I91</f>
        <v>0</v>
      </c>
      <c r="J94" s="328">
        <f>'d3'!J94-d3П!J91</f>
        <v>0</v>
      </c>
      <c r="K94" s="328">
        <f>'d3'!K94-d3П!K91</f>
        <v>0</v>
      </c>
      <c r="L94" s="328">
        <f>'d3'!L94-d3П!L91</f>
        <v>0</v>
      </c>
      <c r="M94" s="328">
        <f>'d3'!M94-d3П!M91</f>
        <v>0</v>
      </c>
      <c r="N94" s="328">
        <f>'d3'!N94-d3П!N91</f>
        <v>0</v>
      </c>
      <c r="O94" s="328">
        <f>'d3'!O94-d3П!O91</f>
        <v>0</v>
      </c>
      <c r="P94" s="328">
        <f>'d3'!P94-d3П!P91</f>
        <v>0</v>
      </c>
      <c r="Q94" s="36"/>
      <c r="R94" s="39"/>
    </row>
    <row r="95" spans="1:18" s="33" customFormat="1" ht="57" customHeight="1" thickTop="1" thickBot="1" x14ac:dyDescent="0.25">
      <c r="A95" s="311" t="s">
        <v>1089</v>
      </c>
      <c r="B95" s="311" t="s">
        <v>748</v>
      </c>
      <c r="C95" s="311"/>
      <c r="D95" s="311" t="s">
        <v>1088</v>
      </c>
      <c r="E95" s="328">
        <f>'d3'!E95-d3П!E92</f>
        <v>0</v>
      </c>
      <c r="F95" s="328">
        <f>'d3'!F95-d3П!F92</f>
        <v>0</v>
      </c>
      <c r="G95" s="328">
        <f>'d3'!G95-d3П!G92</f>
        <v>0</v>
      </c>
      <c r="H95" s="328">
        <f>'d3'!H95-d3П!H92</f>
        <v>0</v>
      </c>
      <c r="I95" s="328">
        <f>'d3'!I95-d3П!I92</f>
        <v>0</v>
      </c>
      <c r="J95" s="328">
        <f>'d3'!J95-d3П!J92</f>
        <v>9799278.7800000012</v>
      </c>
      <c r="K95" s="328">
        <f>'d3'!K95-d3П!K92</f>
        <v>9799278.7800000012</v>
      </c>
      <c r="L95" s="328">
        <f>'d3'!L95-d3П!L92</f>
        <v>0</v>
      </c>
      <c r="M95" s="328">
        <f>'d3'!M95-d3П!M92</f>
        <v>0</v>
      </c>
      <c r="N95" s="328">
        <f>'d3'!N95-d3П!N92</f>
        <v>0</v>
      </c>
      <c r="O95" s="328">
        <f>'d3'!O95-d3П!O92</f>
        <v>9799278.7800000012</v>
      </c>
      <c r="P95" s="328">
        <f>'d3'!P95-d3П!P92</f>
        <v>9799278.7800000012</v>
      </c>
      <c r="Q95" s="36"/>
      <c r="R95" s="26"/>
    </row>
    <row r="96" spans="1:18" s="33" customFormat="1" ht="57" customHeight="1" thickTop="1" thickBot="1" x14ac:dyDescent="0.25">
      <c r="A96" s="313" t="s">
        <v>1087</v>
      </c>
      <c r="B96" s="313" t="s">
        <v>803</v>
      </c>
      <c r="C96" s="313"/>
      <c r="D96" s="313" t="s">
        <v>804</v>
      </c>
      <c r="E96" s="328">
        <f>'d3'!E96-d3П!E93</f>
        <v>0</v>
      </c>
      <c r="F96" s="328">
        <f>'d3'!F96-d3П!F93</f>
        <v>0</v>
      </c>
      <c r="G96" s="328">
        <f>'d3'!G96-d3П!G93</f>
        <v>0</v>
      </c>
      <c r="H96" s="328">
        <f>'d3'!H96-d3П!H93</f>
        <v>0</v>
      </c>
      <c r="I96" s="328">
        <f>'d3'!I96-d3П!I93</f>
        <v>0</v>
      </c>
      <c r="J96" s="328">
        <f>'d3'!J96-d3П!J93</f>
        <v>-400000</v>
      </c>
      <c r="K96" s="328">
        <f>'d3'!K96-d3П!K93</f>
        <v>-400000</v>
      </c>
      <c r="L96" s="328">
        <f>'d3'!L96-d3П!L93</f>
        <v>0</v>
      </c>
      <c r="M96" s="328">
        <f>'d3'!M96-d3П!M93</f>
        <v>0</v>
      </c>
      <c r="N96" s="328">
        <f>'d3'!N96-d3П!N93</f>
        <v>0</v>
      </c>
      <c r="O96" s="328">
        <f>'d3'!O96-d3П!O93</f>
        <v>-400000</v>
      </c>
      <c r="P96" s="328">
        <f>'d3'!P96-d3П!P93</f>
        <v>-400000</v>
      </c>
      <c r="Q96" s="36"/>
      <c r="R96" s="26"/>
    </row>
    <row r="97" spans="1:18" s="33" customFormat="1" ht="54" thickTop="1" thickBot="1" x14ac:dyDescent="0.25">
      <c r="A97" s="329" t="s">
        <v>1090</v>
      </c>
      <c r="B97" s="329" t="s">
        <v>821</v>
      </c>
      <c r="C97" s="329"/>
      <c r="D97" s="329" t="s">
        <v>1524</v>
      </c>
      <c r="E97" s="328">
        <f>'d3'!E97-d3П!E94</f>
        <v>0</v>
      </c>
      <c r="F97" s="328">
        <f>'d3'!F97-d3П!F94</f>
        <v>0</v>
      </c>
      <c r="G97" s="328">
        <f>'d3'!G97-d3П!G94</f>
        <v>0</v>
      </c>
      <c r="H97" s="328">
        <f>'d3'!H97-d3П!H94</f>
        <v>0</v>
      </c>
      <c r="I97" s="328">
        <f>'d3'!I97-d3П!I94</f>
        <v>0</v>
      </c>
      <c r="J97" s="328">
        <f>'d3'!J97-d3П!J94</f>
        <v>-400000</v>
      </c>
      <c r="K97" s="328">
        <f>'d3'!K97-d3П!K94</f>
        <v>-400000</v>
      </c>
      <c r="L97" s="328">
        <f>'d3'!L97-d3П!L94</f>
        <v>0</v>
      </c>
      <c r="M97" s="328">
        <f>'d3'!M97-d3П!M94</f>
        <v>0</v>
      </c>
      <c r="N97" s="328">
        <f>'d3'!N97-d3П!N94</f>
        <v>0</v>
      </c>
      <c r="O97" s="328">
        <f>'d3'!O97-d3П!O94</f>
        <v>-400000</v>
      </c>
      <c r="P97" s="328">
        <f>'d3'!P97-d3П!P94</f>
        <v>-400000</v>
      </c>
      <c r="Q97" s="36"/>
      <c r="R97" s="26"/>
    </row>
    <row r="98" spans="1:18" s="33" customFormat="1" ht="57" customHeight="1" thickTop="1" thickBot="1" x14ac:dyDescent="0.25">
      <c r="A98" s="103" t="s">
        <v>1102</v>
      </c>
      <c r="B98" s="103" t="s">
        <v>311</v>
      </c>
      <c r="C98" s="103" t="s">
        <v>304</v>
      </c>
      <c r="D98" s="103" t="s">
        <v>1504</v>
      </c>
      <c r="E98" s="328">
        <f>'d3'!E98-d3П!E95</f>
        <v>0</v>
      </c>
      <c r="F98" s="328">
        <f>'d3'!F98-d3П!F95</f>
        <v>0</v>
      </c>
      <c r="G98" s="328">
        <f>'d3'!G98-d3П!G95</f>
        <v>0</v>
      </c>
      <c r="H98" s="328">
        <f>'d3'!H98-d3П!H95</f>
        <v>0</v>
      </c>
      <c r="I98" s="328">
        <f>'d3'!I98-d3П!I95</f>
        <v>0</v>
      </c>
      <c r="J98" s="328">
        <f>'d3'!J98-d3П!J95</f>
        <v>-400000</v>
      </c>
      <c r="K98" s="328">
        <f>'d3'!K98-d3П!K95</f>
        <v>-400000</v>
      </c>
      <c r="L98" s="328">
        <f>'d3'!L98-d3П!L95</f>
        <v>0</v>
      </c>
      <c r="M98" s="328">
        <f>'d3'!M98-d3П!M95</f>
        <v>0</v>
      </c>
      <c r="N98" s="328">
        <f>'d3'!N98-d3П!N95</f>
        <v>0</v>
      </c>
      <c r="O98" s="328">
        <f>'d3'!O98-d3П!O95</f>
        <v>-400000</v>
      </c>
      <c r="P98" s="328">
        <f>'d3'!P98-d3П!P95</f>
        <v>-400000</v>
      </c>
      <c r="Q98" s="30"/>
      <c r="R98" s="26"/>
    </row>
    <row r="99" spans="1:18" s="33" customFormat="1" ht="57" customHeight="1" thickTop="1" thickBot="1" x14ac:dyDescent="0.25">
      <c r="A99" s="313" t="s">
        <v>1091</v>
      </c>
      <c r="B99" s="313" t="s">
        <v>691</v>
      </c>
      <c r="C99" s="313"/>
      <c r="D99" s="313" t="s">
        <v>689</v>
      </c>
      <c r="E99" s="328">
        <f>'d3'!E99-d3П!E96</f>
        <v>0</v>
      </c>
      <c r="F99" s="328">
        <f>'d3'!F99-d3П!F96</f>
        <v>0</v>
      </c>
      <c r="G99" s="328">
        <f>'d3'!G99-d3П!G96</f>
        <v>0</v>
      </c>
      <c r="H99" s="328">
        <f>'d3'!H99-d3П!H96</f>
        <v>0</v>
      </c>
      <c r="I99" s="328">
        <f>'d3'!I99-d3П!I96</f>
        <v>0</v>
      </c>
      <c r="J99" s="328">
        <f>'d3'!J99-d3П!J96</f>
        <v>10199278.780000001</v>
      </c>
      <c r="K99" s="328">
        <f>'d3'!K99-d3П!K96</f>
        <v>10199278.780000001</v>
      </c>
      <c r="L99" s="328">
        <f>'d3'!L99-d3П!L96</f>
        <v>0</v>
      </c>
      <c r="M99" s="328">
        <f>'d3'!M99-d3П!M96</f>
        <v>0</v>
      </c>
      <c r="N99" s="328">
        <f>'d3'!N99-d3П!N96</f>
        <v>0</v>
      </c>
      <c r="O99" s="328">
        <f>'d3'!O99-d3П!O96</f>
        <v>10199278.780000001</v>
      </c>
      <c r="P99" s="328">
        <f>'d3'!P99-d3П!P96</f>
        <v>10199278.780000001</v>
      </c>
      <c r="Q99" s="30"/>
      <c r="R99" s="26"/>
    </row>
    <row r="100" spans="1:18" s="33" customFormat="1" ht="57" customHeight="1" thickTop="1" thickBot="1" x14ac:dyDescent="0.25">
      <c r="A100" s="103" t="s">
        <v>1092</v>
      </c>
      <c r="B100" s="103" t="s">
        <v>212</v>
      </c>
      <c r="C100" s="103" t="s">
        <v>213</v>
      </c>
      <c r="D100" s="103" t="s">
        <v>41</v>
      </c>
      <c r="E100" s="328">
        <f>'d3'!E100-d3П!E97</f>
        <v>0</v>
      </c>
      <c r="F100" s="328">
        <f>'d3'!F100-d3П!F97</f>
        <v>0</v>
      </c>
      <c r="G100" s="328">
        <f>'d3'!G100-d3П!G97</f>
        <v>0</v>
      </c>
      <c r="H100" s="328">
        <f>'d3'!H100-d3П!H97</f>
        <v>0</v>
      </c>
      <c r="I100" s="328">
        <f>'d3'!I100-d3П!I97</f>
        <v>0</v>
      </c>
      <c r="J100" s="328">
        <f>'d3'!J100-d3П!J97</f>
        <v>10199278.780000001</v>
      </c>
      <c r="K100" s="328">
        <f>'d3'!K100-d3П!K97</f>
        <v>10199278.780000001</v>
      </c>
      <c r="L100" s="328">
        <f>'d3'!L100-d3П!L97</f>
        <v>0</v>
      </c>
      <c r="M100" s="328">
        <f>'d3'!M100-d3П!M97</f>
        <v>0</v>
      </c>
      <c r="N100" s="328">
        <f>'d3'!N100-d3П!N97</f>
        <v>0</v>
      </c>
      <c r="O100" s="328">
        <f>'d3'!O100-d3П!O97</f>
        <v>10199278.780000001</v>
      </c>
      <c r="P100" s="328">
        <f>'d3'!P100-d3П!P97</f>
        <v>10199278.780000001</v>
      </c>
      <c r="Q100" s="30"/>
      <c r="R100" s="26"/>
    </row>
    <row r="101" spans="1:18" s="33" customFormat="1" ht="47.25" hidden="1" thickTop="1" thickBot="1" x14ac:dyDescent="0.25">
      <c r="A101" s="125" t="s">
        <v>1224</v>
      </c>
      <c r="B101" s="125" t="s">
        <v>696</v>
      </c>
      <c r="C101" s="125"/>
      <c r="D101" s="125" t="s">
        <v>697</v>
      </c>
      <c r="E101" s="127">
        <f t="shared" ref="E101:P102" si="6">E102</f>
        <v>0</v>
      </c>
      <c r="F101" s="127">
        <f t="shared" si="6"/>
        <v>0</v>
      </c>
      <c r="G101" s="127">
        <f t="shared" si="6"/>
        <v>0</v>
      </c>
      <c r="H101" s="127">
        <f t="shared" si="6"/>
        <v>0</v>
      </c>
      <c r="I101" s="127">
        <f t="shared" si="6"/>
        <v>0</v>
      </c>
      <c r="J101" s="127">
        <f t="shared" si="6"/>
        <v>0</v>
      </c>
      <c r="K101" s="127">
        <f t="shared" si="6"/>
        <v>0</v>
      </c>
      <c r="L101" s="127">
        <f t="shared" si="6"/>
        <v>0</v>
      </c>
      <c r="M101" s="127">
        <f t="shared" si="6"/>
        <v>0</v>
      </c>
      <c r="N101" s="127">
        <f t="shared" si="6"/>
        <v>0</v>
      </c>
      <c r="O101" s="127">
        <f t="shared" si="6"/>
        <v>0</v>
      </c>
      <c r="P101" s="127">
        <f t="shared" si="6"/>
        <v>0</v>
      </c>
      <c r="Q101" s="30"/>
      <c r="R101" s="26"/>
    </row>
    <row r="102" spans="1:18" s="33" customFormat="1" ht="47.25" hidden="1" thickTop="1" thickBot="1" x14ac:dyDescent="0.25">
      <c r="A102" s="136" t="s">
        <v>1225</v>
      </c>
      <c r="B102" s="136" t="s">
        <v>1186</v>
      </c>
      <c r="C102" s="136"/>
      <c r="D102" s="136" t="s">
        <v>1184</v>
      </c>
      <c r="E102" s="137">
        <f t="shared" si="6"/>
        <v>0</v>
      </c>
      <c r="F102" s="137">
        <f t="shared" si="6"/>
        <v>0</v>
      </c>
      <c r="G102" s="137">
        <f t="shared" si="6"/>
        <v>0</v>
      </c>
      <c r="H102" s="137">
        <f t="shared" si="6"/>
        <v>0</v>
      </c>
      <c r="I102" s="137">
        <f t="shared" si="6"/>
        <v>0</v>
      </c>
      <c r="J102" s="137">
        <f t="shared" si="6"/>
        <v>0</v>
      </c>
      <c r="K102" s="137">
        <f t="shared" si="6"/>
        <v>0</v>
      </c>
      <c r="L102" s="137">
        <f t="shared" si="6"/>
        <v>0</v>
      </c>
      <c r="M102" s="137">
        <f t="shared" si="6"/>
        <v>0</v>
      </c>
      <c r="N102" s="137">
        <f t="shared" si="6"/>
        <v>0</v>
      </c>
      <c r="O102" s="137">
        <f t="shared" si="6"/>
        <v>0</v>
      </c>
      <c r="P102" s="137">
        <f t="shared" si="6"/>
        <v>0</v>
      </c>
      <c r="Q102" s="30"/>
      <c r="R102" s="26"/>
    </row>
    <row r="103" spans="1:18" s="33" customFormat="1" ht="48" hidden="1" thickTop="1" thickBot="1" x14ac:dyDescent="0.25">
      <c r="A103" s="128" t="s">
        <v>1226</v>
      </c>
      <c r="B103" s="128" t="s">
        <v>1190</v>
      </c>
      <c r="C103" s="128" t="s">
        <v>1188</v>
      </c>
      <c r="D103" s="128" t="s">
        <v>1187</v>
      </c>
      <c r="E103" s="127">
        <f>F103</f>
        <v>0</v>
      </c>
      <c r="F103" s="134"/>
      <c r="G103" s="134"/>
      <c r="H103" s="134"/>
      <c r="I103" s="134"/>
      <c r="J103" s="127">
        <f>L103+O103</f>
        <v>0</v>
      </c>
      <c r="K103" s="134">
        <v>0</v>
      </c>
      <c r="L103" s="134"/>
      <c r="M103" s="134"/>
      <c r="N103" s="134"/>
      <c r="O103" s="132">
        <f>K103</f>
        <v>0</v>
      </c>
      <c r="P103" s="127">
        <f>E103+J103</f>
        <v>0</v>
      </c>
      <c r="Q103" s="30"/>
      <c r="R103" s="26"/>
    </row>
    <row r="104" spans="1:18" s="33" customFormat="1" ht="47.25" hidden="1" customHeight="1" thickTop="1" thickBot="1" x14ac:dyDescent="0.25">
      <c r="A104" s="146" t="s">
        <v>1028</v>
      </c>
      <c r="B104" s="146" t="s">
        <v>702</v>
      </c>
      <c r="C104" s="146"/>
      <c r="D104" s="146" t="s">
        <v>703</v>
      </c>
      <c r="E104" s="42">
        <f>E105</f>
        <v>0</v>
      </c>
      <c r="F104" s="42">
        <f t="shared" ref="F104:P105" si="7">F105</f>
        <v>0</v>
      </c>
      <c r="G104" s="42">
        <f t="shared" si="7"/>
        <v>0</v>
      </c>
      <c r="H104" s="42">
        <f t="shared" si="7"/>
        <v>0</v>
      </c>
      <c r="I104" s="42">
        <f t="shared" si="7"/>
        <v>0</v>
      </c>
      <c r="J104" s="42">
        <f t="shared" si="7"/>
        <v>0</v>
      </c>
      <c r="K104" s="42">
        <f t="shared" si="7"/>
        <v>0</v>
      </c>
      <c r="L104" s="42">
        <f t="shared" si="7"/>
        <v>0</v>
      </c>
      <c r="M104" s="42">
        <f t="shared" si="7"/>
        <v>0</v>
      </c>
      <c r="N104" s="42">
        <f t="shared" si="7"/>
        <v>0</v>
      </c>
      <c r="O104" s="42">
        <f t="shared" si="7"/>
        <v>0</v>
      </c>
      <c r="P104" s="42">
        <f t="shared" si="7"/>
        <v>0</v>
      </c>
      <c r="Q104" s="36"/>
      <c r="R104" s="26"/>
    </row>
    <row r="105" spans="1:18" s="33" customFormat="1" ht="91.5" hidden="1" thickTop="1" thickBot="1" x14ac:dyDescent="0.25">
      <c r="A105" s="147" t="s">
        <v>1029</v>
      </c>
      <c r="B105" s="147" t="s">
        <v>705</v>
      </c>
      <c r="C105" s="147"/>
      <c r="D105" s="147" t="s">
        <v>706</v>
      </c>
      <c r="E105" s="148">
        <f>E106</f>
        <v>0</v>
      </c>
      <c r="F105" s="148">
        <f t="shared" si="7"/>
        <v>0</v>
      </c>
      <c r="G105" s="148">
        <f t="shared" si="7"/>
        <v>0</v>
      </c>
      <c r="H105" s="148">
        <f t="shared" si="7"/>
        <v>0</v>
      </c>
      <c r="I105" s="148">
        <f t="shared" si="7"/>
        <v>0</v>
      </c>
      <c r="J105" s="148">
        <f t="shared" si="7"/>
        <v>0</v>
      </c>
      <c r="K105" s="148">
        <f t="shared" si="7"/>
        <v>0</v>
      </c>
      <c r="L105" s="148">
        <f t="shared" si="7"/>
        <v>0</v>
      </c>
      <c r="M105" s="148">
        <f t="shared" si="7"/>
        <v>0</v>
      </c>
      <c r="N105" s="148">
        <f t="shared" si="7"/>
        <v>0</v>
      </c>
      <c r="O105" s="148">
        <f t="shared" si="7"/>
        <v>0</v>
      </c>
      <c r="P105" s="148">
        <f t="shared" si="7"/>
        <v>0</v>
      </c>
      <c r="Q105" s="36"/>
      <c r="R105" s="26"/>
    </row>
    <row r="106" spans="1:18" s="33" customFormat="1" ht="48" hidden="1" thickTop="1" thickBot="1" x14ac:dyDescent="0.25">
      <c r="A106" s="41" t="s">
        <v>1030</v>
      </c>
      <c r="B106" s="41" t="s">
        <v>363</v>
      </c>
      <c r="C106" s="41" t="s">
        <v>43</v>
      </c>
      <c r="D106" s="41" t="s">
        <v>364</v>
      </c>
      <c r="E106" s="42">
        <f t="shared" ref="E106" si="8">F106</f>
        <v>0</v>
      </c>
      <c r="F106" s="43"/>
      <c r="G106" s="43"/>
      <c r="H106" s="43"/>
      <c r="I106" s="43"/>
      <c r="J106" s="42">
        <f>L106+O106</f>
        <v>0</v>
      </c>
      <c r="K106" s="43"/>
      <c r="L106" s="43"/>
      <c r="M106" s="43"/>
      <c r="N106" s="43"/>
      <c r="O106" s="44">
        <f>K106</f>
        <v>0</v>
      </c>
      <c r="P106" s="42">
        <f>E106+J106</f>
        <v>0</v>
      </c>
      <c r="Q106" s="36"/>
      <c r="R106" s="26"/>
    </row>
    <row r="107" spans="1:18" ht="120" customHeight="1" thickTop="1" thickBot="1" x14ac:dyDescent="0.25">
      <c r="A107" s="661" t="s">
        <v>154</v>
      </c>
      <c r="B107" s="661"/>
      <c r="C107" s="661"/>
      <c r="D107" s="662" t="s">
        <v>18</v>
      </c>
      <c r="E107" s="663">
        <f>E108</f>
        <v>1501000</v>
      </c>
      <c r="F107" s="664">
        <f t="shared" ref="F107:G107" si="9">F108</f>
        <v>1501000</v>
      </c>
      <c r="G107" s="664">
        <f t="shared" si="9"/>
        <v>0</v>
      </c>
      <c r="H107" s="664">
        <f>H108</f>
        <v>0</v>
      </c>
      <c r="I107" s="664">
        <f t="shared" ref="I107" si="10">I108</f>
        <v>0</v>
      </c>
      <c r="J107" s="663">
        <f>J108</f>
        <v>12798070</v>
      </c>
      <c r="K107" s="664">
        <f>K108</f>
        <v>12798070</v>
      </c>
      <c r="L107" s="664">
        <f>L108</f>
        <v>0</v>
      </c>
      <c r="M107" s="664">
        <f t="shared" ref="M107" si="11">M108</f>
        <v>0</v>
      </c>
      <c r="N107" s="664">
        <f>N108</f>
        <v>0</v>
      </c>
      <c r="O107" s="663">
        <f>O108</f>
        <v>12798070</v>
      </c>
      <c r="P107" s="664">
        <f>P108</f>
        <v>14299070</v>
      </c>
      <c r="Q107" s="20"/>
    </row>
    <row r="108" spans="1:18" ht="120" customHeight="1" thickTop="1" thickBot="1" x14ac:dyDescent="0.25">
      <c r="A108" s="658" t="s">
        <v>155</v>
      </c>
      <c r="B108" s="658"/>
      <c r="C108" s="658"/>
      <c r="D108" s="659" t="s">
        <v>36</v>
      </c>
      <c r="E108" s="660">
        <f>E109+E112+E129+E127</f>
        <v>1501000</v>
      </c>
      <c r="F108" s="660">
        <f t="shared" ref="F108:P108" si="12">F109+F112+F129+F127</f>
        <v>1501000</v>
      </c>
      <c r="G108" s="660">
        <f t="shared" si="12"/>
        <v>0</v>
      </c>
      <c r="H108" s="660">
        <f t="shared" si="12"/>
        <v>0</v>
      </c>
      <c r="I108" s="660">
        <f t="shared" si="12"/>
        <v>0</v>
      </c>
      <c r="J108" s="660">
        <f t="shared" si="12"/>
        <v>12798070</v>
      </c>
      <c r="K108" s="660">
        <f t="shared" si="12"/>
        <v>12798070</v>
      </c>
      <c r="L108" s="660">
        <f t="shared" si="12"/>
        <v>0</v>
      </c>
      <c r="M108" s="660">
        <f t="shared" si="12"/>
        <v>0</v>
      </c>
      <c r="N108" s="660">
        <f t="shared" si="12"/>
        <v>0</v>
      </c>
      <c r="O108" s="660">
        <f t="shared" si="12"/>
        <v>12798070</v>
      </c>
      <c r="P108" s="660">
        <f t="shared" si="12"/>
        <v>14299070</v>
      </c>
      <c r="Q108" s="565" t="b">
        <f>P108=P110+P113+P114+P115+P116+P119+P123+P124+P128+P132+P126+P136</f>
        <v>1</v>
      </c>
      <c r="R108" s="26"/>
    </row>
    <row r="109" spans="1:18" ht="47.25" thickTop="1" thickBot="1" x14ac:dyDescent="0.25">
      <c r="A109" s="311" t="s">
        <v>713</v>
      </c>
      <c r="B109" s="311" t="s">
        <v>684</v>
      </c>
      <c r="C109" s="311"/>
      <c r="D109" s="311" t="s">
        <v>685</v>
      </c>
      <c r="E109" s="328">
        <f>'d3'!E109-d3П!E106</f>
        <v>0</v>
      </c>
      <c r="F109" s="328">
        <f>'d3'!F109-d3П!F106</f>
        <v>0</v>
      </c>
      <c r="G109" s="328">
        <f>'d3'!G109-d3П!G106</f>
        <v>0</v>
      </c>
      <c r="H109" s="328">
        <f>'d3'!H109-d3П!H106</f>
        <v>0</v>
      </c>
      <c r="I109" s="328">
        <f>'d3'!I109-d3П!I106</f>
        <v>0</v>
      </c>
      <c r="J109" s="328">
        <f>'d3'!J109-d3П!J106</f>
        <v>0</v>
      </c>
      <c r="K109" s="328">
        <f>'d3'!K109-d3П!K106</f>
        <v>0</v>
      </c>
      <c r="L109" s="328">
        <f>'d3'!L109-d3П!L106</f>
        <v>0</v>
      </c>
      <c r="M109" s="328">
        <f>'d3'!M109-d3П!M106</f>
        <v>0</v>
      </c>
      <c r="N109" s="328">
        <f>'d3'!N109-d3П!N106</f>
        <v>0</v>
      </c>
      <c r="O109" s="328">
        <f>'d3'!O109-d3П!O106</f>
        <v>0</v>
      </c>
      <c r="P109" s="328">
        <f>'d3'!P109-d3П!P106</f>
        <v>0</v>
      </c>
      <c r="Q109" s="30"/>
      <c r="R109" s="26"/>
    </row>
    <row r="110" spans="1:18" ht="93" thickTop="1" thickBot="1" x14ac:dyDescent="0.25">
      <c r="A110" s="103" t="s">
        <v>416</v>
      </c>
      <c r="B110" s="103" t="s">
        <v>236</v>
      </c>
      <c r="C110" s="103" t="s">
        <v>234</v>
      </c>
      <c r="D110" s="103" t="s">
        <v>235</v>
      </c>
      <c r="E110" s="328">
        <f>'d3'!E110-d3П!E107</f>
        <v>0</v>
      </c>
      <c r="F110" s="328">
        <f>'d3'!F110-d3П!F107</f>
        <v>0</v>
      </c>
      <c r="G110" s="328">
        <f>'d3'!G110-d3П!G107</f>
        <v>0</v>
      </c>
      <c r="H110" s="328">
        <f>'d3'!H110-d3П!H107</f>
        <v>0</v>
      </c>
      <c r="I110" s="328">
        <f>'d3'!I110-d3П!I107</f>
        <v>0</v>
      </c>
      <c r="J110" s="328">
        <f>'d3'!J110-d3П!J107</f>
        <v>0</v>
      </c>
      <c r="K110" s="328">
        <f>'d3'!K110-d3П!K107</f>
        <v>0</v>
      </c>
      <c r="L110" s="328">
        <f>'d3'!L110-d3П!L107</f>
        <v>0</v>
      </c>
      <c r="M110" s="328">
        <f>'d3'!M110-d3П!M107</f>
        <v>0</v>
      </c>
      <c r="N110" s="328">
        <f>'d3'!N110-d3П!N107</f>
        <v>0</v>
      </c>
      <c r="O110" s="328">
        <f>'d3'!O110-d3П!O107</f>
        <v>0</v>
      </c>
      <c r="P110" s="328">
        <f>'d3'!P110-d3П!P107</f>
        <v>0</v>
      </c>
      <c r="Q110" s="39"/>
      <c r="R110" s="26"/>
    </row>
    <row r="111" spans="1:18" ht="93" hidden="1" thickTop="1" thickBot="1" x14ac:dyDescent="0.25">
      <c r="A111" s="128" t="s">
        <v>1257</v>
      </c>
      <c r="B111" s="128" t="s">
        <v>362</v>
      </c>
      <c r="C111" s="128" t="s">
        <v>625</v>
      </c>
      <c r="D111" s="128" t="s">
        <v>626</v>
      </c>
      <c r="E111" s="328">
        <f>'d3'!E111-d3П!E108</f>
        <v>0</v>
      </c>
      <c r="F111" s="328">
        <f>'d3'!F111-d3П!F108</f>
        <v>0</v>
      </c>
      <c r="G111" s="328">
        <f>'d3'!G111-d3П!G108</f>
        <v>0</v>
      </c>
      <c r="H111" s="328">
        <f>'d3'!H111-d3П!H108</f>
        <v>0</v>
      </c>
      <c r="I111" s="328">
        <f>'d3'!I111-d3П!I108</f>
        <v>0</v>
      </c>
      <c r="J111" s="328">
        <f>'d3'!J111-d3П!J108</f>
        <v>0</v>
      </c>
      <c r="K111" s="328">
        <f>'d3'!K111-d3П!K108</f>
        <v>0</v>
      </c>
      <c r="L111" s="328">
        <f>'d3'!L111-d3П!L108</f>
        <v>0</v>
      </c>
      <c r="M111" s="328">
        <f>'d3'!M111-d3П!M108</f>
        <v>0</v>
      </c>
      <c r="N111" s="328">
        <f>'d3'!N111-d3П!N108</f>
        <v>0</v>
      </c>
      <c r="O111" s="328">
        <f>'d3'!O111-d3П!O108</f>
        <v>0</v>
      </c>
      <c r="P111" s="328">
        <f>'d3'!P111-d3П!P108</f>
        <v>0</v>
      </c>
      <c r="Q111" s="39"/>
      <c r="R111" s="26"/>
    </row>
    <row r="112" spans="1:18" ht="47.25" thickTop="1" thickBot="1" x14ac:dyDescent="0.25">
      <c r="A112" s="311" t="s">
        <v>714</v>
      </c>
      <c r="B112" s="311" t="s">
        <v>715</v>
      </c>
      <c r="C112" s="311"/>
      <c r="D112" s="311" t="s">
        <v>716</v>
      </c>
      <c r="E112" s="328">
        <f>'d3'!E112-d3П!E109</f>
        <v>1501000</v>
      </c>
      <c r="F112" s="328">
        <f>'d3'!F112-d3П!F109</f>
        <v>1501000</v>
      </c>
      <c r="G112" s="328">
        <f>'d3'!G112-d3П!G109</f>
        <v>0</v>
      </c>
      <c r="H112" s="328">
        <f>'d3'!H112-d3П!H109</f>
        <v>0</v>
      </c>
      <c r="I112" s="328">
        <f>'d3'!I112-d3П!I109</f>
        <v>0</v>
      </c>
      <c r="J112" s="328">
        <f>'d3'!J112-d3П!J109</f>
        <v>10798070</v>
      </c>
      <c r="K112" s="328">
        <f>'d3'!K112-d3П!K109</f>
        <v>10798070</v>
      </c>
      <c r="L112" s="328">
        <f>'d3'!L112-d3П!L109</f>
        <v>0</v>
      </c>
      <c r="M112" s="328">
        <f>'d3'!M112-d3П!M109</f>
        <v>0</v>
      </c>
      <c r="N112" s="328">
        <f>'d3'!N112-d3П!N109</f>
        <v>0</v>
      </c>
      <c r="O112" s="328">
        <f>'d3'!O112-d3П!O109</f>
        <v>10798070</v>
      </c>
      <c r="P112" s="328">
        <f>'d3'!P112-d3П!P109</f>
        <v>12299070</v>
      </c>
      <c r="Q112" s="39"/>
      <c r="R112" s="39"/>
    </row>
    <row r="113" spans="1:18" ht="47.25" thickTop="1" thickBot="1" x14ac:dyDescent="0.25">
      <c r="A113" s="103" t="s">
        <v>214</v>
      </c>
      <c r="B113" s="103" t="s">
        <v>211</v>
      </c>
      <c r="C113" s="103" t="s">
        <v>215</v>
      </c>
      <c r="D113" s="103" t="s">
        <v>19</v>
      </c>
      <c r="E113" s="328">
        <f>'d3'!E113-d3П!E110</f>
        <v>625000</v>
      </c>
      <c r="F113" s="328">
        <f>'d3'!F113-d3П!F110</f>
        <v>625000</v>
      </c>
      <c r="G113" s="328">
        <f>'d3'!G113-d3П!G110</f>
        <v>0</v>
      </c>
      <c r="H113" s="328">
        <f>'d3'!H113-d3П!H110</f>
        <v>0</v>
      </c>
      <c r="I113" s="328">
        <f>'d3'!I113-d3П!I110</f>
        <v>0</v>
      </c>
      <c r="J113" s="328">
        <f>'d3'!J113-d3П!J110</f>
        <v>1000000</v>
      </c>
      <c r="K113" s="328">
        <f>'d3'!K113-d3П!K110</f>
        <v>1000000</v>
      </c>
      <c r="L113" s="328">
        <f>'d3'!L113-d3П!L110</f>
        <v>0</v>
      </c>
      <c r="M113" s="328">
        <f>'d3'!M113-d3П!M110</f>
        <v>0</v>
      </c>
      <c r="N113" s="328">
        <f>'d3'!N113-d3П!N110</f>
        <v>0</v>
      </c>
      <c r="O113" s="328">
        <f>'d3'!O113-d3П!O110</f>
        <v>1000000</v>
      </c>
      <c r="P113" s="328">
        <f>'d3'!P113-d3П!P110</f>
        <v>1625000</v>
      </c>
      <c r="Q113" s="20"/>
      <c r="R113" s="30"/>
    </row>
    <row r="114" spans="1:18" ht="47.25" thickTop="1" thickBot="1" x14ac:dyDescent="0.25">
      <c r="A114" s="103" t="s">
        <v>505</v>
      </c>
      <c r="B114" s="103" t="s">
        <v>508</v>
      </c>
      <c r="C114" s="103" t="s">
        <v>507</v>
      </c>
      <c r="D114" s="103" t="s">
        <v>506</v>
      </c>
      <c r="E114" s="328">
        <f>'d3'!E114-d3П!E111</f>
        <v>876000</v>
      </c>
      <c r="F114" s="328">
        <f>'d3'!F114-d3П!F111</f>
        <v>876000</v>
      </c>
      <c r="G114" s="328">
        <f>'d3'!G114-d3П!G111</f>
        <v>0</v>
      </c>
      <c r="H114" s="328">
        <f>'d3'!H114-d3П!H111</f>
        <v>0</v>
      </c>
      <c r="I114" s="328">
        <f>'d3'!I114-d3П!I111</f>
        <v>0</v>
      </c>
      <c r="J114" s="328">
        <f>'d3'!J114-d3П!J111</f>
        <v>0</v>
      </c>
      <c r="K114" s="328">
        <f>'d3'!K114-d3П!K111</f>
        <v>0</v>
      </c>
      <c r="L114" s="328">
        <f>'d3'!L114-d3П!L111</f>
        <v>0</v>
      </c>
      <c r="M114" s="328">
        <f>'d3'!M114-d3П!M111</f>
        <v>0</v>
      </c>
      <c r="N114" s="328">
        <f>'d3'!N114-d3П!N111</f>
        <v>0</v>
      </c>
      <c r="O114" s="328">
        <f>'d3'!O114-d3П!O111</f>
        <v>0</v>
      </c>
      <c r="P114" s="328">
        <f>'d3'!P114-d3П!P111</f>
        <v>876000</v>
      </c>
      <c r="Q114" s="20"/>
      <c r="R114" s="39"/>
    </row>
    <row r="115" spans="1:18" ht="47.25" thickTop="1" thickBot="1" x14ac:dyDescent="0.25">
      <c r="A115" s="103" t="s">
        <v>216</v>
      </c>
      <c r="B115" s="103" t="s">
        <v>217</v>
      </c>
      <c r="C115" s="103" t="s">
        <v>218</v>
      </c>
      <c r="D115" s="103" t="s">
        <v>219</v>
      </c>
      <c r="E115" s="328">
        <f>'d3'!E115-d3П!E112</f>
        <v>0</v>
      </c>
      <c r="F115" s="328">
        <f>'d3'!F115-d3П!F112</f>
        <v>0</v>
      </c>
      <c r="G115" s="328">
        <f>'d3'!G115-d3П!G112</f>
        <v>0</v>
      </c>
      <c r="H115" s="328">
        <f>'d3'!H115-d3П!H112</f>
        <v>0</v>
      </c>
      <c r="I115" s="328">
        <f>'d3'!I115-d3П!I112</f>
        <v>0</v>
      </c>
      <c r="J115" s="328">
        <f>'d3'!J115-d3П!J112</f>
        <v>6804070</v>
      </c>
      <c r="K115" s="328">
        <f>'d3'!K115-d3П!K112</f>
        <v>6804070</v>
      </c>
      <c r="L115" s="328">
        <f>'d3'!L115-d3П!L112</f>
        <v>0</v>
      </c>
      <c r="M115" s="328">
        <f>'d3'!M115-d3П!M112</f>
        <v>0</v>
      </c>
      <c r="N115" s="328">
        <f>'d3'!N115-d3П!N112</f>
        <v>0</v>
      </c>
      <c r="O115" s="328">
        <f>'d3'!O115-d3П!O112</f>
        <v>6804070</v>
      </c>
      <c r="P115" s="328">
        <f>'d3'!P115-d3П!P112</f>
        <v>6804070</v>
      </c>
      <c r="Q115" s="20"/>
      <c r="R115" s="39"/>
    </row>
    <row r="116" spans="1:18" ht="93" thickTop="1" thickBot="1" x14ac:dyDescent="0.25">
      <c r="A116" s="103" t="s">
        <v>220</v>
      </c>
      <c r="B116" s="103" t="s">
        <v>221</v>
      </c>
      <c r="C116" s="103" t="s">
        <v>222</v>
      </c>
      <c r="D116" s="103" t="s">
        <v>345</v>
      </c>
      <c r="E116" s="328">
        <f>'d3'!E116-d3П!E113</f>
        <v>0</v>
      </c>
      <c r="F116" s="328">
        <f>'d3'!F116-d3П!F113</f>
        <v>0</v>
      </c>
      <c r="G116" s="328">
        <f>'d3'!G116-d3П!G113</f>
        <v>0</v>
      </c>
      <c r="H116" s="328">
        <f>'d3'!H116-d3П!H113</f>
        <v>0</v>
      </c>
      <c r="I116" s="328">
        <f>'d3'!I116-d3П!I113</f>
        <v>0</v>
      </c>
      <c r="J116" s="328">
        <f>'d3'!J116-d3П!J113</f>
        <v>0</v>
      </c>
      <c r="K116" s="328">
        <f>'d3'!K116-d3П!K113</f>
        <v>0</v>
      </c>
      <c r="L116" s="328">
        <f>'d3'!L116-d3П!L113</f>
        <v>0</v>
      </c>
      <c r="M116" s="328">
        <f>'d3'!M116-d3П!M113</f>
        <v>0</v>
      </c>
      <c r="N116" s="328">
        <f>'d3'!N116-d3П!N113</f>
        <v>0</v>
      </c>
      <c r="O116" s="328">
        <f>'d3'!O116-d3П!O113</f>
        <v>0</v>
      </c>
      <c r="P116" s="328">
        <f>'d3'!P116-d3П!P113</f>
        <v>0</v>
      </c>
      <c r="Q116" s="20"/>
      <c r="R116" s="39"/>
    </row>
    <row r="117" spans="1:18" ht="47.25" hidden="1" thickTop="1" thickBot="1" x14ac:dyDescent="0.25">
      <c r="A117" s="128" t="s">
        <v>223</v>
      </c>
      <c r="B117" s="128" t="s">
        <v>224</v>
      </c>
      <c r="C117" s="128" t="s">
        <v>225</v>
      </c>
      <c r="D117" s="128" t="s">
        <v>226</v>
      </c>
      <c r="E117" s="328">
        <f>'d3'!E117-d3П!E114</f>
        <v>0</v>
      </c>
      <c r="F117" s="328">
        <f>'d3'!F117-d3П!F114</f>
        <v>0</v>
      </c>
      <c r="G117" s="328">
        <f>'d3'!G117-d3П!G114</f>
        <v>0</v>
      </c>
      <c r="H117" s="328">
        <f>'d3'!H117-d3П!H114</f>
        <v>0</v>
      </c>
      <c r="I117" s="328">
        <f>'d3'!I117-d3П!I114</f>
        <v>0</v>
      </c>
      <c r="J117" s="328">
        <f>'d3'!J117-d3П!J114</f>
        <v>0</v>
      </c>
      <c r="K117" s="328">
        <f>'d3'!K117-d3П!K114</f>
        <v>0</v>
      </c>
      <c r="L117" s="328">
        <f>'d3'!L117-d3П!L114</f>
        <v>0</v>
      </c>
      <c r="M117" s="328">
        <f>'d3'!M117-d3П!M114</f>
        <v>0</v>
      </c>
      <c r="N117" s="328">
        <f>'d3'!N117-d3П!N114</f>
        <v>0</v>
      </c>
      <c r="O117" s="328">
        <f>'d3'!O117-d3П!O114</f>
        <v>0</v>
      </c>
      <c r="P117" s="328">
        <f>'d3'!P117-d3П!P114</f>
        <v>0</v>
      </c>
      <c r="Q117" s="20"/>
      <c r="R117" s="39"/>
    </row>
    <row r="118" spans="1:18" ht="47.25" thickTop="1" thickBot="1" x14ac:dyDescent="0.25">
      <c r="A118" s="329" t="s">
        <v>717</v>
      </c>
      <c r="B118" s="329" t="s">
        <v>718</v>
      </c>
      <c r="C118" s="329"/>
      <c r="D118" s="329" t="s">
        <v>719</v>
      </c>
      <c r="E118" s="328">
        <f>'d3'!E118-d3П!E115</f>
        <v>0</v>
      </c>
      <c r="F118" s="328">
        <f>'d3'!F118-d3П!F115</f>
        <v>0</v>
      </c>
      <c r="G118" s="328">
        <f>'d3'!G118-d3П!G115</f>
        <v>0</v>
      </c>
      <c r="H118" s="328">
        <f>'d3'!H118-d3П!H115</f>
        <v>0</v>
      </c>
      <c r="I118" s="328">
        <f>'d3'!I118-d3П!I115</f>
        <v>0</v>
      </c>
      <c r="J118" s="328">
        <f>'d3'!J118-d3П!J115</f>
        <v>0</v>
      </c>
      <c r="K118" s="328">
        <f>'d3'!K118-d3П!K115</f>
        <v>0</v>
      </c>
      <c r="L118" s="328">
        <f>'d3'!L118-d3П!L115</f>
        <v>0</v>
      </c>
      <c r="M118" s="328">
        <f>'d3'!M118-d3П!M115</f>
        <v>0</v>
      </c>
      <c r="N118" s="328">
        <f>'d3'!N118-d3П!N115</f>
        <v>0</v>
      </c>
      <c r="O118" s="328">
        <f>'d3'!O118-d3П!O115</f>
        <v>0</v>
      </c>
      <c r="P118" s="328">
        <f>'d3'!P118-d3П!P115</f>
        <v>0</v>
      </c>
      <c r="Q118" s="20"/>
      <c r="R118" s="39"/>
    </row>
    <row r="119" spans="1:18" ht="93" thickTop="1" thickBot="1" x14ac:dyDescent="0.25">
      <c r="A119" s="103" t="s">
        <v>227</v>
      </c>
      <c r="B119" s="103" t="s">
        <v>228</v>
      </c>
      <c r="C119" s="103" t="s">
        <v>346</v>
      </c>
      <c r="D119" s="103" t="s">
        <v>229</v>
      </c>
      <c r="E119" s="328">
        <f>'d3'!E119-d3П!E116</f>
        <v>0</v>
      </c>
      <c r="F119" s="328">
        <f>'d3'!F119-d3П!F116</f>
        <v>0</v>
      </c>
      <c r="G119" s="328">
        <f>'d3'!G119-d3П!G116</f>
        <v>0</v>
      </c>
      <c r="H119" s="328">
        <f>'d3'!H119-d3П!H116</f>
        <v>0</v>
      </c>
      <c r="I119" s="328">
        <f>'d3'!I119-d3П!I116</f>
        <v>0</v>
      </c>
      <c r="J119" s="328">
        <f>'d3'!J119-d3П!J116</f>
        <v>0</v>
      </c>
      <c r="K119" s="328">
        <f>'d3'!K119-d3П!K116</f>
        <v>0</v>
      </c>
      <c r="L119" s="328">
        <f>'d3'!L119-d3П!L116</f>
        <v>0</v>
      </c>
      <c r="M119" s="328">
        <f>'d3'!M119-d3П!M116</f>
        <v>0</v>
      </c>
      <c r="N119" s="328">
        <f>'d3'!N119-d3П!N116</f>
        <v>0</v>
      </c>
      <c r="O119" s="328">
        <f>'d3'!O119-d3П!O116</f>
        <v>0</v>
      </c>
      <c r="P119" s="328">
        <f>'d3'!P119-d3П!P116</f>
        <v>0</v>
      </c>
      <c r="Q119" s="20"/>
      <c r="R119" s="39"/>
    </row>
    <row r="120" spans="1:18" ht="47.25" hidden="1" thickTop="1" thickBot="1" x14ac:dyDescent="0.25">
      <c r="A120" s="140" t="s">
        <v>720</v>
      </c>
      <c r="B120" s="140" t="s">
        <v>721</v>
      </c>
      <c r="C120" s="140"/>
      <c r="D120" s="140" t="s">
        <v>722</v>
      </c>
      <c r="E120" s="328">
        <f>'d3'!E120-d3П!E117</f>
        <v>0</v>
      </c>
      <c r="F120" s="328">
        <f>'d3'!F120-d3П!F117</f>
        <v>0</v>
      </c>
      <c r="G120" s="328">
        <f>'d3'!G120-d3П!G117</f>
        <v>0</v>
      </c>
      <c r="H120" s="328">
        <f>'d3'!H120-d3П!H117</f>
        <v>0</v>
      </c>
      <c r="I120" s="328">
        <f>'d3'!I120-d3П!I117</f>
        <v>0</v>
      </c>
      <c r="J120" s="328">
        <f>'d3'!J120-d3П!J117</f>
        <v>0</v>
      </c>
      <c r="K120" s="328">
        <f>'d3'!K120-d3П!K117</f>
        <v>0</v>
      </c>
      <c r="L120" s="328">
        <f>'d3'!L120-d3П!L117</f>
        <v>0</v>
      </c>
      <c r="M120" s="328">
        <f>'d3'!M120-d3П!M117</f>
        <v>0</v>
      </c>
      <c r="N120" s="328">
        <f>'d3'!N120-d3П!N117</f>
        <v>0</v>
      </c>
      <c r="O120" s="328">
        <f>'d3'!O120-d3П!O117</f>
        <v>0</v>
      </c>
      <c r="P120" s="328">
        <f>'d3'!P120-d3П!P117</f>
        <v>0</v>
      </c>
      <c r="Q120" s="20"/>
      <c r="R120" s="39"/>
    </row>
    <row r="121" spans="1:18" ht="47.25" hidden="1" thickTop="1" thickBot="1" x14ac:dyDescent="0.25">
      <c r="A121" s="128" t="s">
        <v>475</v>
      </c>
      <c r="B121" s="128" t="s">
        <v>476</v>
      </c>
      <c r="C121" s="128" t="s">
        <v>230</v>
      </c>
      <c r="D121" s="128" t="s">
        <v>477</v>
      </c>
      <c r="E121" s="328">
        <f>'d3'!E121-d3П!E118</f>
        <v>0</v>
      </c>
      <c r="F121" s="328">
        <f>'d3'!F121-d3П!F118</f>
        <v>0</v>
      </c>
      <c r="G121" s="328">
        <f>'d3'!G121-d3П!G118</f>
        <v>0</v>
      </c>
      <c r="H121" s="328">
        <f>'d3'!H121-d3П!H118</f>
        <v>0</v>
      </c>
      <c r="I121" s="328">
        <f>'d3'!I121-d3П!I118</f>
        <v>0</v>
      </c>
      <c r="J121" s="328">
        <f>'d3'!J121-d3П!J118</f>
        <v>0</v>
      </c>
      <c r="K121" s="328">
        <f>'d3'!K121-d3П!K118</f>
        <v>0</v>
      </c>
      <c r="L121" s="328">
        <f>'d3'!L121-d3П!L118</f>
        <v>0</v>
      </c>
      <c r="M121" s="328">
        <f>'d3'!M121-d3П!M118</f>
        <v>0</v>
      </c>
      <c r="N121" s="328">
        <f>'d3'!N121-d3П!N118</f>
        <v>0</v>
      </c>
      <c r="O121" s="328">
        <f>'d3'!O121-d3П!O118</f>
        <v>0</v>
      </c>
      <c r="P121" s="328">
        <f>'d3'!P121-d3П!P118</f>
        <v>0</v>
      </c>
      <c r="Q121" s="20"/>
      <c r="R121" s="39"/>
    </row>
    <row r="122" spans="1:18" ht="47.25" thickTop="1" thickBot="1" x14ac:dyDescent="0.25">
      <c r="A122" s="329" t="s">
        <v>723</v>
      </c>
      <c r="B122" s="329" t="s">
        <v>724</v>
      </c>
      <c r="C122" s="329"/>
      <c r="D122" s="329" t="s">
        <v>725</v>
      </c>
      <c r="E122" s="328">
        <f>'d3'!E122-d3П!E119</f>
        <v>0</v>
      </c>
      <c r="F122" s="328">
        <f>'d3'!F122-d3П!F119</f>
        <v>0</v>
      </c>
      <c r="G122" s="328">
        <f>'d3'!G122-d3П!G119</f>
        <v>0</v>
      </c>
      <c r="H122" s="328">
        <f>'d3'!H122-d3П!H119</f>
        <v>0</v>
      </c>
      <c r="I122" s="328">
        <f>'d3'!I122-d3П!I119</f>
        <v>0</v>
      </c>
      <c r="J122" s="328">
        <f>'d3'!J122-d3П!J119</f>
        <v>0</v>
      </c>
      <c r="K122" s="328">
        <f>'d3'!K122-d3П!K119</f>
        <v>0</v>
      </c>
      <c r="L122" s="328">
        <f>'d3'!L122-d3П!L119</f>
        <v>0</v>
      </c>
      <c r="M122" s="328">
        <f>'d3'!M122-d3П!M119</f>
        <v>0</v>
      </c>
      <c r="N122" s="328">
        <f>'d3'!N122-d3П!N119</f>
        <v>0</v>
      </c>
      <c r="O122" s="328">
        <f>'d3'!O122-d3П!O119</f>
        <v>0</v>
      </c>
      <c r="P122" s="328">
        <f>'d3'!P122-d3П!P119</f>
        <v>0</v>
      </c>
      <c r="Q122" s="20"/>
      <c r="R122" s="39"/>
    </row>
    <row r="123" spans="1:18" s="33" customFormat="1" ht="47.25" thickTop="1" thickBot="1" x14ac:dyDescent="0.25">
      <c r="A123" s="103" t="s">
        <v>321</v>
      </c>
      <c r="B123" s="103" t="s">
        <v>323</v>
      </c>
      <c r="C123" s="103" t="s">
        <v>230</v>
      </c>
      <c r="D123" s="470" t="s">
        <v>319</v>
      </c>
      <c r="E123" s="328">
        <f>'d3'!E123-d3П!E120</f>
        <v>0</v>
      </c>
      <c r="F123" s="328">
        <f>'d3'!F123-d3П!F120</f>
        <v>0</v>
      </c>
      <c r="G123" s="328">
        <f>'d3'!G123-d3П!G120</f>
        <v>0</v>
      </c>
      <c r="H123" s="328">
        <f>'d3'!H123-d3П!H120</f>
        <v>0</v>
      </c>
      <c r="I123" s="328">
        <f>'d3'!I123-d3П!I120</f>
        <v>0</v>
      </c>
      <c r="J123" s="328">
        <f>'d3'!J123-d3П!J120</f>
        <v>0</v>
      </c>
      <c r="K123" s="328">
        <f>'d3'!K123-d3П!K120</f>
        <v>0</v>
      </c>
      <c r="L123" s="328">
        <f>'d3'!L123-d3П!L120</f>
        <v>0</v>
      </c>
      <c r="M123" s="328">
        <f>'d3'!M123-d3П!M120</f>
        <v>0</v>
      </c>
      <c r="N123" s="328">
        <f>'d3'!N123-d3П!N120</f>
        <v>0</v>
      </c>
      <c r="O123" s="328">
        <f>'d3'!O123-d3П!O120</f>
        <v>0</v>
      </c>
      <c r="P123" s="328">
        <f>'d3'!P123-d3П!P120</f>
        <v>0</v>
      </c>
      <c r="Q123" s="36"/>
      <c r="R123" s="26"/>
    </row>
    <row r="124" spans="1:18" s="33" customFormat="1" ht="47.25" thickTop="1" thickBot="1" x14ac:dyDescent="0.25">
      <c r="A124" s="103" t="s">
        <v>322</v>
      </c>
      <c r="B124" s="103" t="s">
        <v>324</v>
      </c>
      <c r="C124" s="103" t="s">
        <v>230</v>
      </c>
      <c r="D124" s="470" t="s">
        <v>320</v>
      </c>
      <c r="E124" s="328">
        <f>'d3'!E124-d3П!E121</f>
        <v>0</v>
      </c>
      <c r="F124" s="328">
        <f>'d3'!F124-d3П!F121</f>
        <v>0</v>
      </c>
      <c r="G124" s="328">
        <f>'d3'!G124-d3П!G121</f>
        <v>0</v>
      </c>
      <c r="H124" s="328">
        <f>'d3'!H124-d3П!H121</f>
        <v>0</v>
      </c>
      <c r="I124" s="328">
        <f>'d3'!I124-d3П!I121</f>
        <v>0</v>
      </c>
      <c r="J124" s="328">
        <f>'d3'!J124-d3П!J121</f>
        <v>0</v>
      </c>
      <c r="K124" s="328">
        <f>'d3'!K124-d3П!K121</f>
        <v>0</v>
      </c>
      <c r="L124" s="328">
        <f>'d3'!L124-d3П!L121</f>
        <v>0</v>
      </c>
      <c r="M124" s="328">
        <f>'d3'!M124-d3П!M121</f>
        <v>0</v>
      </c>
      <c r="N124" s="328">
        <f>'d3'!N124-d3П!N121</f>
        <v>0</v>
      </c>
      <c r="O124" s="328">
        <f>'d3'!O124-d3П!O121</f>
        <v>0</v>
      </c>
      <c r="P124" s="328">
        <f>'d3'!P124-d3П!P121</f>
        <v>0</v>
      </c>
      <c r="Q124" s="36"/>
      <c r="R124" s="39"/>
    </row>
    <row r="125" spans="1:18" s="33" customFormat="1" ht="127.5" customHeight="1" thickTop="1" thickBot="1" x14ac:dyDescent="0.25">
      <c r="A125" s="697" t="s">
        <v>1598</v>
      </c>
      <c r="B125" s="697" t="s">
        <v>1599</v>
      </c>
      <c r="C125" s="697"/>
      <c r="D125" s="697" t="s">
        <v>1597</v>
      </c>
      <c r="E125" s="328">
        <f>'d3'!E125-0</f>
        <v>0</v>
      </c>
      <c r="F125" s="328">
        <f>'d3'!F125-0</f>
        <v>0</v>
      </c>
      <c r="G125" s="328">
        <f>'d3'!G125-0</f>
        <v>0</v>
      </c>
      <c r="H125" s="328">
        <f>'d3'!H125-0</f>
        <v>0</v>
      </c>
      <c r="I125" s="328">
        <f>'d3'!I125-0</f>
        <v>0</v>
      </c>
      <c r="J125" s="328">
        <f>'d3'!J125-0</f>
        <v>2994000</v>
      </c>
      <c r="K125" s="328">
        <f>'d3'!K125-0</f>
        <v>2994000</v>
      </c>
      <c r="L125" s="328">
        <f>'d3'!L125-0</f>
        <v>0</v>
      </c>
      <c r="M125" s="328">
        <f>'d3'!M125-0</f>
        <v>0</v>
      </c>
      <c r="N125" s="328">
        <f>'d3'!N125-0</f>
        <v>0</v>
      </c>
      <c r="O125" s="328">
        <f>'d3'!O125-0</f>
        <v>2994000</v>
      </c>
      <c r="P125" s="328">
        <f>'d3'!P125-0</f>
        <v>2994000</v>
      </c>
      <c r="Q125" s="36"/>
      <c r="R125" s="39"/>
    </row>
    <row r="126" spans="1:18" s="33" customFormat="1" ht="138.75" thickTop="1" thickBot="1" x14ac:dyDescent="0.25">
      <c r="A126" s="695" t="s">
        <v>1601</v>
      </c>
      <c r="B126" s="695" t="s">
        <v>1602</v>
      </c>
      <c r="C126" s="695" t="s">
        <v>230</v>
      </c>
      <c r="D126" s="696" t="s">
        <v>1600</v>
      </c>
      <c r="E126" s="328">
        <f>'d3'!E126-0</f>
        <v>0</v>
      </c>
      <c r="F126" s="328">
        <f>'d3'!F126-0</f>
        <v>0</v>
      </c>
      <c r="G126" s="328">
        <f>'d3'!G126-0</f>
        <v>0</v>
      </c>
      <c r="H126" s="328">
        <f>'d3'!H126-0</f>
        <v>0</v>
      </c>
      <c r="I126" s="328">
        <f>'d3'!I126-0</f>
        <v>0</v>
      </c>
      <c r="J126" s="328">
        <f>'d3'!J126-0</f>
        <v>2994000</v>
      </c>
      <c r="K126" s="328">
        <f>'d3'!K126-0</f>
        <v>2994000</v>
      </c>
      <c r="L126" s="328">
        <f>'d3'!L126-0</f>
        <v>0</v>
      </c>
      <c r="M126" s="328">
        <f>'d3'!M126-0</f>
        <v>0</v>
      </c>
      <c r="N126" s="328">
        <f>'d3'!N126-0</f>
        <v>0</v>
      </c>
      <c r="O126" s="328">
        <f>'d3'!O126-0</f>
        <v>2994000</v>
      </c>
      <c r="P126" s="328">
        <f>'d3'!P126-0</f>
        <v>2994000</v>
      </c>
      <c r="Q126" s="36"/>
      <c r="R126" s="39"/>
    </row>
    <row r="127" spans="1:18" s="33" customFormat="1" ht="47.25" thickTop="1" thickBot="1" x14ac:dyDescent="0.25">
      <c r="A127" s="311" t="s">
        <v>1198</v>
      </c>
      <c r="B127" s="311" t="s">
        <v>711</v>
      </c>
      <c r="C127" s="311"/>
      <c r="D127" s="311" t="s">
        <v>712</v>
      </c>
      <c r="E127" s="328">
        <f>'d3'!E127-d3П!E122</f>
        <v>0</v>
      </c>
      <c r="F127" s="328">
        <f>'d3'!F127-d3П!F122</f>
        <v>0</v>
      </c>
      <c r="G127" s="328">
        <f>'d3'!G127-d3П!G122</f>
        <v>0</v>
      </c>
      <c r="H127" s="328">
        <f>'d3'!H127-d3П!H122</f>
        <v>0</v>
      </c>
      <c r="I127" s="328">
        <f>'d3'!I127-d3П!I122</f>
        <v>0</v>
      </c>
      <c r="J127" s="328">
        <f>'d3'!J127-d3П!J122</f>
        <v>0</v>
      </c>
      <c r="K127" s="328">
        <f>'d3'!K127-d3П!K122</f>
        <v>0</v>
      </c>
      <c r="L127" s="328">
        <f>'d3'!L127-d3П!L122</f>
        <v>0</v>
      </c>
      <c r="M127" s="328">
        <f>'d3'!M127-d3П!M122</f>
        <v>0</v>
      </c>
      <c r="N127" s="328">
        <f>'d3'!N127-d3П!N122</f>
        <v>0</v>
      </c>
      <c r="O127" s="328">
        <f>'d3'!O127-d3П!O122</f>
        <v>0</v>
      </c>
      <c r="P127" s="328">
        <f>'d3'!P127-d3П!P122</f>
        <v>0</v>
      </c>
      <c r="Q127" s="36"/>
      <c r="R127" s="39"/>
    </row>
    <row r="128" spans="1:18" s="33" customFormat="1" ht="93" thickTop="1" thickBot="1" x14ac:dyDescent="0.25">
      <c r="A128" s="103" t="s">
        <v>1199</v>
      </c>
      <c r="B128" s="103" t="s">
        <v>1200</v>
      </c>
      <c r="C128" s="103" t="s">
        <v>206</v>
      </c>
      <c r="D128" s="470" t="s">
        <v>1201</v>
      </c>
      <c r="E128" s="328">
        <f>'d3'!E128-d3П!E123</f>
        <v>0</v>
      </c>
      <c r="F128" s="328">
        <f>'d3'!F128-d3П!F123</f>
        <v>0</v>
      </c>
      <c r="G128" s="328">
        <f>'d3'!G128-d3П!G123</f>
        <v>0</v>
      </c>
      <c r="H128" s="328">
        <f>'d3'!H128-d3П!H123</f>
        <v>0</v>
      </c>
      <c r="I128" s="328">
        <f>'d3'!I128-d3П!I123</f>
        <v>0</v>
      </c>
      <c r="J128" s="328">
        <f>'d3'!J128-d3П!J123</f>
        <v>0</v>
      </c>
      <c r="K128" s="328">
        <f>'d3'!K128-d3П!K123</f>
        <v>0</v>
      </c>
      <c r="L128" s="328">
        <f>'d3'!L128-d3П!L123</f>
        <v>0</v>
      </c>
      <c r="M128" s="328">
        <f>'d3'!M128-d3П!M123</f>
        <v>0</v>
      </c>
      <c r="N128" s="328">
        <f>'d3'!N128-d3П!N123</f>
        <v>0</v>
      </c>
      <c r="O128" s="328">
        <f>'d3'!O128-d3П!O123</f>
        <v>0</v>
      </c>
      <c r="P128" s="328">
        <f>'d3'!P128-d3П!P123</f>
        <v>0</v>
      </c>
      <c r="Q128" s="36"/>
      <c r="R128" s="39"/>
    </row>
    <row r="129" spans="1:20" s="33" customFormat="1" ht="47.25" thickTop="1" thickBot="1" x14ac:dyDescent="0.25">
      <c r="A129" s="311" t="s">
        <v>750</v>
      </c>
      <c r="B129" s="311" t="s">
        <v>748</v>
      </c>
      <c r="C129" s="311"/>
      <c r="D129" s="311" t="s">
        <v>749</v>
      </c>
      <c r="E129" s="328">
        <f>'d3'!E129-d3П!E124</f>
        <v>0</v>
      </c>
      <c r="F129" s="328">
        <f>'d3'!F129-d3П!F124</f>
        <v>0</v>
      </c>
      <c r="G129" s="328">
        <f>'d3'!G129-d3П!G124</f>
        <v>0</v>
      </c>
      <c r="H129" s="328">
        <f>'d3'!H129-d3П!H124</f>
        <v>0</v>
      </c>
      <c r="I129" s="328">
        <f>'d3'!I129-d3П!I124</f>
        <v>0</v>
      </c>
      <c r="J129" s="328">
        <f>'d3'!J129-d3П!J124</f>
        <v>2000000</v>
      </c>
      <c r="K129" s="328">
        <f>'d3'!K129-d3П!K124</f>
        <v>2000000</v>
      </c>
      <c r="L129" s="328">
        <f>'d3'!L129-d3П!L124</f>
        <v>0</v>
      </c>
      <c r="M129" s="328">
        <f>'d3'!M129-d3П!M124</f>
        <v>0</v>
      </c>
      <c r="N129" s="328">
        <f>'d3'!N129-d3П!N124</f>
        <v>0</v>
      </c>
      <c r="O129" s="328">
        <f>'d3'!O129-d3П!O124</f>
        <v>2000000</v>
      </c>
      <c r="P129" s="328">
        <f>'d3'!P129-d3П!P124</f>
        <v>2000000</v>
      </c>
      <c r="Q129" s="36"/>
      <c r="R129" s="39"/>
    </row>
    <row r="130" spans="1:20" s="33" customFormat="1" ht="47.25" thickTop="1" thickBot="1" x14ac:dyDescent="0.25">
      <c r="A130" s="313" t="s">
        <v>1053</v>
      </c>
      <c r="B130" s="313" t="s">
        <v>803</v>
      </c>
      <c r="C130" s="313"/>
      <c r="D130" s="313" t="s">
        <v>804</v>
      </c>
      <c r="E130" s="328">
        <f>'d3'!E130-d3П!E125</f>
        <v>0</v>
      </c>
      <c r="F130" s="328">
        <f>'d3'!F130-d3П!F125</f>
        <v>0</v>
      </c>
      <c r="G130" s="328">
        <f>'d3'!G130-d3П!G125</f>
        <v>0</v>
      </c>
      <c r="H130" s="328">
        <f>'d3'!H130-d3П!H125</f>
        <v>0</v>
      </c>
      <c r="I130" s="328">
        <f>'d3'!I130-d3П!I125</f>
        <v>0</v>
      </c>
      <c r="J130" s="328">
        <f>'d3'!J130-d3П!J125</f>
        <v>0</v>
      </c>
      <c r="K130" s="328">
        <f>'d3'!K130-d3П!K125</f>
        <v>0</v>
      </c>
      <c r="L130" s="328">
        <f>'d3'!L130-d3П!L125</f>
        <v>0</v>
      </c>
      <c r="M130" s="328">
        <f>'d3'!M130-d3П!M125</f>
        <v>0</v>
      </c>
      <c r="N130" s="328">
        <f>'d3'!N130-d3П!N125</f>
        <v>0</v>
      </c>
      <c r="O130" s="328">
        <f>'d3'!O130-d3П!O125</f>
        <v>0</v>
      </c>
      <c r="P130" s="328">
        <f>'d3'!P130-d3П!P125</f>
        <v>0</v>
      </c>
      <c r="Q130" s="36"/>
      <c r="R130" s="39"/>
    </row>
    <row r="131" spans="1:20" s="33" customFormat="1" ht="54.75" thickTop="1" thickBot="1" x14ac:dyDescent="0.25">
      <c r="A131" s="329" t="s">
        <v>1180</v>
      </c>
      <c r="B131" s="329" t="s">
        <v>821</v>
      </c>
      <c r="C131" s="329"/>
      <c r="D131" s="329" t="s">
        <v>1508</v>
      </c>
      <c r="E131" s="328">
        <f>'d3'!E131-d3П!E126</f>
        <v>0</v>
      </c>
      <c r="F131" s="328">
        <f>'d3'!F131-d3П!F126</f>
        <v>0</v>
      </c>
      <c r="G131" s="328">
        <f>'d3'!G131-d3П!G126</f>
        <v>0</v>
      </c>
      <c r="H131" s="328">
        <f>'d3'!H131-d3П!H126</f>
        <v>0</v>
      </c>
      <c r="I131" s="328">
        <f>'d3'!I131-d3П!I126</f>
        <v>0</v>
      </c>
      <c r="J131" s="328">
        <f>'d3'!J131-d3П!J126</f>
        <v>0</v>
      </c>
      <c r="K131" s="328">
        <f>'d3'!K131-d3П!K126</f>
        <v>0</v>
      </c>
      <c r="L131" s="328">
        <f>'d3'!L131-d3П!L126</f>
        <v>0</v>
      </c>
      <c r="M131" s="328">
        <f>'d3'!M131-d3П!M126</f>
        <v>0</v>
      </c>
      <c r="N131" s="328">
        <f>'d3'!N131-d3П!N126</f>
        <v>0</v>
      </c>
      <c r="O131" s="328">
        <f>'d3'!O131-d3П!O126</f>
        <v>0</v>
      </c>
      <c r="P131" s="328">
        <f>'d3'!P131-d3П!P126</f>
        <v>0</v>
      </c>
      <c r="Q131" s="36"/>
      <c r="R131" s="39"/>
    </row>
    <row r="132" spans="1:20" s="33" customFormat="1" ht="54" thickTop="1" thickBot="1" x14ac:dyDescent="0.25">
      <c r="A132" s="103" t="s">
        <v>1179</v>
      </c>
      <c r="B132" s="103" t="s">
        <v>1181</v>
      </c>
      <c r="C132" s="103" t="s">
        <v>304</v>
      </c>
      <c r="D132" s="103" t="s">
        <v>1530</v>
      </c>
      <c r="E132" s="328">
        <f>'d3'!E132-d3П!E127</f>
        <v>0</v>
      </c>
      <c r="F132" s="328">
        <f>'d3'!F132-d3П!F127</f>
        <v>0</v>
      </c>
      <c r="G132" s="328">
        <f>'d3'!G132-d3П!G127</f>
        <v>0</v>
      </c>
      <c r="H132" s="328">
        <f>'d3'!H132-d3П!H127</f>
        <v>0</v>
      </c>
      <c r="I132" s="328">
        <f>'d3'!I132-d3П!I127</f>
        <v>0</v>
      </c>
      <c r="J132" s="328">
        <f>'d3'!J132-d3П!J127</f>
        <v>0</v>
      </c>
      <c r="K132" s="328">
        <f>'d3'!K132-d3П!K127</f>
        <v>0</v>
      </c>
      <c r="L132" s="328">
        <f>'d3'!L132-d3П!L127</f>
        <v>0</v>
      </c>
      <c r="M132" s="328">
        <f>'d3'!M132-d3П!M127</f>
        <v>0</v>
      </c>
      <c r="N132" s="328">
        <f>'d3'!N132-d3П!N127</f>
        <v>0</v>
      </c>
      <c r="O132" s="328">
        <f>'d3'!O132-d3П!O127</f>
        <v>0</v>
      </c>
      <c r="P132" s="328">
        <f>'d3'!P132-d3П!P127</f>
        <v>0</v>
      </c>
      <c r="Q132" s="36"/>
      <c r="R132" s="39"/>
    </row>
    <row r="133" spans="1:20" s="33" customFormat="1" ht="47.25" hidden="1" thickTop="1" thickBot="1" x14ac:dyDescent="0.25">
      <c r="A133" s="144" t="s">
        <v>1054</v>
      </c>
      <c r="B133" s="144" t="s">
        <v>1052</v>
      </c>
      <c r="C133" s="144"/>
      <c r="D133" s="144" t="s">
        <v>1051</v>
      </c>
      <c r="E133" s="328">
        <f>'d3'!E133-d3П!E128</f>
        <v>0</v>
      </c>
      <c r="F133" s="328">
        <f>'d3'!F133-d3П!F128</f>
        <v>0</v>
      </c>
      <c r="G133" s="328">
        <f>'d3'!G133-d3П!G128</f>
        <v>0</v>
      </c>
      <c r="H133" s="328">
        <f>'d3'!H133-d3П!H128</f>
        <v>0</v>
      </c>
      <c r="I133" s="328">
        <f>'d3'!I133-d3П!I128</f>
        <v>0</v>
      </c>
      <c r="J133" s="328">
        <f>'d3'!J133-d3П!J128</f>
        <v>0</v>
      </c>
      <c r="K133" s="328">
        <f>'d3'!K133-d3П!K128</f>
        <v>0</v>
      </c>
      <c r="L133" s="328">
        <f>'d3'!L133-d3П!L128</f>
        <v>0</v>
      </c>
      <c r="M133" s="328">
        <f>'d3'!M133-d3П!M128</f>
        <v>0</v>
      </c>
      <c r="N133" s="328">
        <f>'d3'!N133-d3П!N128</f>
        <v>0</v>
      </c>
      <c r="O133" s="328">
        <f>'d3'!O133-d3П!O128</f>
        <v>0</v>
      </c>
      <c r="P133" s="328">
        <f>'d3'!P133-d3П!P128</f>
        <v>0</v>
      </c>
      <c r="Q133" s="36"/>
      <c r="R133" s="39"/>
    </row>
    <row r="134" spans="1:20" s="33" customFormat="1" ht="93" hidden="1" thickTop="1" thickBot="1" x14ac:dyDescent="0.25">
      <c r="A134" s="41" t="s">
        <v>1055</v>
      </c>
      <c r="B134" s="41" t="s">
        <v>1056</v>
      </c>
      <c r="C134" s="41" t="s">
        <v>170</v>
      </c>
      <c r="D134" s="41" t="s">
        <v>1057</v>
      </c>
      <c r="E134" s="328">
        <f>'d3'!E134-d3П!E129</f>
        <v>0</v>
      </c>
      <c r="F134" s="328">
        <f>'d3'!F134-d3П!F129</f>
        <v>0</v>
      </c>
      <c r="G134" s="328">
        <f>'d3'!G134-d3П!G129</f>
        <v>0</v>
      </c>
      <c r="H134" s="328">
        <f>'d3'!H134-d3П!H129</f>
        <v>0</v>
      </c>
      <c r="I134" s="328">
        <f>'d3'!I134-d3П!I129</f>
        <v>0</v>
      </c>
      <c r="J134" s="328">
        <f>'d3'!J134-d3П!J129</f>
        <v>0</v>
      </c>
      <c r="K134" s="328">
        <f>'d3'!K134-d3П!K129</f>
        <v>0</v>
      </c>
      <c r="L134" s="328">
        <f>'d3'!L134-d3П!L129</f>
        <v>0</v>
      </c>
      <c r="M134" s="328">
        <f>'d3'!M134-d3П!M129</f>
        <v>0</v>
      </c>
      <c r="N134" s="328">
        <f>'d3'!N134-d3П!N129</f>
        <v>0</v>
      </c>
      <c r="O134" s="328">
        <f>'d3'!O134-d3П!O129</f>
        <v>0</v>
      </c>
      <c r="P134" s="328">
        <f>'d3'!P134-d3П!P129</f>
        <v>0</v>
      </c>
      <c r="Q134" s="36"/>
      <c r="R134" s="26"/>
    </row>
    <row r="135" spans="1:20" s="28" customFormat="1" ht="47.25" thickTop="1" thickBot="1" x14ac:dyDescent="0.25">
      <c r="A135" s="698" t="s">
        <v>726</v>
      </c>
      <c r="B135" s="698" t="s">
        <v>691</v>
      </c>
      <c r="C135" s="698"/>
      <c r="D135" s="698" t="s">
        <v>689</v>
      </c>
      <c r="E135" s="328">
        <f>'d3'!E135-d3П!E130</f>
        <v>0</v>
      </c>
      <c r="F135" s="328">
        <f>'d3'!F135-d3П!F130</f>
        <v>0</v>
      </c>
      <c r="G135" s="328">
        <f>'d3'!G135-d3П!G130</f>
        <v>0</v>
      </c>
      <c r="H135" s="328">
        <f>'d3'!H135-d3П!H130</f>
        <v>0</v>
      </c>
      <c r="I135" s="328">
        <f>'d3'!I135-d3П!I130</f>
        <v>0</v>
      </c>
      <c r="J135" s="328">
        <f>'d3'!J135-d3П!J130</f>
        <v>2000000</v>
      </c>
      <c r="K135" s="328">
        <f>'d3'!K135-d3П!K130</f>
        <v>2000000</v>
      </c>
      <c r="L135" s="328">
        <f>'d3'!L135-d3П!L130</f>
        <v>0</v>
      </c>
      <c r="M135" s="328">
        <f>'d3'!M135-d3П!M130</f>
        <v>0</v>
      </c>
      <c r="N135" s="328">
        <f>'d3'!N135-d3П!N130</f>
        <v>0</v>
      </c>
      <c r="O135" s="328">
        <f>'d3'!O135-d3П!O130</f>
        <v>2000000</v>
      </c>
      <c r="P135" s="328">
        <f>'d3'!P135-d3П!P130</f>
        <v>2000000</v>
      </c>
      <c r="Q135" s="149"/>
      <c r="R135" s="40"/>
    </row>
    <row r="136" spans="1:20" s="28" customFormat="1" ht="47.25" thickTop="1" thickBot="1" x14ac:dyDescent="0.25">
      <c r="A136" s="695" t="s">
        <v>1255</v>
      </c>
      <c r="B136" s="695" t="s">
        <v>212</v>
      </c>
      <c r="C136" s="695" t="s">
        <v>213</v>
      </c>
      <c r="D136" s="695" t="s">
        <v>41</v>
      </c>
      <c r="E136" s="328">
        <f>'d3'!E136-d3П!E131</f>
        <v>0</v>
      </c>
      <c r="F136" s="328">
        <f>'d3'!F136-d3П!F131</f>
        <v>0</v>
      </c>
      <c r="G136" s="328">
        <f>'d3'!G136-d3П!G131</f>
        <v>0</v>
      </c>
      <c r="H136" s="328">
        <f>'d3'!H136-d3П!H131</f>
        <v>0</v>
      </c>
      <c r="I136" s="328">
        <f>'d3'!I136-d3П!I131</f>
        <v>0</v>
      </c>
      <c r="J136" s="328">
        <f>'d3'!J136-d3П!J131</f>
        <v>2000000</v>
      </c>
      <c r="K136" s="328">
        <f>'d3'!K136-d3П!K131</f>
        <v>2000000</v>
      </c>
      <c r="L136" s="328">
        <f>'d3'!L136-d3П!L131</f>
        <v>0</v>
      </c>
      <c r="M136" s="328">
        <f>'d3'!M136-d3П!M131</f>
        <v>0</v>
      </c>
      <c r="N136" s="328">
        <f>'d3'!N136-d3П!N131</f>
        <v>0</v>
      </c>
      <c r="O136" s="328">
        <f>'d3'!O136-d3П!O131</f>
        <v>2000000</v>
      </c>
      <c r="P136" s="328">
        <f>'d3'!P136-d3П!P131</f>
        <v>2000000</v>
      </c>
      <c r="Q136" s="149"/>
      <c r="R136" s="40"/>
    </row>
    <row r="137" spans="1:20" s="33" customFormat="1" ht="48" hidden="1" thickTop="1" thickBot="1" x14ac:dyDescent="0.25">
      <c r="A137" s="41" t="s">
        <v>435</v>
      </c>
      <c r="B137" s="41" t="s">
        <v>197</v>
      </c>
      <c r="C137" s="41" t="s">
        <v>170</v>
      </c>
      <c r="D137" s="41" t="s">
        <v>34</v>
      </c>
      <c r="E137" s="42">
        <f t="shared" ref="E137:E138" si="13">F137</f>
        <v>0</v>
      </c>
      <c r="F137" s="43"/>
      <c r="G137" s="43"/>
      <c r="H137" s="43"/>
      <c r="I137" s="43"/>
      <c r="J137" s="42">
        <f t="shared" ref="J137:J138" si="14">L137+O137</f>
        <v>0</v>
      </c>
      <c r="K137" s="43"/>
      <c r="L137" s="43"/>
      <c r="M137" s="43"/>
      <c r="N137" s="43"/>
      <c r="O137" s="44">
        <f t="shared" ref="O137:O138" si="15">K137</f>
        <v>0</v>
      </c>
      <c r="P137" s="42">
        <f t="shared" ref="P137:P138" si="16">E137+J137</f>
        <v>0</v>
      </c>
      <c r="Q137" s="36"/>
      <c r="R137" s="26"/>
    </row>
    <row r="138" spans="1:20" s="33" customFormat="1" ht="48" hidden="1" thickTop="1" thickBot="1" x14ac:dyDescent="0.25">
      <c r="A138" s="41" t="s">
        <v>509</v>
      </c>
      <c r="B138" s="41" t="s">
        <v>363</v>
      </c>
      <c r="C138" s="41" t="s">
        <v>43</v>
      </c>
      <c r="D138" s="41" t="s">
        <v>364</v>
      </c>
      <c r="E138" s="42">
        <f t="shared" si="13"/>
        <v>0</v>
      </c>
      <c r="F138" s="43"/>
      <c r="G138" s="43"/>
      <c r="H138" s="43"/>
      <c r="I138" s="43"/>
      <c r="J138" s="42">
        <f t="shared" si="14"/>
        <v>0</v>
      </c>
      <c r="K138" s="43"/>
      <c r="L138" s="43"/>
      <c r="M138" s="43"/>
      <c r="N138" s="43"/>
      <c r="O138" s="44">
        <f t="shared" si="15"/>
        <v>0</v>
      </c>
      <c r="P138" s="42">
        <f t="shared" si="16"/>
        <v>0</v>
      </c>
      <c r="Q138" s="36"/>
      <c r="R138" s="30"/>
    </row>
    <row r="139" spans="1:20" ht="120" customHeight="1" thickTop="1" thickBot="1" x14ac:dyDescent="0.25">
      <c r="A139" s="661" t="s">
        <v>156</v>
      </c>
      <c r="B139" s="661"/>
      <c r="C139" s="661"/>
      <c r="D139" s="662" t="s">
        <v>37</v>
      </c>
      <c r="E139" s="663">
        <f>E140</f>
        <v>23732222.720000029</v>
      </c>
      <c r="F139" s="664">
        <f t="shared" ref="F139:G139" si="17">F140</f>
        <v>23732222.720000029</v>
      </c>
      <c r="G139" s="664">
        <f t="shared" si="17"/>
        <v>0</v>
      </c>
      <c r="H139" s="664">
        <f>H140</f>
        <v>144904.5</v>
      </c>
      <c r="I139" s="664">
        <f t="shared" ref="I139" si="18">I140</f>
        <v>0</v>
      </c>
      <c r="J139" s="663">
        <f>J140</f>
        <v>7118501</v>
      </c>
      <c r="K139" s="664">
        <f>K140</f>
        <v>7118501</v>
      </c>
      <c r="L139" s="664">
        <f>L140</f>
        <v>0</v>
      </c>
      <c r="M139" s="664">
        <f t="shared" ref="M139" si="19">M140</f>
        <v>0</v>
      </c>
      <c r="N139" s="664">
        <f>N140</f>
        <v>0</v>
      </c>
      <c r="O139" s="663">
        <f>O140</f>
        <v>7118501</v>
      </c>
      <c r="P139" s="664">
        <f>P140</f>
        <v>30850723.720000029</v>
      </c>
      <c r="Q139" s="20"/>
    </row>
    <row r="140" spans="1:20" ht="120" customHeight="1" thickTop="1" thickBot="1" x14ac:dyDescent="0.25">
      <c r="A140" s="658" t="s">
        <v>157</v>
      </c>
      <c r="B140" s="658"/>
      <c r="C140" s="658"/>
      <c r="D140" s="659" t="s">
        <v>38</v>
      </c>
      <c r="E140" s="660">
        <f>E141+E145+E186+E190</f>
        <v>23732222.720000029</v>
      </c>
      <c r="F140" s="660">
        <f>F141+F145+F186+F190</f>
        <v>23732222.720000029</v>
      </c>
      <c r="G140" s="660">
        <f>G141+G145+G186+G190</f>
        <v>0</v>
      </c>
      <c r="H140" s="660">
        <f>H141+H145+H186+H190</f>
        <v>144904.5</v>
      </c>
      <c r="I140" s="660">
        <f>I141+I145+I186+I190</f>
        <v>0</v>
      </c>
      <c r="J140" s="660">
        <f t="shared" ref="J140" si="20">L140+O140</f>
        <v>7118501</v>
      </c>
      <c r="K140" s="660">
        <f>K141+K145+K186+K190</f>
        <v>7118501</v>
      </c>
      <c r="L140" s="660">
        <f>L141+L145+L186+L190</f>
        <v>0</v>
      </c>
      <c r="M140" s="660">
        <f>M141+M145+M186+M190</f>
        <v>0</v>
      </c>
      <c r="N140" s="660">
        <f>N141+N145+N186+N190</f>
        <v>0</v>
      </c>
      <c r="O140" s="660">
        <f>O141+O145+O186+O190</f>
        <v>7118501</v>
      </c>
      <c r="P140" s="660">
        <f>E140+J140</f>
        <v>30850723.720000029</v>
      </c>
      <c r="Q140" s="503" t="b">
        <f>P140=P142+P144+P147+P148+P149+P150+P151+P152+P153+P154+P156+P157+P159+P160+P162+P163+P165+P166+P182+P184+P185+P188+P195+P193</f>
        <v>1</v>
      </c>
      <c r="R140" s="46"/>
      <c r="S140" s="46"/>
      <c r="T140" s="45"/>
    </row>
    <row r="141" spans="1:20" ht="47.25" thickTop="1" thickBot="1" x14ac:dyDescent="0.25">
      <c r="A141" s="311" t="s">
        <v>727</v>
      </c>
      <c r="B141" s="311" t="s">
        <v>684</v>
      </c>
      <c r="C141" s="311"/>
      <c r="D141" s="311" t="s">
        <v>685</v>
      </c>
      <c r="E141" s="328">
        <f>'d3'!E141-d3П!E136</f>
        <v>0</v>
      </c>
      <c r="F141" s="328">
        <f>'d3'!F141-d3П!F136</f>
        <v>0</v>
      </c>
      <c r="G141" s="328">
        <f>'d3'!G141-d3П!G136</f>
        <v>0</v>
      </c>
      <c r="H141" s="328">
        <f>'d3'!H141-d3П!H136</f>
        <v>0</v>
      </c>
      <c r="I141" s="328">
        <f>'d3'!I141-d3П!I136</f>
        <v>0</v>
      </c>
      <c r="J141" s="328">
        <f>'d3'!J141-d3П!J136</f>
        <v>0</v>
      </c>
      <c r="K141" s="328">
        <f>'d3'!K141-d3П!K136</f>
        <v>0</v>
      </c>
      <c r="L141" s="328">
        <f>'d3'!L141-d3П!L136</f>
        <v>0</v>
      </c>
      <c r="M141" s="328">
        <f>'d3'!M141-d3П!M136</f>
        <v>0</v>
      </c>
      <c r="N141" s="328">
        <f>'d3'!N141-d3П!N136</f>
        <v>0</v>
      </c>
      <c r="O141" s="328">
        <f>'d3'!O141-d3П!O136</f>
        <v>0</v>
      </c>
      <c r="P141" s="328">
        <f>'d3'!P141-d3П!P136</f>
        <v>0</v>
      </c>
      <c r="Q141" s="47"/>
      <c r="R141" s="46"/>
      <c r="T141" s="45"/>
    </row>
    <row r="142" spans="1:20" ht="93" thickTop="1" thickBot="1" x14ac:dyDescent="0.25">
      <c r="A142" s="103" t="s">
        <v>415</v>
      </c>
      <c r="B142" s="103" t="s">
        <v>236</v>
      </c>
      <c r="C142" s="103" t="s">
        <v>234</v>
      </c>
      <c r="D142" s="103" t="s">
        <v>235</v>
      </c>
      <c r="E142" s="328">
        <f>'d3'!E142-d3П!E137</f>
        <v>0</v>
      </c>
      <c r="F142" s="328">
        <f>'d3'!F142-d3П!F137</f>
        <v>0</v>
      </c>
      <c r="G142" s="328">
        <f>'d3'!G142-d3П!G137</f>
        <v>0</v>
      </c>
      <c r="H142" s="328">
        <f>'d3'!H142-d3П!H137</f>
        <v>0</v>
      </c>
      <c r="I142" s="328">
        <f>'d3'!I142-d3П!I137</f>
        <v>0</v>
      </c>
      <c r="J142" s="328">
        <f>'d3'!J142-d3П!J137</f>
        <v>0</v>
      </c>
      <c r="K142" s="328">
        <f>'d3'!K142-d3П!K137</f>
        <v>0</v>
      </c>
      <c r="L142" s="328">
        <f>'d3'!L142-d3П!L137</f>
        <v>0</v>
      </c>
      <c r="M142" s="328">
        <f>'d3'!M142-d3П!M137</f>
        <v>0</v>
      </c>
      <c r="N142" s="328">
        <f>'d3'!N142-d3П!N137</f>
        <v>0</v>
      </c>
      <c r="O142" s="328">
        <f>'d3'!O142-d3П!O137</f>
        <v>0</v>
      </c>
      <c r="P142" s="328">
        <f>'d3'!P142-d3П!P137</f>
        <v>0</v>
      </c>
      <c r="Q142" s="47"/>
      <c r="R142" s="46"/>
      <c r="T142" s="45"/>
    </row>
    <row r="143" spans="1:20" ht="93" hidden="1" thickTop="1" thickBot="1" x14ac:dyDescent="0.25">
      <c r="A143" s="103" t="s">
        <v>628</v>
      </c>
      <c r="B143" s="103" t="s">
        <v>362</v>
      </c>
      <c r="C143" s="103" t="s">
        <v>625</v>
      </c>
      <c r="D143" s="103" t="s">
        <v>626</v>
      </c>
      <c r="E143" s="328">
        <f>'d3'!E143-d3П!E138</f>
        <v>0</v>
      </c>
      <c r="F143" s="328">
        <f>'d3'!F143-d3П!F138</f>
        <v>0</v>
      </c>
      <c r="G143" s="328">
        <f>'d3'!G143-d3П!G138</f>
        <v>0</v>
      </c>
      <c r="H143" s="328">
        <f>'d3'!H143-d3П!H138</f>
        <v>0</v>
      </c>
      <c r="I143" s="328">
        <f>'d3'!I143-d3П!I138</f>
        <v>0</v>
      </c>
      <c r="J143" s="328">
        <f>'d3'!J143-d3П!J138</f>
        <v>0</v>
      </c>
      <c r="K143" s="328">
        <f>'d3'!K143-d3П!K138</f>
        <v>0</v>
      </c>
      <c r="L143" s="328">
        <f>'d3'!L143-d3П!L138</f>
        <v>0</v>
      </c>
      <c r="M143" s="328">
        <f>'d3'!M143-d3П!M138</f>
        <v>0</v>
      </c>
      <c r="N143" s="328">
        <f>'d3'!N143-d3П!N138</f>
        <v>0</v>
      </c>
      <c r="O143" s="328">
        <f>'d3'!O143-d3П!O138</f>
        <v>0</v>
      </c>
      <c r="P143" s="328">
        <f>'d3'!P143-d3П!P138</f>
        <v>0</v>
      </c>
      <c r="Q143" s="47"/>
      <c r="R143" s="46"/>
      <c r="T143" s="45"/>
    </row>
    <row r="144" spans="1:20" ht="47.25" thickTop="1" thickBot="1" x14ac:dyDescent="0.25">
      <c r="A144" s="103" t="s">
        <v>919</v>
      </c>
      <c r="B144" s="103" t="s">
        <v>43</v>
      </c>
      <c r="C144" s="103" t="s">
        <v>42</v>
      </c>
      <c r="D144" s="103" t="s">
        <v>248</v>
      </c>
      <c r="E144" s="328">
        <f>'d3'!E144-d3П!E139</f>
        <v>0</v>
      </c>
      <c r="F144" s="328">
        <f>'d3'!F144-d3П!F139</f>
        <v>0</v>
      </c>
      <c r="G144" s="328">
        <f>'d3'!G144-d3П!G139</f>
        <v>0</v>
      </c>
      <c r="H144" s="328">
        <f>'d3'!H144-d3П!H139</f>
        <v>0</v>
      </c>
      <c r="I144" s="328">
        <f>'d3'!I144-d3П!I139</f>
        <v>0</v>
      </c>
      <c r="J144" s="328">
        <f>'d3'!J144-d3П!J139</f>
        <v>0</v>
      </c>
      <c r="K144" s="328">
        <f>'d3'!K144-d3П!K139</f>
        <v>0</v>
      </c>
      <c r="L144" s="328">
        <f>'d3'!L144-d3П!L139</f>
        <v>0</v>
      </c>
      <c r="M144" s="328">
        <f>'d3'!M144-d3П!M139</f>
        <v>0</v>
      </c>
      <c r="N144" s="328">
        <f>'d3'!N144-d3П!N139</f>
        <v>0</v>
      </c>
      <c r="O144" s="328">
        <f>'d3'!O144-d3П!O139</f>
        <v>0</v>
      </c>
      <c r="P144" s="328">
        <f>'d3'!P144-d3П!P139</f>
        <v>0</v>
      </c>
      <c r="Q144" s="47"/>
      <c r="R144" s="46"/>
      <c r="T144" s="45"/>
    </row>
    <row r="145" spans="1:20" ht="47.25" thickTop="1" thickBot="1" x14ac:dyDescent="0.25">
      <c r="A145" s="311" t="s">
        <v>728</v>
      </c>
      <c r="B145" s="311" t="s">
        <v>711</v>
      </c>
      <c r="C145" s="311"/>
      <c r="D145" s="311" t="s">
        <v>712</v>
      </c>
      <c r="E145" s="328">
        <f>'d3'!E145-d3П!E140</f>
        <v>23732222.720000029</v>
      </c>
      <c r="F145" s="328">
        <f>'d3'!F145-d3П!F140</f>
        <v>23732222.720000029</v>
      </c>
      <c r="G145" s="328">
        <f>'d3'!G145-d3П!G140</f>
        <v>0</v>
      </c>
      <c r="H145" s="328">
        <f>'d3'!H145-d3П!H140</f>
        <v>144904.5</v>
      </c>
      <c r="I145" s="328">
        <f>'d3'!I145-d3П!I140</f>
        <v>0</v>
      </c>
      <c r="J145" s="328">
        <f>'d3'!J145-d3П!J140</f>
        <v>4668501</v>
      </c>
      <c r="K145" s="328">
        <f>'d3'!K145-d3П!K140</f>
        <v>4668501</v>
      </c>
      <c r="L145" s="328">
        <f>'d3'!L145-d3П!L140</f>
        <v>0</v>
      </c>
      <c r="M145" s="328">
        <f>'d3'!M145-d3П!M140</f>
        <v>0</v>
      </c>
      <c r="N145" s="328">
        <f>'d3'!N145-d3П!N140</f>
        <v>0</v>
      </c>
      <c r="O145" s="328">
        <f>'d3'!O145-d3П!O140</f>
        <v>4668501</v>
      </c>
      <c r="P145" s="328">
        <f>'d3'!P145-d3П!P140</f>
        <v>28400723.720000029</v>
      </c>
      <c r="Q145" s="47"/>
      <c r="R145" s="46"/>
      <c r="T145" s="45"/>
    </row>
    <row r="146" spans="1:20" ht="138.75" thickTop="1" thickBot="1" x14ac:dyDescent="0.25">
      <c r="A146" s="329" t="s">
        <v>729</v>
      </c>
      <c r="B146" s="329" t="s">
        <v>730</v>
      </c>
      <c r="C146" s="329"/>
      <c r="D146" s="329" t="s">
        <v>731</v>
      </c>
      <c r="E146" s="328">
        <f>'d3'!E146-d3П!E141</f>
        <v>0</v>
      </c>
      <c r="F146" s="328">
        <f>'d3'!F146-d3П!F141</f>
        <v>0</v>
      </c>
      <c r="G146" s="328">
        <f>'d3'!G146-d3П!G141</f>
        <v>0</v>
      </c>
      <c r="H146" s="328">
        <f>'d3'!H146-d3П!H141</f>
        <v>0</v>
      </c>
      <c r="I146" s="328">
        <f>'d3'!I146-d3П!I141</f>
        <v>0</v>
      </c>
      <c r="J146" s="328">
        <f>'d3'!J146-d3П!J141</f>
        <v>0</v>
      </c>
      <c r="K146" s="328">
        <f>'d3'!K146-d3П!K141</f>
        <v>0</v>
      </c>
      <c r="L146" s="328">
        <f>'d3'!L146-d3П!L141</f>
        <v>0</v>
      </c>
      <c r="M146" s="328">
        <f>'d3'!M146-d3П!M141</f>
        <v>0</v>
      </c>
      <c r="N146" s="328">
        <f>'d3'!N146-d3П!N141</f>
        <v>0</v>
      </c>
      <c r="O146" s="328">
        <f>'d3'!O146-d3П!O141</f>
        <v>0</v>
      </c>
      <c r="P146" s="328">
        <f>'d3'!P146-d3П!P141</f>
        <v>0</v>
      </c>
      <c r="Q146" s="150"/>
      <c r="R146" s="48"/>
      <c r="T146" s="49"/>
    </row>
    <row r="147" spans="1:20" s="33" customFormat="1" ht="47.25" thickTop="1" thickBot="1" x14ac:dyDescent="0.25">
      <c r="A147" s="103" t="s">
        <v>269</v>
      </c>
      <c r="B147" s="103" t="s">
        <v>270</v>
      </c>
      <c r="C147" s="103" t="s">
        <v>205</v>
      </c>
      <c r="D147" s="330" t="s">
        <v>271</v>
      </c>
      <c r="E147" s="328">
        <f>'d3'!E147-d3П!E142</f>
        <v>0</v>
      </c>
      <c r="F147" s="328">
        <f>'d3'!F147-d3П!F142</f>
        <v>0</v>
      </c>
      <c r="G147" s="328">
        <f>'d3'!G147-d3П!G142</f>
        <v>0</v>
      </c>
      <c r="H147" s="328">
        <f>'d3'!H147-d3П!H142</f>
        <v>0</v>
      </c>
      <c r="I147" s="328">
        <f>'d3'!I147-d3П!I142</f>
        <v>0</v>
      </c>
      <c r="J147" s="328">
        <f>'d3'!J147-d3П!J142</f>
        <v>0</v>
      </c>
      <c r="K147" s="328">
        <f>'d3'!K147-d3П!K142</f>
        <v>0</v>
      </c>
      <c r="L147" s="328">
        <f>'d3'!L147-d3П!L142</f>
        <v>0</v>
      </c>
      <c r="M147" s="328">
        <f>'d3'!M147-d3П!M142</f>
        <v>0</v>
      </c>
      <c r="N147" s="328">
        <f>'d3'!N147-d3П!N142</f>
        <v>0</v>
      </c>
      <c r="O147" s="328">
        <f>'d3'!O147-d3П!O142</f>
        <v>0</v>
      </c>
      <c r="P147" s="328">
        <f>'d3'!P147-d3П!P142</f>
        <v>0</v>
      </c>
      <c r="Q147" s="36"/>
      <c r="R147" s="46"/>
    </row>
    <row r="148" spans="1:20" s="33" customFormat="1" ht="47.25" thickTop="1" thickBot="1" x14ac:dyDescent="0.25">
      <c r="A148" s="103" t="s">
        <v>272</v>
      </c>
      <c r="B148" s="103" t="s">
        <v>273</v>
      </c>
      <c r="C148" s="103" t="s">
        <v>206</v>
      </c>
      <c r="D148" s="103" t="s">
        <v>6</v>
      </c>
      <c r="E148" s="328">
        <f>'d3'!E148-d3П!E143</f>
        <v>0</v>
      </c>
      <c r="F148" s="328">
        <f>'d3'!F148-d3П!F143</f>
        <v>0</v>
      </c>
      <c r="G148" s="328">
        <f>'d3'!G148-d3П!G143</f>
        <v>0</v>
      </c>
      <c r="H148" s="328">
        <f>'d3'!H148-d3П!H143</f>
        <v>0</v>
      </c>
      <c r="I148" s="328">
        <f>'d3'!I148-d3П!I143</f>
        <v>0</v>
      </c>
      <c r="J148" s="328">
        <f>'d3'!J148-d3П!J143</f>
        <v>0</v>
      </c>
      <c r="K148" s="328">
        <f>'d3'!K148-d3П!K143</f>
        <v>0</v>
      </c>
      <c r="L148" s="328">
        <f>'d3'!L148-d3П!L143</f>
        <v>0</v>
      </c>
      <c r="M148" s="328">
        <f>'d3'!M148-d3П!M143</f>
        <v>0</v>
      </c>
      <c r="N148" s="328">
        <f>'d3'!N148-d3П!N143</f>
        <v>0</v>
      </c>
      <c r="O148" s="328">
        <f>'d3'!O148-d3П!O143</f>
        <v>0</v>
      </c>
      <c r="P148" s="328">
        <f>'d3'!P148-d3П!P143</f>
        <v>0</v>
      </c>
      <c r="Q148" s="36"/>
      <c r="R148" s="50"/>
    </row>
    <row r="149" spans="1:20" s="33" customFormat="1" ht="93" thickTop="1" thickBot="1" x14ac:dyDescent="0.25">
      <c r="A149" s="103" t="s">
        <v>275</v>
      </c>
      <c r="B149" s="103" t="s">
        <v>276</v>
      </c>
      <c r="C149" s="103" t="s">
        <v>206</v>
      </c>
      <c r="D149" s="103" t="s">
        <v>7</v>
      </c>
      <c r="E149" s="328">
        <f>'d3'!E149-d3П!E144</f>
        <v>0</v>
      </c>
      <c r="F149" s="328">
        <f>'d3'!F149-d3П!F144</f>
        <v>0</v>
      </c>
      <c r="G149" s="328">
        <f>'d3'!G149-d3П!G144</f>
        <v>0</v>
      </c>
      <c r="H149" s="328">
        <f>'d3'!H149-d3П!H144</f>
        <v>0</v>
      </c>
      <c r="I149" s="328">
        <f>'d3'!I149-d3П!I144</f>
        <v>0</v>
      </c>
      <c r="J149" s="328">
        <f>'d3'!J149-d3П!J144</f>
        <v>0</v>
      </c>
      <c r="K149" s="328">
        <f>'d3'!K149-d3П!K144</f>
        <v>0</v>
      </c>
      <c r="L149" s="328">
        <f>'d3'!L149-d3П!L144</f>
        <v>0</v>
      </c>
      <c r="M149" s="328">
        <f>'d3'!M149-d3П!M144</f>
        <v>0</v>
      </c>
      <c r="N149" s="328">
        <f>'d3'!N149-d3П!N144</f>
        <v>0</v>
      </c>
      <c r="O149" s="328">
        <f>'d3'!O149-d3П!O144</f>
        <v>0</v>
      </c>
      <c r="P149" s="328">
        <f>'d3'!P149-d3П!P144</f>
        <v>0</v>
      </c>
      <c r="Q149" s="36"/>
      <c r="R149" s="50"/>
    </row>
    <row r="150" spans="1:20" s="33" customFormat="1" ht="93" thickTop="1" thickBot="1" x14ac:dyDescent="0.25">
      <c r="A150" s="103" t="s">
        <v>277</v>
      </c>
      <c r="B150" s="103" t="s">
        <v>274</v>
      </c>
      <c r="C150" s="103" t="s">
        <v>206</v>
      </c>
      <c r="D150" s="103" t="s">
        <v>8</v>
      </c>
      <c r="E150" s="328">
        <f>'d3'!E150-d3П!E145</f>
        <v>0</v>
      </c>
      <c r="F150" s="328">
        <f>'d3'!F150-d3П!F145</f>
        <v>0</v>
      </c>
      <c r="G150" s="328">
        <f>'d3'!G150-d3П!G145</f>
        <v>0</v>
      </c>
      <c r="H150" s="328">
        <f>'d3'!H150-d3П!H145</f>
        <v>0</v>
      </c>
      <c r="I150" s="328">
        <f>'d3'!I150-d3П!I145</f>
        <v>0</v>
      </c>
      <c r="J150" s="328">
        <f>'d3'!J150-d3П!J145</f>
        <v>0</v>
      </c>
      <c r="K150" s="328">
        <f>'d3'!K150-d3П!K145</f>
        <v>0</v>
      </c>
      <c r="L150" s="328">
        <f>'d3'!L150-d3П!L145</f>
        <v>0</v>
      </c>
      <c r="M150" s="328">
        <f>'d3'!M150-d3П!M145</f>
        <v>0</v>
      </c>
      <c r="N150" s="328">
        <f>'d3'!N150-d3П!N145</f>
        <v>0</v>
      </c>
      <c r="O150" s="328">
        <f>'d3'!O150-d3П!O145</f>
        <v>0</v>
      </c>
      <c r="P150" s="328">
        <f>'d3'!P150-d3П!P145</f>
        <v>0</v>
      </c>
      <c r="Q150" s="36"/>
      <c r="R150" s="50"/>
    </row>
    <row r="151" spans="1:20" s="33" customFormat="1" ht="93" thickTop="1" thickBot="1" x14ac:dyDescent="0.25">
      <c r="A151" s="103" t="s">
        <v>278</v>
      </c>
      <c r="B151" s="103" t="s">
        <v>279</v>
      </c>
      <c r="C151" s="103" t="s">
        <v>206</v>
      </c>
      <c r="D151" s="103" t="s">
        <v>9</v>
      </c>
      <c r="E151" s="328">
        <f>'d3'!E151-d3П!E146</f>
        <v>0</v>
      </c>
      <c r="F151" s="328">
        <f>'d3'!F151-d3П!F146</f>
        <v>0</v>
      </c>
      <c r="G151" s="328">
        <f>'d3'!G151-d3П!G146</f>
        <v>0</v>
      </c>
      <c r="H151" s="328">
        <f>'d3'!H151-d3П!H146</f>
        <v>0</v>
      </c>
      <c r="I151" s="328">
        <f>'d3'!I151-d3П!I146</f>
        <v>0</v>
      </c>
      <c r="J151" s="328">
        <f>'d3'!J151-d3П!J146</f>
        <v>0</v>
      </c>
      <c r="K151" s="328">
        <f>'d3'!K151-d3П!K146</f>
        <v>0</v>
      </c>
      <c r="L151" s="328">
        <f>'d3'!L151-d3П!L146</f>
        <v>0</v>
      </c>
      <c r="M151" s="328">
        <f>'d3'!M151-d3П!M146</f>
        <v>0</v>
      </c>
      <c r="N151" s="328">
        <f>'d3'!N151-d3П!N146</f>
        <v>0</v>
      </c>
      <c r="O151" s="328">
        <f>'d3'!O151-d3П!O146</f>
        <v>0</v>
      </c>
      <c r="P151" s="328">
        <f>'d3'!P151-d3П!P146</f>
        <v>0</v>
      </c>
      <c r="Q151" s="36"/>
      <c r="R151" s="50"/>
    </row>
    <row r="152" spans="1:20" s="33" customFormat="1" ht="93" thickTop="1" thickBot="1" x14ac:dyDescent="0.25">
      <c r="A152" s="103" t="s">
        <v>478</v>
      </c>
      <c r="B152" s="103" t="s">
        <v>479</v>
      </c>
      <c r="C152" s="103" t="s">
        <v>206</v>
      </c>
      <c r="D152" s="103" t="s">
        <v>480</v>
      </c>
      <c r="E152" s="328">
        <f>'d3'!E152-d3П!E147</f>
        <v>0</v>
      </c>
      <c r="F152" s="328">
        <f>'d3'!F152-d3П!F147</f>
        <v>0</v>
      </c>
      <c r="G152" s="328">
        <f>'d3'!G152-d3П!G147</f>
        <v>0</v>
      </c>
      <c r="H152" s="328">
        <f>'d3'!H152-d3П!H147</f>
        <v>0</v>
      </c>
      <c r="I152" s="328">
        <f>'d3'!I152-d3П!I147</f>
        <v>0</v>
      </c>
      <c r="J152" s="328">
        <f>'d3'!J152-d3П!J147</f>
        <v>0</v>
      </c>
      <c r="K152" s="328">
        <f>'d3'!K152-d3П!K147</f>
        <v>0</v>
      </c>
      <c r="L152" s="328">
        <f>'d3'!L152-d3П!L147</f>
        <v>0</v>
      </c>
      <c r="M152" s="328">
        <f>'d3'!M152-d3П!M147</f>
        <v>0</v>
      </c>
      <c r="N152" s="328">
        <f>'d3'!N152-d3П!N147</f>
        <v>0</v>
      </c>
      <c r="O152" s="328">
        <f>'d3'!O152-d3П!O147</f>
        <v>0</v>
      </c>
      <c r="P152" s="328">
        <f>'d3'!P152-d3П!P147</f>
        <v>0</v>
      </c>
      <c r="Q152" s="36"/>
      <c r="R152" s="50"/>
    </row>
    <row r="153" spans="1:20" s="33" customFormat="1" ht="47.25" thickTop="1" thickBot="1" x14ac:dyDescent="0.25">
      <c r="A153" s="103" t="s">
        <v>920</v>
      </c>
      <c r="B153" s="103" t="s">
        <v>921</v>
      </c>
      <c r="C153" s="103" t="s">
        <v>206</v>
      </c>
      <c r="D153" s="103" t="s">
        <v>922</v>
      </c>
      <c r="E153" s="328">
        <f>'d3'!E153-d3П!E148</f>
        <v>393100</v>
      </c>
      <c r="F153" s="328">
        <f>'d3'!F153-d3П!F148</f>
        <v>393100</v>
      </c>
      <c r="G153" s="328">
        <f>'d3'!G153-d3П!G148</f>
        <v>0</v>
      </c>
      <c r="H153" s="328">
        <f>'d3'!H153-d3П!H148</f>
        <v>0</v>
      </c>
      <c r="I153" s="328">
        <f>'d3'!I153-d3П!I148</f>
        <v>0</v>
      </c>
      <c r="J153" s="328">
        <f>'d3'!J153-d3П!J148</f>
        <v>0</v>
      </c>
      <c r="K153" s="328">
        <f>'d3'!K153-d3П!K148</f>
        <v>0</v>
      </c>
      <c r="L153" s="328">
        <f>'d3'!L153-d3П!L148</f>
        <v>0</v>
      </c>
      <c r="M153" s="328">
        <f>'d3'!M153-d3П!M148</f>
        <v>0</v>
      </c>
      <c r="N153" s="328">
        <f>'d3'!N153-d3П!N148</f>
        <v>0</v>
      </c>
      <c r="O153" s="328">
        <f>'d3'!O153-d3П!O148</f>
        <v>0</v>
      </c>
      <c r="P153" s="328">
        <f>'d3'!P153-d3П!P148</f>
        <v>393100</v>
      </c>
      <c r="Q153" s="36"/>
      <c r="R153" s="50"/>
    </row>
    <row r="154" spans="1:20" ht="93" thickTop="1" thickBot="1" x14ac:dyDescent="0.25">
      <c r="A154" s="103" t="s">
        <v>481</v>
      </c>
      <c r="B154" s="103" t="s">
        <v>482</v>
      </c>
      <c r="C154" s="103" t="s">
        <v>205</v>
      </c>
      <c r="D154" s="103" t="s">
        <v>483</v>
      </c>
      <c r="E154" s="328">
        <f>'d3'!E154-d3П!E149</f>
        <v>0</v>
      </c>
      <c r="F154" s="328">
        <f>'d3'!F154-d3П!F149</f>
        <v>0</v>
      </c>
      <c r="G154" s="328">
        <f>'d3'!G154-d3П!G149</f>
        <v>0</v>
      </c>
      <c r="H154" s="328">
        <f>'d3'!H154-d3П!H149</f>
        <v>0</v>
      </c>
      <c r="I154" s="328">
        <f>'d3'!I154-d3П!I149</f>
        <v>0</v>
      </c>
      <c r="J154" s="328">
        <f>'d3'!J154-d3П!J149</f>
        <v>0</v>
      </c>
      <c r="K154" s="328">
        <f>'d3'!K154-d3П!K149</f>
        <v>0</v>
      </c>
      <c r="L154" s="328">
        <f>'d3'!L154-d3П!L149</f>
        <v>0</v>
      </c>
      <c r="M154" s="328">
        <f>'d3'!M154-d3П!M149</f>
        <v>0</v>
      </c>
      <c r="N154" s="328">
        <f>'d3'!N154-d3П!N149</f>
        <v>0</v>
      </c>
      <c r="O154" s="328">
        <f>'d3'!O154-d3П!O149</f>
        <v>0</v>
      </c>
      <c r="P154" s="328">
        <f>'d3'!P154-d3П!P149</f>
        <v>0</v>
      </c>
      <c r="Q154" s="20"/>
      <c r="R154" s="50"/>
    </row>
    <row r="155" spans="1:20" s="33" customFormat="1" ht="93" thickTop="1" thickBot="1" x14ac:dyDescent="0.25">
      <c r="A155" s="329" t="s">
        <v>732</v>
      </c>
      <c r="B155" s="329" t="s">
        <v>733</v>
      </c>
      <c r="C155" s="329"/>
      <c r="D155" s="329" t="s">
        <v>734</v>
      </c>
      <c r="E155" s="328">
        <f>'d3'!E155-d3П!E150</f>
        <v>712368.5</v>
      </c>
      <c r="F155" s="328">
        <f>'d3'!F155-d3П!F150</f>
        <v>712368.5</v>
      </c>
      <c r="G155" s="328">
        <f>'d3'!G155-d3П!G150</f>
        <v>0</v>
      </c>
      <c r="H155" s="328">
        <f>'d3'!H155-d3П!H150</f>
        <v>7261.5</v>
      </c>
      <c r="I155" s="328">
        <f>'d3'!I155-d3П!I150</f>
        <v>0</v>
      </c>
      <c r="J155" s="328">
        <f>'d3'!J155-d3П!J150</f>
        <v>0</v>
      </c>
      <c r="K155" s="328">
        <f>'d3'!K155-d3П!K150</f>
        <v>0</v>
      </c>
      <c r="L155" s="328">
        <f>'d3'!L155-d3П!L150</f>
        <v>0</v>
      </c>
      <c r="M155" s="328">
        <f>'d3'!M155-d3П!M150</f>
        <v>0</v>
      </c>
      <c r="N155" s="328">
        <f>'d3'!N155-d3П!N150</f>
        <v>0</v>
      </c>
      <c r="O155" s="328">
        <f>'d3'!O155-d3П!O150</f>
        <v>0</v>
      </c>
      <c r="P155" s="328">
        <f>'d3'!P155-d3П!P150</f>
        <v>712368.5</v>
      </c>
      <c r="Q155" s="36"/>
      <c r="R155" s="51"/>
    </row>
    <row r="156" spans="1:20" ht="93" thickTop="1" thickBot="1" x14ac:dyDescent="0.25">
      <c r="A156" s="103" t="s">
        <v>267</v>
      </c>
      <c r="B156" s="103" t="s">
        <v>265</v>
      </c>
      <c r="C156" s="103" t="s">
        <v>200</v>
      </c>
      <c r="D156" s="103" t="s">
        <v>17</v>
      </c>
      <c r="E156" s="328">
        <f>'d3'!E156-d3П!E151</f>
        <v>157261.5</v>
      </c>
      <c r="F156" s="328">
        <f>'d3'!F156-d3П!F151</f>
        <v>157261.5</v>
      </c>
      <c r="G156" s="328">
        <f>'d3'!G156-d3П!G151</f>
        <v>0</v>
      </c>
      <c r="H156" s="328">
        <f>'d3'!H156-d3П!H151</f>
        <v>7261.5</v>
      </c>
      <c r="I156" s="328">
        <f>'d3'!I156-d3П!I151</f>
        <v>0</v>
      </c>
      <c r="J156" s="328">
        <f>'d3'!J156-d3П!J151</f>
        <v>0</v>
      </c>
      <c r="K156" s="328">
        <f>'d3'!K156-d3П!K151</f>
        <v>0</v>
      </c>
      <c r="L156" s="328">
        <f>'d3'!L156-d3П!L151</f>
        <v>0</v>
      </c>
      <c r="M156" s="328">
        <f>'d3'!M156-d3П!M151</f>
        <v>0</v>
      </c>
      <c r="N156" s="328">
        <f>'d3'!N156-d3П!N151</f>
        <v>0</v>
      </c>
      <c r="O156" s="328">
        <f>'d3'!O156-d3П!O151</f>
        <v>0</v>
      </c>
      <c r="P156" s="328">
        <f>'d3'!P156-d3П!P151</f>
        <v>157261.5</v>
      </c>
      <c r="Q156" s="20"/>
      <c r="R156" s="46"/>
    </row>
    <row r="157" spans="1:20" ht="47.25" thickTop="1" thickBot="1" x14ac:dyDescent="0.25">
      <c r="A157" s="103" t="s">
        <v>268</v>
      </c>
      <c r="B157" s="103" t="s">
        <v>266</v>
      </c>
      <c r="C157" s="103" t="s">
        <v>199</v>
      </c>
      <c r="D157" s="103" t="s">
        <v>455</v>
      </c>
      <c r="E157" s="328">
        <f>'d3'!E157-d3П!E152</f>
        <v>555107</v>
      </c>
      <c r="F157" s="328">
        <f>'d3'!F157-d3П!F152</f>
        <v>555107</v>
      </c>
      <c r="G157" s="328">
        <f>'d3'!G157-d3П!G152</f>
        <v>0</v>
      </c>
      <c r="H157" s="328">
        <f>'d3'!H157-d3П!H152</f>
        <v>0</v>
      </c>
      <c r="I157" s="328">
        <f>'d3'!I157-d3П!I152</f>
        <v>0</v>
      </c>
      <c r="J157" s="328">
        <f>'d3'!J157-d3П!J152</f>
        <v>0</v>
      </c>
      <c r="K157" s="328">
        <f>'d3'!K157-d3П!K152</f>
        <v>0</v>
      </c>
      <c r="L157" s="328">
        <f>'d3'!L157-d3П!L152</f>
        <v>0</v>
      </c>
      <c r="M157" s="328">
        <f>'d3'!M157-d3П!M152</f>
        <v>0</v>
      </c>
      <c r="N157" s="328">
        <f>'d3'!N157-d3П!N152</f>
        <v>0</v>
      </c>
      <c r="O157" s="328">
        <f>'d3'!O157-d3П!O152</f>
        <v>0</v>
      </c>
      <c r="P157" s="328">
        <f>'d3'!P157-d3П!P152</f>
        <v>555107</v>
      </c>
      <c r="Q157" s="20"/>
      <c r="R157" s="46"/>
    </row>
    <row r="158" spans="1:20" ht="47.25" thickTop="1" thickBot="1" x14ac:dyDescent="0.25">
      <c r="A158" s="329" t="s">
        <v>1020</v>
      </c>
      <c r="B158" s="329" t="s">
        <v>765</v>
      </c>
      <c r="C158" s="329"/>
      <c r="D158" s="329" t="s">
        <v>766</v>
      </c>
      <c r="E158" s="328">
        <f>'d3'!E158-d3П!E153</f>
        <v>318785</v>
      </c>
      <c r="F158" s="328">
        <f>'d3'!F158-d3П!F153</f>
        <v>318785</v>
      </c>
      <c r="G158" s="328">
        <f>'d3'!G158-d3П!G153</f>
        <v>0</v>
      </c>
      <c r="H158" s="328">
        <f>'d3'!H158-d3П!H153</f>
        <v>0</v>
      </c>
      <c r="I158" s="328">
        <f>'d3'!I158-d3П!I153</f>
        <v>0</v>
      </c>
      <c r="J158" s="328">
        <f>'d3'!J158-d3П!J153</f>
        <v>13195</v>
      </c>
      <c r="K158" s="328">
        <f>'d3'!K158-d3П!K153</f>
        <v>13195</v>
      </c>
      <c r="L158" s="328">
        <f>'d3'!L158-d3П!L153</f>
        <v>0</v>
      </c>
      <c r="M158" s="328">
        <f>'d3'!M158-d3П!M153</f>
        <v>0</v>
      </c>
      <c r="N158" s="328">
        <f>'d3'!N158-d3П!N153</f>
        <v>0</v>
      </c>
      <c r="O158" s="328">
        <f>'d3'!O158-d3П!O153</f>
        <v>13195</v>
      </c>
      <c r="P158" s="328">
        <f>'d3'!P158-d3П!P153</f>
        <v>331980</v>
      </c>
      <c r="Q158" s="20"/>
      <c r="R158" s="46"/>
    </row>
    <row r="159" spans="1:20" ht="47.25" thickTop="1" thickBot="1" x14ac:dyDescent="0.25">
      <c r="A159" s="103" t="s">
        <v>1215</v>
      </c>
      <c r="B159" s="103" t="s">
        <v>184</v>
      </c>
      <c r="C159" s="103" t="s">
        <v>185</v>
      </c>
      <c r="D159" s="103" t="s">
        <v>638</v>
      </c>
      <c r="E159" s="328">
        <f>'d3'!E159-d3П!E154</f>
        <v>318785</v>
      </c>
      <c r="F159" s="328">
        <f>'d3'!F159-d3П!F154</f>
        <v>318785</v>
      </c>
      <c r="G159" s="328">
        <f>'d3'!G159-d3П!G154</f>
        <v>0</v>
      </c>
      <c r="H159" s="328">
        <f>'d3'!H159-d3П!H154</f>
        <v>0</v>
      </c>
      <c r="I159" s="328">
        <f>'d3'!I159-d3П!I154</f>
        <v>0</v>
      </c>
      <c r="J159" s="328">
        <f>'d3'!J159-d3П!J154</f>
        <v>13195</v>
      </c>
      <c r="K159" s="328">
        <f>'d3'!K159-d3П!K154</f>
        <v>13195</v>
      </c>
      <c r="L159" s="328">
        <f>'d3'!L159-d3П!L154</f>
        <v>0</v>
      </c>
      <c r="M159" s="328">
        <f>'d3'!M159-d3П!M154</f>
        <v>0</v>
      </c>
      <c r="N159" s="328">
        <f>'d3'!N159-d3П!N154</f>
        <v>0</v>
      </c>
      <c r="O159" s="328">
        <f>'d3'!O159-d3П!O154</f>
        <v>13195</v>
      </c>
      <c r="P159" s="328">
        <f>'d3'!P159-d3П!P154</f>
        <v>331980</v>
      </c>
      <c r="Q159" s="20"/>
      <c r="R159" s="46"/>
    </row>
    <row r="160" spans="1:20" ht="138.75" thickTop="1" thickBot="1" x14ac:dyDescent="0.25">
      <c r="A160" s="103" t="s">
        <v>263</v>
      </c>
      <c r="B160" s="103" t="s">
        <v>264</v>
      </c>
      <c r="C160" s="103" t="s">
        <v>199</v>
      </c>
      <c r="D160" s="103" t="s">
        <v>453</v>
      </c>
      <c r="E160" s="328">
        <f>'d3'!E160-d3П!E155</f>
        <v>0</v>
      </c>
      <c r="F160" s="328">
        <f>'d3'!F160-d3П!F155</f>
        <v>0</v>
      </c>
      <c r="G160" s="328">
        <f>'d3'!G160-d3П!G155</f>
        <v>0</v>
      </c>
      <c r="H160" s="328">
        <f>'d3'!H160-d3П!H155</f>
        <v>0</v>
      </c>
      <c r="I160" s="328">
        <f>'d3'!I160-d3П!I155</f>
        <v>0</v>
      </c>
      <c r="J160" s="328">
        <f>'d3'!J160-d3П!J155</f>
        <v>0</v>
      </c>
      <c r="K160" s="328">
        <f>'d3'!K160-d3П!K155</f>
        <v>0</v>
      </c>
      <c r="L160" s="328">
        <f>'d3'!L160-d3П!L155</f>
        <v>0</v>
      </c>
      <c r="M160" s="328">
        <f>'d3'!M160-d3П!M155</f>
        <v>0</v>
      </c>
      <c r="N160" s="328">
        <f>'d3'!N160-d3П!N155</f>
        <v>0</v>
      </c>
      <c r="O160" s="328">
        <f>'d3'!O160-d3П!O155</f>
        <v>0</v>
      </c>
      <c r="P160" s="328">
        <f>'d3'!P160-d3П!P155</f>
        <v>0</v>
      </c>
      <c r="Q160" s="20"/>
      <c r="R160" s="50"/>
    </row>
    <row r="161" spans="1:18" ht="47.25" thickTop="1" thickBot="1" x14ac:dyDescent="0.25">
      <c r="A161" s="329" t="s">
        <v>881</v>
      </c>
      <c r="B161" s="329" t="s">
        <v>882</v>
      </c>
      <c r="C161" s="329"/>
      <c r="D161" s="329" t="s">
        <v>883</v>
      </c>
      <c r="E161" s="328">
        <f>'d3'!E161-d3П!E156</f>
        <v>0</v>
      </c>
      <c r="F161" s="328">
        <f>'d3'!F161-d3П!F156</f>
        <v>0</v>
      </c>
      <c r="G161" s="328">
        <f>'d3'!G161-d3П!G156</f>
        <v>0</v>
      </c>
      <c r="H161" s="328">
        <f>'d3'!H161-d3П!H156</f>
        <v>0</v>
      </c>
      <c r="I161" s="328">
        <f>'d3'!I161-d3П!I156</f>
        <v>0</v>
      </c>
      <c r="J161" s="328">
        <f>'d3'!J161-d3П!J156</f>
        <v>0</v>
      </c>
      <c r="K161" s="328">
        <f>'d3'!K161-d3П!K156</f>
        <v>0</v>
      </c>
      <c r="L161" s="328">
        <f>'d3'!L161-d3П!L156</f>
        <v>0</v>
      </c>
      <c r="M161" s="328">
        <f>'d3'!M161-d3П!M156</f>
        <v>0</v>
      </c>
      <c r="N161" s="328">
        <f>'d3'!N161-d3П!N156</f>
        <v>0</v>
      </c>
      <c r="O161" s="328">
        <f>'d3'!O161-d3П!O156</f>
        <v>0</v>
      </c>
      <c r="P161" s="328">
        <f>'d3'!P161-d3П!P156</f>
        <v>0</v>
      </c>
      <c r="Q161" s="20"/>
      <c r="R161" s="50"/>
    </row>
    <row r="162" spans="1:18" ht="93" thickTop="1" thickBot="1" x14ac:dyDescent="0.25">
      <c r="A162" s="103" t="s">
        <v>484</v>
      </c>
      <c r="B162" s="103" t="s">
        <v>485</v>
      </c>
      <c r="C162" s="103" t="s">
        <v>199</v>
      </c>
      <c r="D162" s="103" t="s">
        <v>486</v>
      </c>
      <c r="E162" s="328">
        <f>'d3'!E162-d3П!E157</f>
        <v>0</v>
      </c>
      <c r="F162" s="328">
        <f>'d3'!F162-d3П!F157</f>
        <v>0</v>
      </c>
      <c r="G162" s="328">
        <f>'d3'!G162-d3П!G157</f>
        <v>0</v>
      </c>
      <c r="H162" s="328">
        <f>'d3'!H162-d3П!H157</f>
        <v>0</v>
      </c>
      <c r="I162" s="328">
        <f>'d3'!I162-d3П!I157</f>
        <v>0</v>
      </c>
      <c r="J162" s="328">
        <f>'d3'!J162-d3П!J157</f>
        <v>0</v>
      </c>
      <c r="K162" s="328">
        <f>'d3'!K162-d3П!K157</f>
        <v>0</v>
      </c>
      <c r="L162" s="328">
        <f>'d3'!L162-d3П!L157</f>
        <v>0</v>
      </c>
      <c r="M162" s="328">
        <f>'d3'!M162-d3П!M157</f>
        <v>0</v>
      </c>
      <c r="N162" s="328">
        <f>'d3'!N162-d3П!N157</f>
        <v>0</v>
      </c>
      <c r="O162" s="328">
        <f>'d3'!O162-d3П!O157</f>
        <v>0</v>
      </c>
      <c r="P162" s="328">
        <f>'d3'!P162-d3П!P157</f>
        <v>0</v>
      </c>
      <c r="Q162" s="20"/>
      <c r="R162" s="50"/>
    </row>
    <row r="163" spans="1:18" ht="138.75" thickTop="1" thickBot="1" x14ac:dyDescent="0.25">
      <c r="A163" s="103" t="s">
        <v>348</v>
      </c>
      <c r="B163" s="103" t="s">
        <v>347</v>
      </c>
      <c r="C163" s="103" t="s">
        <v>50</v>
      </c>
      <c r="D163" s="103" t="s">
        <v>454</v>
      </c>
      <c r="E163" s="328">
        <f>'d3'!E163-d3П!E158</f>
        <v>0</v>
      </c>
      <c r="F163" s="328">
        <f>'d3'!F163-d3П!F158</f>
        <v>0</v>
      </c>
      <c r="G163" s="328">
        <f>'d3'!G163-d3П!G158</f>
        <v>0</v>
      </c>
      <c r="H163" s="328">
        <f>'d3'!H163-d3П!H158</f>
        <v>0</v>
      </c>
      <c r="I163" s="328">
        <f>'d3'!I163-d3П!I158</f>
        <v>0</v>
      </c>
      <c r="J163" s="328">
        <f>'d3'!J163-d3П!J158</f>
        <v>0</v>
      </c>
      <c r="K163" s="328">
        <f>'d3'!K163-d3П!K158</f>
        <v>0</v>
      </c>
      <c r="L163" s="328">
        <f>'d3'!L163-d3П!L158</f>
        <v>0</v>
      </c>
      <c r="M163" s="328">
        <f>'d3'!M163-d3П!M158</f>
        <v>0</v>
      </c>
      <c r="N163" s="328">
        <f>'d3'!N163-d3П!N158</f>
        <v>0</v>
      </c>
      <c r="O163" s="328">
        <f>'d3'!O163-d3П!O158</f>
        <v>0</v>
      </c>
      <c r="P163" s="328">
        <f>'d3'!P163-d3П!P158</f>
        <v>0</v>
      </c>
      <c r="Q163" s="20"/>
      <c r="R163" s="50"/>
    </row>
    <row r="164" spans="1:18" s="33" customFormat="1" ht="47.25" thickTop="1" thickBot="1" x14ac:dyDescent="0.25">
      <c r="A164" s="329" t="s">
        <v>735</v>
      </c>
      <c r="B164" s="329" t="s">
        <v>736</v>
      </c>
      <c r="C164" s="329"/>
      <c r="D164" s="329" t="s">
        <v>737</v>
      </c>
      <c r="E164" s="328">
        <f>'d3'!E164-d3П!E159</f>
        <v>0</v>
      </c>
      <c r="F164" s="328">
        <f>'d3'!F164-d3П!F159</f>
        <v>0</v>
      </c>
      <c r="G164" s="328">
        <f>'d3'!G164-d3П!G159</f>
        <v>0</v>
      </c>
      <c r="H164" s="328">
        <f>'d3'!H164-d3П!H159</f>
        <v>0</v>
      </c>
      <c r="I164" s="328">
        <f>'d3'!I164-d3П!I159</f>
        <v>0</v>
      </c>
      <c r="J164" s="328">
        <f>'d3'!J164-d3П!J159</f>
        <v>0</v>
      </c>
      <c r="K164" s="328">
        <f>'d3'!K164-d3П!K159</f>
        <v>0</v>
      </c>
      <c r="L164" s="328">
        <f>'d3'!L164-d3П!L159</f>
        <v>0</v>
      </c>
      <c r="M164" s="328">
        <f>'d3'!M164-d3П!M159</f>
        <v>0</v>
      </c>
      <c r="N164" s="328">
        <f>'d3'!N164-d3П!N159</f>
        <v>0</v>
      </c>
      <c r="O164" s="328">
        <f>'d3'!O164-d3П!O159</f>
        <v>0</v>
      </c>
      <c r="P164" s="328">
        <f>'d3'!P164-d3П!P159</f>
        <v>0</v>
      </c>
      <c r="Q164" s="36"/>
      <c r="R164" s="51"/>
    </row>
    <row r="165" spans="1:18" ht="93" thickTop="1" thickBot="1" x14ac:dyDescent="0.25">
      <c r="A165" s="103" t="s">
        <v>325</v>
      </c>
      <c r="B165" s="103" t="s">
        <v>326</v>
      </c>
      <c r="C165" s="103" t="s">
        <v>205</v>
      </c>
      <c r="D165" s="103" t="s">
        <v>635</v>
      </c>
      <c r="E165" s="328">
        <f>'d3'!E165-d3П!E160</f>
        <v>0</v>
      </c>
      <c r="F165" s="328">
        <f>'d3'!F165-d3П!F160</f>
        <v>0</v>
      </c>
      <c r="G165" s="328">
        <f>'d3'!G165-d3П!G160</f>
        <v>0</v>
      </c>
      <c r="H165" s="328">
        <f>'d3'!H165-d3П!H160</f>
        <v>0</v>
      </c>
      <c r="I165" s="328">
        <f>'d3'!I165-d3П!I160</f>
        <v>0</v>
      </c>
      <c r="J165" s="328">
        <f>'d3'!J165-d3П!J160</f>
        <v>0</v>
      </c>
      <c r="K165" s="328">
        <f>'d3'!K165-d3П!K160</f>
        <v>0</v>
      </c>
      <c r="L165" s="328">
        <f>'d3'!L165-d3П!L160</f>
        <v>0</v>
      </c>
      <c r="M165" s="328">
        <f>'d3'!M165-d3П!M160</f>
        <v>0</v>
      </c>
      <c r="N165" s="328">
        <f>'d3'!N165-d3П!N160</f>
        <v>0</v>
      </c>
      <c r="O165" s="328">
        <f>'d3'!O165-d3П!O160</f>
        <v>0</v>
      </c>
      <c r="P165" s="328">
        <f>'d3'!P165-d3П!P160</f>
        <v>0</v>
      </c>
      <c r="Q165" s="20"/>
      <c r="R165" s="50"/>
    </row>
    <row r="166" spans="1:18" ht="47.25" thickTop="1" thickBot="1" x14ac:dyDescent="0.25">
      <c r="A166" s="103" t="s">
        <v>428</v>
      </c>
      <c r="B166" s="103" t="s">
        <v>372</v>
      </c>
      <c r="C166" s="103" t="s">
        <v>373</v>
      </c>
      <c r="D166" s="103" t="s">
        <v>371</v>
      </c>
      <c r="E166" s="328">
        <f>'d3'!E166-d3П!E161</f>
        <v>0</v>
      </c>
      <c r="F166" s="328">
        <f>'d3'!F166-d3П!F161</f>
        <v>0</v>
      </c>
      <c r="G166" s="328">
        <f>'d3'!G166-d3П!G161</f>
        <v>0</v>
      </c>
      <c r="H166" s="328">
        <f>'d3'!H166-d3П!H161</f>
        <v>0</v>
      </c>
      <c r="I166" s="328">
        <f>'d3'!I166-d3П!I161</f>
        <v>0</v>
      </c>
      <c r="J166" s="328">
        <f>'d3'!J166-d3П!J161</f>
        <v>0</v>
      </c>
      <c r="K166" s="328">
        <f>'d3'!K166-d3П!K161</f>
        <v>0</v>
      </c>
      <c r="L166" s="328">
        <f>'d3'!L166-d3П!L161</f>
        <v>0</v>
      </c>
      <c r="M166" s="328">
        <f>'d3'!M166-d3П!M161</f>
        <v>0</v>
      </c>
      <c r="N166" s="328">
        <f>'d3'!N166-d3П!N161</f>
        <v>0</v>
      </c>
      <c r="O166" s="328">
        <f>'d3'!O166-d3П!O161</f>
        <v>0</v>
      </c>
      <c r="P166" s="328">
        <f>'d3'!P166-d3П!P161</f>
        <v>0</v>
      </c>
      <c r="Q166" s="20"/>
      <c r="R166" s="50"/>
    </row>
    <row r="167" spans="1:18" ht="93" hidden="1" customHeight="1" thickTop="1" thickBot="1" x14ac:dyDescent="0.25">
      <c r="A167" s="140" t="s">
        <v>1059</v>
      </c>
      <c r="B167" s="140" t="s">
        <v>1060</v>
      </c>
      <c r="C167" s="140"/>
      <c r="D167" s="140" t="s">
        <v>1058</v>
      </c>
      <c r="E167" s="328">
        <f>'d3'!E167-d3П!E162</f>
        <v>0</v>
      </c>
      <c r="F167" s="328">
        <f>'d3'!F167-d3П!F162</f>
        <v>0</v>
      </c>
      <c r="G167" s="328">
        <f>'d3'!G167-d3П!G162</f>
        <v>0</v>
      </c>
      <c r="H167" s="328">
        <f>'d3'!H167-d3П!H162</f>
        <v>0</v>
      </c>
      <c r="I167" s="328">
        <f>'d3'!I167-d3П!I162</f>
        <v>0</v>
      </c>
      <c r="J167" s="328">
        <f>'d3'!J167-d3П!J162</f>
        <v>0</v>
      </c>
      <c r="K167" s="328">
        <f>'d3'!K167-d3П!K162</f>
        <v>0</v>
      </c>
      <c r="L167" s="328">
        <f>'d3'!L167-d3П!L162</f>
        <v>0</v>
      </c>
      <c r="M167" s="328">
        <f>'d3'!M167-d3П!M162</f>
        <v>0</v>
      </c>
      <c r="N167" s="328">
        <f>'d3'!N167-d3П!N162</f>
        <v>0</v>
      </c>
      <c r="O167" s="328">
        <f>'d3'!O167-d3П!O162</f>
        <v>0</v>
      </c>
      <c r="P167" s="328">
        <f>'d3'!P167-d3П!P162</f>
        <v>0</v>
      </c>
      <c r="Q167" s="20"/>
      <c r="R167" s="50"/>
    </row>
    <row r="168" spans="1:18" ht="256.5" hidden="1" customHeight="1" thickTop="1" x14ac:dyDescent="0.65">
      <c r="A168" s="789" t="s">
        <v>1061</v>
      </c>
      <c r="B168" s="789" t="s">
        <v>1062</v>
      </c>
      <c r="C168" s="789" t="s">
        <v>50</v>
      </c>
      <c r="D168" s="403" t="s">
        <v>1432</v>
      </c>
      <c r="E168" s="328">
        <f>'d3'!E168-d3П!E163</f>
        <v>0</v>
      </c>
      <c r="F168" s="328">
        <f>'d3'!F168-d3П!F163</f>
        <v>0</v>
      </c>
      <c r="G168" s="328">
        <f>'d3'!G168-d3П!G163</f>
        <v>0</v>
      </c>
      <c r="H168" s="328">
        <f>'d3'!H168-d3П!H163</f>
        <v>0</v>
      </c>
      <c r="I168" s="328">
        <f>'d3'!I168-d3П!I163</f>
        <v>0</v>
      </c>
      <c r="J168" s="328">
        <f>'d3'!J168-d3П!J163</f>
        <v>0</v>
      </c>
      <c r="K168" s="328">
        <f>'d3'!K168-d3П!K163</f>
        <v>0</v>
      </c>
      <c r="L168" s="328">
        <f>'d3'!L168-d3П!L163</f>
        <v>0</v>
      </c>
      <c r="M168" s="328">
        <f>'d3'!M168-d3П!M163</f>
        <v>0</v>
      </c>
      <c r="N168" s="328">
        <f>'d3'!N168-d3П!N163</f>
        <v>0</v>
      </c>
      <c r="O168" s="328">
        <f>'d3'!O168-d3П!O163</f>
        <v>0</v>
      </c>
      <c r="P168" s="328">
        <f>'d3'!P168-d3П!P163</f>
        <v>0</v>
      </c>
      <c r="Q168" s="791"/>
      <c r="R168" s="775"/>
    </row>
    <row r="169" spans="1:18" ht="238.5" hidden="1" customHeight="1" x14ac:dyDescent="0.2">
      <c r="A169" s="779"/>
      <c r="B169" s="779"/>
      <c r="C169" s="779"/>
      <c r="D169" s="404" t="s">
        <v>1433</v>
      </c>
      <c r="E169" s="328">
        <f>'d3'!E169-d3П!E164</f>
        <v>0</v>
      </c>
      <c r="F169" s="328">
        <f>'d3'!F169-d3П!F164</f>
        <v>0</v>
      </c>
      <c r="G169" s="328">
        <f>'d3'!G169-d3П!G164</f>
        <v>0</v>
      </c>
      <c r="H169" s="328">
        <f>'d3'!H169-d3П!H164</f>
        <v>0</v>
      </c>
      <c r="I169" s="328">
        <f>'d3'!I169-d3П!I164</f>
        <v>0</v>
      </c>
      <c r="J169" s="328">
        <f>'d3'!J169-d3П!J164</f>
        <v>0</v>
      </c>
      <c r="K169" s="328">
        <f>'d3'!K169-d3П!K164</f>
        <v>0</v>
      </c>
      <c r="L169" s="328">
        <f>'d3'!L169-d3П!L164</f>
        <v>0</v>
      </c>
      <c r="M169" s="328">
        <f>'d3'!M169-d3П!M164</f>
        <v>0</v>
      </c>
      <c r="N169" s="328">
        <f>'d3'!N169-d3П!N164</f>
        <v>0</v>
      </c>
      <c r="O169" s="328">
        <f>'d3'!O169-d3П!O164</f>
        <v>0</v>
      </c>
      <c r="P169" s="328">
        <f>'d3'!P169-d3П!P164</f>
        <v>0</v>
      </c>
      <c r="Q169" s="791"/>
      <c r="R169" s="776"/>
    </row>
    <row r="170" spans="1:18" ht="220.5" hidden="1" customHeight="1" x14ac:dyDescent="0.2">
      <c r="A170" s="779"/>
      <c r="B170" s="779"/>
      <c r="C170" s="779"/>
      <c r="D170" s="404" t="s">
        <v>1434</v>
      </c>
      <c r="E170" s="328">
        <f>'d3'!E170-d3П!E165</f>
        <v>0</v>
      </c>
      <c r="F170" s="328">
        <f>'d3'!F170-d3П!F165</f>
        <v>0</v>
      </c>
      <c r="G170" s="328">
        <f>'d3'!G170-d3П!G165</f>
        <v>0</v>
      </c>
      <c r="H170" s="328">
        <f>'d3'!H170-d3П!H165</f>
        <v>0</v>
      </c>
      <c r="I170" s="328">
        <f>'d3'!I170-d3П!I165</f>
        <v>0</v>
      </c>
      <c r="J170" s="328">
        <f>'d3'!J170-d3П!J165</f>
        <v>0</v>
      </c>
      <c r="K170" s="328">
        <f>'d3'!K170-d3П!K165</f>
        <v>0</v>
      </c>
      <c r="L170" s="328">
        <f>'d3'!L170-d3П!L165</f>
        <v>0</v>
      </c>
      <c r="M170" s="328">
        <f>'d3'!M170-d3П!M165</f>
        <v>0</v>
      </c>
      <c r="N170" s="328">
        <f>'d3'!N170-d3П!N165</f>
        <v>0</v>
      </c>
      <c r="O170" s="328">
        <f>'d3'!O170-d3П!O165</f>
        <v>0</v>
      </c>
      <c r="P170" s="328">
        <f>'d3'!P170-d3П!P165</f>
        <v>0</v>
      </c>
      <c r="Q170" s="791"/>
      <c r="R170" s="776"/>
    </row>
    <row r="171" spans="1:18" ht="166.5" hidden="1" customHeight="1" thickBot="1" x14ac:dyDescent="0.25">
      <c r="A171" s="780"/>
      <c r="B171" s="780"/>
      <c r="C171" s="780"/>
      <c r="D171" s="405" t="s">
        <v>1435</v>
      </c>
      <c r="E171" s="328">
        <f>'d3'!E171-d3П!E166</f>
        <v>0</v>
      </c>
      <c r="F171" s="328">
        <f>'d3'!F171-d3П!F166</f>
        <v>0</v>
      </c>
      <c r="G171" s="328">
        <f>'d3'!G171-d3П!G166</f>
        <v>0</v>
      </c>
      <c r="H171" s="328">
        <f>'d3'!H171-d3П!H166</f>
        <v>0</v>
      </c>
      <c r="I171" s="328">
        <f>'d3'!I171-d3П!I166</f>
        <v>0</v>
      </c>
      <c r="J171" s="328">
        <f>'d3'!J171-d3П!J166</f>
        <v>0</v>
      </c>
      <c r="K171" s="328">
        <f>'d3'!K171-d3П!K166</f>
        <v>0</v>
      </c>
      <c r="L171" s="328">
        <f>'d3'!L171-d3П!L166</f>
        <v>0</v>
      </c>
      <c r="M171" s="328">
        <f>'d3'!M171-d3П!M166</f>
        <v>0</v>
      </c>
      <c r="N171" s="328">
        <f>'d3'!N171-d3П!N166</f>
        <v>0</v>
      </c>
      <c r="O171" s="328">
        <f>'d3'!O171-d3П!O166</f>
        <v>0</v>
      </c>
      <c r="P171" s="328">
        <f>'d3'!P171-d3П!P166</f>
        <v>0</v>
      </c>
      <c r="Q171" s="791"/>
      <c r="R171" s="776"/>
    </row>
    <row r="172" spans="1:18" ht="277.5" hidden="1" customHeight="1" thickTop="1" x14ac:dyDescent="0.65">
      <c r="A172" s="789" t="s">
        <v>1064</v>
      </c>
      <c r="B172" s="789" t="s">
        <v>1065</v>
      </c>
      <c r="C172" s="789" t="s">
        <v>50</v>
      </c>
      <c r="D172" s="403" t="s">
        <v>1063</v>
      </c>
      <c r="E172" s="328">
        <f>'d3'!E172-d3П!E167</f>
        <v>0</v>
      </c>
      <c r="F172" s="328">
        <f>'d3'!F172-d3П!F167</f>
        <v>0</v>
      </c>
      <c r="G172" s="328">
        <f>'d3'!G172-d3П!G167</f>
        <v>0</v>
      </c>
      <c r="H172" s="328">
        <f>'d3'!H172-d3П!H167</f>
        <v>0</v>
      </c>
      <c r="I172" s="328">
        <f>'d3'!I172-d3П!I167</f>
        <v>0</v>
      </c>
      <c r="J172" s="328">
        <f>'d3'!J172-d3П!J167</f>
        <v>0</v>
      </c>
      <c r="K172" s="328">
        <f>'d3'!K172-d3П!K167</f>
        <v>0</v>
      </c>
      <c r="L172" s="328">
        <f>'d3'!L172-d3П!L167</f>
        <v>0</v>
      </c>
      <c r="M172" s="328">
        <f>'d3'!M172-d3П!M167</f>
        <v>0</v>
      </c>
      <c r="N172" s="328">
        <f>'d3'!N172-d3П!N167</f>
        <v>0</v>
      </c>
      <c r="O172" s="328">
        <f>'d3'!O172-d3П!O167</f>
        <v>0</v>
      </c>
      <c r="P172" s="328">
        <f>'d3'!P172-d3П!P167</f>
        <v>0</v>
      </c>
      <c r="Q172" s="20"/>
      <c r="R172" s="775"/>
    </row>
    <row r="173" spans="1:18" ht="298.5" hidden="1" customHeight="1" x14ac:dyDescent="0.2">
      <c r="A173" s="779"/>
      <c r="B173" s="779"/>
      <c r="C173" s="779"/>
      <c r="D173" s="404" t="s">
        <v>1436</v>
      </c>
      <c r="E173" s="328">
        <f>'d3'!E173-d3П!E168</f>
        <v>0</v>
      </c>
      <c r="F173" s="328">
        <f>'d3'!F173-d3П!F168</f>
        <v>0</v>
      </c>
      <c r="G173" s="328">
        <f>'d3'!G173-d3П!G168</f>
        <v>0</v>
      </c>
      <c r="H173" s="328">
        <f>'d3'!H173-d3П!H168</f>
        <v>0</v>
      </c>
      <c r="I173" s="328">
        <f>'d3'!I173-d3П!I168</f>
        <v>0</v>
      </c>
      <c r="J173" s="328">
        <f>'d3'!J173-d3П!J168</f>
        <v>0</v>
      </c>
      <c r="K173" s="328">
        <f>'d3'!K173-d3П!K168</f>
        <v>0</v>
      </c>
      <c r="L173" s="328">
        <f>'d3'!L173-d3П!L168</f>
        <v>0</v>
      </c>
      <c r="M173" s="328">
        <f>'d3'!M173-d3П!M168</f>
        <v>0</v>
      </c>
      <c r="N173" s="328">
        <f>'d3'!N173-d3П!N168</f>
        <v>0</v>
      </c>
      <c r="O173" s="328">
        <f>'d3'!O173-d3П!O168</f>
        <v>0</v>
      </c>
      <c r="P173" s="328">
        <f>'d3'!P173-d3П!P168</f>
        <v>0</v>
      </c>
      <c r="Q173" s="20"/>
      <c r="R173" s="790"/>
    </row>
    <row r="174" spans="1:18" ht="283.5" hidden="1" customHeight="1" x14ac:dyDescent="0.2">
      <c r="A174" s="779"/>
      <c r="B174" s="779"/>
      <c r="C174" s="779"/>
      <c r="D174" s="404" t="s">
        <v>1437</v>
      </c>
      <c r="E174" s="328">
        <f>'d3'!E174-d3П!E169</f>
        <v>0</v>
      </c>
      <c r="F174" s="328">
        <f>'d3'!F174-d3П!F169</f>
        <v>0</v>
      </c>
      <c r="G174" s="328">
        <f>'d3'!G174-d3П!G169</f>
        <v>0</v>
      </c>
      <c r="H174" s="328">
        <f>'d3'!H174-d3П!H169</f>
        <v>0</v>
      </c>
      <c r="I174" s="328">
        <f>'d3'!I174-d3П!I169</f>
        <v>0</v>
      </c>
      <c r="J174" s="328">
        <f>'d3'!J174-d3П!J169</f>
        <v>0</v>
      </c>
      <c r="K174" s="328">
        <f>'d3'!K174-d3П!K169</f>
        <v>0</v>
      </c>
      <c r="L174" s="328">
        <f>'d3'!L174-d3П!L169</f>
        <v>0</v>
      </c>
      <c r="M174" s="328">
        <f>'d3'!M174-d3П!M169</f>
        <v>0</v>
      </c>
      <c r="N174" s="328">
        <f>'d3'!N174-d3П!N169</f>
        <v>0</v>
      </c>
      <c r="O174" s="328">
        <f>'d3'!O174-d3П!O169</f>
        <v>0</v>
      </c>
      <c r="P174" s="328">
        <f>'d3'!P174-d3П!P169</f>
        <v>0</v>
      </c>
      <c r="Q174" s="20"/>
      <c r="R174" s="790"/>
    </row>
    <row r="175" spans="1:18" ht="93" hidden="1" customHeight="1" thickTop="1" thickBot="1" x14ac:dyDescent="0.25">
      <c r="A175" s="780"/>
      <c r="B175" s="780"/>
      <c r="C175" s="780"/>
      <c r="D175" s="405" t="s">
        <v>1438</v>
      </c>
      <c r="E175" s="328">
        <f>'d3'!E175-d3П!E170</f>
        <v>0</v>
      </c>
      <c r="F175" s="328">
        <f>'d3'!F175-d3П!F170</f>
        <v>0</v>
      </c>
      <c r="G175" s="328">
        <f>'d3'!G175-d3П!G170</f>
        <v>0</v>
      </c>
      <c r="H175" s="328">
        <f>'d3'!H175-d3П!H170</f>
        <v>0</v>
      </c>
      <c r="I175" s="328">
        <f>'d3'!I175-d3П!I170</f>
        <v>0</v>
      </c>
      <c r="J175" s="328">
        <f>'d3'!J175-d3П!J170</f>
        <v>0</v>
      </c>
      <c r="K175" s="328">
        <f>'d3'!K175-d3П!K170</f>
        <v>0</v>
      </c>
      <c r="L175" s="328">
        <f>'d3'!L175-d3П!L170</f>
        <v>0</v>
      </c>
      <c r="M175" s="328">
        <f>'d3'!M175-d3П!M170</f>
        <v>0</v>
      </c>
      <c r="N175" s="328">
        <f>'d3'!N175-d3П!N170</f>
        <v>0</v>
      </c>
      <c r="O175" s="328">
        <f>'d3'!O175-d3П!O170</f>
        <v>0</v>
      </c>
      <c r="P175" s="328">
        <f>'d3'!P175-d3П!P170</f>
        <v>0</v>
      </c>
      <c r="Q175" s="20"/>
      <c r="R175" s="790"/>
    </row>
    <row r="176" spans="1:18" ht="310.5" hidden="1" customHeight="1" thickTop="1" x14ac:dyDescent="0.65">
      <c r="A176" s="789" t="s">
        <v>1066</v>
      </c>
      <c r="B176" s="789" t="s">
        <v>1067</v>
      </c>
      <c r="C176" s="789" t="s">
        <v>50</v>
      </c>
      <c r="D176" s="403" t="s">
        <v>1439</v>
      </c>
      <c r="E176" s="328">
        <f>'d3'!E176-d3П!E171</f>
        <v>0</v>
      </c>
      <c r="F176" s="328">
        <f>'d3'!F176-d3П!F171</f>
        <v>0</v>
      </c>
      <c r="G176" s="328">
        <f>'d3'!G176-d3П!G171</f>
        <v>0</v>
      </c>
      <c r="H176" s="328">
        <f>'d3'!H176-d3П!H171</f>
        <v>0</v>
      </c>
      <c r="I176" s="328">
        <f>'d3'!I176-d3П!I171</f>
        <v>0</v>
      </c>
      <c r="J176" s="328">
        <f>'d3'!J176-d3П!J171</f>
        <v>0</v>
      </c>
      <c r="K176" s="328">
        <f>'d3'!K176-d3П!K171</f>
        <v>0</v>
      </c>
      <c r="L176" s="328">
        <f>'d3'!L176-d3П!L171</f>
        <v>0</v>
      </c>
      <c r="M176" s="328">
        <f>'d3'!M176-d3П!M171</f>
        <v>0</v>
      </c>
      <c r="N176" s="328">
        <f>'d3'!N176-d3П!N171</f>
        <v>0</v>
      </c>
      <c r="O176" s="328">
        <f>'d3'!O176-d3П!O171</f>
        <v>0</v>
      </c>
      <c r="P176" s="328">
        <f>'d3'!P176-d3П!P171</f>
        <v>0</v>
      </c>
      <c r="Q176" s="20"/>
      <c r="R176" s="775"/>
    </row>
    <row r="177" spans="1:18" ht="268.5" hidden="1" customHeight="1" x14ac:dyDescent="0.2">
      <c r="A177" s="779"/>
      <c r="B177" s="779"/>
      <c r="C177" s="779"/>
      <c r="D177" s="404" t="s">
        <v>1440</v>
      </c>
      <c r="E177" s="328">
        <f>'d3'!E177-d3П!E172</f>
        <v>0</v>
      </c>
      <c r="F177" s="328">
        <f>'d3'!F177-d3П!F172</f>
        <v>0</v>
      </c>
      <c r="G177" s="328">
        <f>'d3'!G177-d3П!G172</f>
        <v>0</v>
      </c>
      <c r="H177" s="328">
        <f>'d3'!H177-d3П!H172</f>
        <v>0</v>
      </c>
      <c r="I177" s="328">
        <f>'d3'!I177-d3П!I172</f>
        <v>0</v>
      </c>
      <c r="J177" s="328">
        <f>'d3'!J177-d3П!J172</f>
        <v>0</v>
      </c>
      <c r="K177" s="328">
        <f>'d3'!K177-d3П!K172</f>
        <v>0</v>
      </c>
      <c r="L177" s="328">
        <f>'d3'!L177-d3П!L172</f>
        <v>0</v>
      </c>
      <c r="M177" s="328">
        <f>'d3'!M177-d3П!M172</f>
        <v>0</v>
      </c>
      <c r="N177" s="328">
        <f>'d3'!N177-d3П!N172</f>
        <v>0</v>
      </c>
      <c r="O177" s="328">
        <f>'d3'!O177-d3П!O172</f>
        <v>0</v>
      </c>
      <c r="P177" s="328">
        <f>'d3'!P177-d3П!P172</f>
        <v>0</v>
      </c>
      <c r="Q177" s="20"/>
      <c r="R177" s="776"/>
    </row>
    <row r="178" spans="1:18" ht="93" hidden="1" customHeight="1" thickTop="1" thickBot="1" x14ac:dyDescent="0.25">
      <c r="A178" s="780"/>
      <c r="B178" s="780"/>
      <c r="C178" s="780"/>
      <c r="D178" s="405" t="s">
        <v>1068</v>
      </c>
      <c r="E178" s="328">
        <f>'d3'!E178-d3П!E173</f>
        <v>0</v>
      </c>
      <c r="F178" s="328">
        <f>'d3'!F178-d3П!F173</f>
        <v>0</v>
      </c>
      <c r="G178" s="328">
        <f>'d3'!G178-d3П!G173</f>
        <v>0</v>
      </c>
      <c r="H178" s="328">
        <f>'d3'!H178-d3П!H173</f>
        <v>0</v>
      </c>
      <c r="I178" s="328">
        <f>'d3'!I178-d3П!I173</f>
        <v>0</v>
      </c>
      <c r="J178" s="328">
        <f>'d3'!J178-d3П!J173</f>
        <v>0</v>
      </c>
      <c r="K178" s="328">
        <f>'d3'!K178-d3П!K173</f>
        <v>0</v>
      </c>
      <c r="L178" s="328">
        <f>'d3'!L178-d3П!L173</f>
        <v>0</v>
      </c>
      <c r="M178" s="328">
        <f>'d3'!M178-d3П!M173</f>
        <v>0</v>
      </c>
      <c r="N178" s="328">
        <f>'d3'!N178-d3П!N173</f>
        <v>0</v>
      </c>
      <c r="O178" s="328">
        <f>'d3'!O178-d3П!O173</f>
        <v>0</v>
      </c>
      <c r="P178" s="328">
        <f>'d3'!P178-d3П!P173</f>
        <v>0</v>
      </c>
      <c r="Q178" s="20"/>
      <c r="R178" s="776"/>
    </row>
    <row r="179" spans="1:18" ht="184.5" hidden="1" customHeight="1" thickTop="1" thickBot="1" x14ac:dyDescent="0.7">
      <c r="A179" s="777" t="s">
        <v>1072</v>
      </c>
      <c r="B179" s="777" t="s">
        <v>1073</v>
      </c>
      <c r="C179" s="777" t="s">
        <v>50</v>
      </c>
      <c r="D179" s="406" t="s">
        <v>1069</v>
      </c>
      <c r="E179" s="328">
        <f>'d3'!E179-d3П!E174</f>
        <v>0</v>
      </c>
      <c r="F179" s="328">
        <f>'d3'!F179-d3П!F174</f>
        <v>0</v>
      </c>
      <c r="G179" s="328">
        <f>'d3'!G179-d3П!G174</f>
        <v>0</v>
      </c>
      <c r="H179" s="328">
        <f>'d3'!H179-d3П!H174</f>
        <v>0</v>
      </c>
      <c r="I179" s="328">
        <f>'d3'!I179-d3П!I174</f>
        <v>0</v>
      </c>
      <c r="J179" s="328">
        <f>'d3'!J179-d3П!J174</f>
        <v>0</v>
      </c>
      <c r="K179" s="328">
        <f>'d3'!K179-d3П!K174</f>
        <v>0</v>
      </c>
      <c r="L179" s="328">
        <f>'d3'!L179-d3П!L174</f>
        <v>0</v>
      </c>
      <c r="M179" s="328">
        <f>'d3'!M179-d3П!M174</f>
        <v>0</v>
      </c>
      <c r="N179" s="328">
        <f>'d3'!N179-d3П!N174</f>
        <v>0</v>
      </c>
      <c r="O179" s="328">
        <f>'d3'!O179-d3П!O174</f>
        <v>0</v>
      </c>
      <c r="P179" s="328">
        <f>'d3'!P179-d3П!P174</f>
        <v>0</v>
      </c>
      <c r="Q179" s="20"/>
      <c r="R179" s="775"/>
    </row>
    <row r="180" spans="1:18" ht="184.5" hidden="1" customHeight="1" thickTop="1" thickBot="1" x14ac:dyDescent="0.25">
      <c r="A180" s="772"/>
      <c r="B180" s="772"/>
      <c r="C180" s="772"/>
      <c r="D180" s="126" t="s">
        <v>1070</v>
      </c>
      <c r="E180" s="328">
        <f>'d3'!E180-d3П!E175</f>
        <v>0</v>
      </c>
      <c r="F180" s="328">
        <f>'d3'!F180-d3П!F175</f>
        <v>0</v>
      </c>
      <c r="G180" s="328">
        <f>'d3'!G180-d3П!G175</f>
        <v>0</v>
      </c>
      <c r="H180" s="328">
        <f>'d3'!H180-d3П!H175</f>
        <v>0</v>
      </c>
      <c r="I180" s="328">
        <f>'d3'!I180-d3П!I175</f>
        <v>0</v>
      </c>
      <c r="J180" s="328">
        <f>'d3'!J180-d3П!J175</f>
        <v>0</v>
      </c>
      <c r="K180" s="328">
        <f>'d3'!K180-d3П!K175</f>
        <v>0</v>
      </c>
      <c r="L180" s="328">
        <f>'d3'!L180-d3П!L175</f>
        <v>0</v>
      </c>
      <c r="M180" s="328">
        <f>'d3'!M180-d3П!M175</f>
        <v>0</v>
      </c>
      <c r="N180" s="328">
        <f>'d3'!N180-d3П!N175</f>
        <v>0</v>
      </c>
      <c r="O180" s="328">
        <f>'d3'!O180-d3П!O175</f>
        <v>0</v>
      </c>
      <c r="P180" s="328">
        <f>'d3'!P180-d3П!P175</f>
        <v>0</v>
      </c>
      <c r="Q180" s="20"/>
      <c r="R180" s="776"/>
    </row>
    <row r="181" spans="1:18" ht="47.25" hidden="1" customHeight="1" thickTop="1" thickBot="1" x14ac:dyDescent="0.25">
      <c r="A181" s="773"/>
      <c r="B181" s="773"/>
      <c r="C181" s="773"/>
      <c r="D181" s="407" t="s">
        <v>1071</v>
      </c>
      <c r="E181" s="328">
        <f>'d3'!E181-d3П!E176</f>
        <v>0</v>
      </c>
      <c r="F181" s="328">
        <f>'d3'!F181-d3П!F176</f>
        <v>0</v>
      </c>
      <c r="G181" s="328">
        <f>'d3'!G181-d3П!G176</f>
        <v>0</v>
      </c>
      <c r="H181" s="328">
        <f>'d3'!H181-d3П!H176</f>
        <v>0</v>
      </c>
      <c r="I181" s="328">
        <f>'d3'!I181-d3П!I176</f>
        <v>0</v>
      </c>
      <c r="J181" s="328">
        <f>'d3'!J181-d3П!J176</f>
        <v>0</v>
      </c>
      <c r="K181" s="328">
        <f>'d3'!K181-d3П!K176</f>
        <v>0</v>
      </c>
      <c r="L181" s="328">
        <f>'d3'!L181-d3П!L176</f>
        <v>0</v>
      </c>
      <c r="M181" s="328">
        <f>'d3'!M181-d3П!M176</f>
        <v>0</v>
      </c>
      <c r="N181" s="328">
        <f>'d3'!N181-d3П!N176</f>
        <v>0</v>
      </c>
      <c r="O181" s="328">
        <f>'d3'!O181-d3П!O176</f>
        <v>0</v>
      </c>
      <c r="P181" s="328">
        <f>'d3'!P181-d3П!P176</f>
        <v>0</v>
      </c>
      <c r="Q181" s="20"/>
      <c r="R181" s="776"/>
    </row>
    <row r="182" spans="1:18" ht="93" thickTop="1" thickBot="1" x14ac:dyDescent="0.25">
      <c r="A182" s="103" t="s">
        <v>1203</v>
      </c>
      <c r="B182" s="103" t="s">
        <v>1200</v>
      </c>
      <c r="C182" s="103" t="s">
        <v>206</v>
      </c>
      <c r="D182" s="470" t="s">
        <v>1201</v>
      </c>
      <c r="E182" s="328">
        <f>'d3'!E182-d3П!E177</f>
        <v>856731.21999999974</v>
      </c>
      <c r="F182" s="328">
        <f>'d3'!F182-d3П!F177</f>
        <v>856731.21999999974</v>
      </c>
      <c r="G182" s="328">
        <f>'d3'!G182-d3П!G177</f>
        <v>0</v>
      </c>
      <c r="H182" s="328">
        <f>'d3'!H182-d3П!H177</f>
        <v>0</v>
      </c>
      <c r="I182" s="328">
        <f>'d3'!I182-d3П!I177</f>
        <v>0</v>
      </c>
      <c r="J182" s="328">
        <f>'d3'!J182-d3П!J177</f>
        <v>3052926</v>
      </c>
      <c r="K182" s="328">
        <f>'d3'!K182-d3П!K177</f>
        <v>3052926</v>
      </c>
      <c r="L182" s="328">
        <f>'d3'!L182-d3П!L177</f>
        <v>0</v>
      </c>
      <c r="M182" s="328">
        <f>'d3'!M182-d3П!M177</f>
        <v>0</v>
      </c>
      <c r="N182" s="328">
        <f>'d3'!N182-d3П!N177</f>
        <v>0</v>
      </c>
      <c r="O182" s="328">
        <f>'d3'!O182-d3П!O177</f>
        <v>3052926</v>
      </c>
      <c r="P182" s="328">
        <f>'d3'!P182-d3П!P177</f>
        <v>3909657.2199999988</v>
      </c>
      <c r="Q182" s="20"/>
      <c r="R182" s="21"/>
    </row>
    <row r="183" spans="1:18" s="33" customFormat="1" ht="47.25" thickTop="1" thickBot="1" x14ac:dyDescent="0.25">
      <c r="A183" s="329" t="s">
        <v>738</v>
      </c>
      <c r="B183" s="329" t="s">
        <v>739</v>
      </c>
      <c r="C183" s="329"/>
      <c r="D183" s="329" t="s">
        <v>740</v>
      </c>
      <c r="E183" s="328">
        <f>'d3'!E183-d3П!E178</f>
        <v>21451238</v>
      </c>
      <c r="F183" s="328">
        <f>'d3'!F183-d3П!F178</f>
        <v>21451238</v>
      </c>
      <c r="G183" s="328">
        <f>'d3'!G183-d3П!G178</f>
        <v>0</v>
      </c>
      <c r="H183" s="328">
        <f>'d3'!H183-d3П!H178</f>
        <v>137643</v>
      </c>
      <c r="I183" s="328">
        <f>'d3'!I183-d3П!I178</f>
        <v>0</v>
      </c>
      <c r="J183" s="328">
        <f>'d3'!J183-d3П!J178</f>
        <v>1602380</v>
      </c>
      <c r="K183" s="328">
        <f>'d3'!K183-d3П!K178</f>
        <v>1602380</v>
      </c>
      <c r="L183" s="328">
        <f>'d3'!L183-d3П!L178</f>
        <v>0</v>
      </c>
      <c r="M183" s="328">
        <f>'d3'!M183-d3П!M178</f>
        <v>0</v>
      </c>
      <c r="N183" s="328">
        <f>'d3'!N183-d3П!N178</f>
        <v>0</v>
      </c>
      <c r="O183" s="328">
        <f>'d3'!O183-d3П!O178</f>
        <v>1602380</v>
      </c>
      <c r="P183" s="328">
        <f>'d3'!P183-d3П!P178</f>
        <v>23053618</v>
      </c>
      <c r="Q183" s="36"/>
      <c r="R183" s="51"/>
    </row>
    <row r="184" spans="1:18" ht="93" thickTop="1" thickBot="1" x14ac:dyDescent="0.25">
      <c r="A184" s="103" t="s">
        <v>327</v>
      </c>
      <c r="B184" s="103" t="s">
        <v>329</v>
      </c>
      <c r="C184" s="103" t="s">
        <v>191</v>
      </c>
      <c r="D184" s="470" t="s">
        <v>331</v>
      </c>
      <c r="E184" s="328">
        <f>'d3'!E184-d3П!E179</f>
        <v>1234488</v>
      </c>
      <c r="F184" s="328">
        <f>'d3'!F184-d3П!F179</f>
        <v>1234488</v>
      </c>
      <c r="G184" s="328">
        <f>'d3'!G184-d3П!G179</f>
        <v>0</v>
      </c>
      <c r="H184" s="328">
        <f>'d3'!H184-d3П!H179</f>
        <v>137643</v>
      </c>
      <c r="I184" s="328">
        <f>'d3'!I184-d3П!I179</f>
        <v>0</v>
      </c>
      <c r="J184" s="328">
        <f>'d3'!J184-d3П!J179</f>
        <v>1602380</v>
      </c>
      <c r="K184" s="328">
        <f>'d3'!K184-d3П!K179</f>
        <v>1602380</v>
      </c>
      <c r="L184" s="328">
        <f>'d3'!L184-d3П!L179</f>
        <v>0</v>
      </c>
      <c r="M184" s="328">
        <f>'d3'!M184-d3П!M179</f>
        <v>0</v>
      </c>
      <c r="N184" s="328">
        <f>'d3'!N184-d3П!N179</f>
        <v>0</v>
      </c>
      <c r="O184" s="328">
        <f>'d3'!O184-d3П!O179</f>
        <v>1602380</v>
      </c>
      <c r="P184" s="328">
        <f>'d3'!P184-d3П!P179</f>
        <v>2836868</v>
      </c>
      <c r="Q184" s="20"/>
      <c r="R184" s="46"/>
    </row>
    <row r="185" spans="1:18" ht="66.75" customHeight="1" thickTop="1" thickBot="1" x14ac:dyDescent="0.25">
      <c r="A185" s="103" t="s">
        <v>328</v>
      </c>
      <c r="B185" s="103" t="s">
        <v>330</v>
      </c>
      <c r="C185" s="103" t="s">
        <v>191</v>
      </c>
      <c r="D185" s="470" t="s">
        <v>332</v>
      </c>
      <c r="E185" s="328">
        <f>'d3'!E185-d3П!E180</f>
        <v>20216750</v>
      </c>
      <c r="F185" s="328">
        <f>'d3'!F185-d3П!F180</f>
        <v>20216750</v>
      </c>
      <c r="G185" s="328">
        <f>'d3'!G185-d3П!G180</f>
        <v>0</v>
      </c>
      <c r="H185" s="328">
        <f>'d3'!H185-d3П!H180</f>
        <v>0</v>
      </c>
      <c r="I185" s="328">
        <f>'d3'!I185-d3П!I180</f>
        <v>0</v>
      </c>
      <c r="J185" s="328">
        <f>'d3'!J185-d3П!J180</f>
        <v>0</v>
      </c>
      <c r="K185" s="328">
        <f>'d3'!K185-d3П!K180</f>
        <v>0</v>
      </c>
      <c r="L185" s="328">
        <f>'d3'!L185-d3П!L180</f>
        <v>0</v>
      </c>
      <c r="M185" s="328">
        <f>'d3'!M185-d3П!M180</f>
        <v>0</v>
      </c>
      <c r="N185" s="328">
        <f>'d3'!N185-d3П!N180</f>
        <v>0</v>
      </c>
      <c r="O185" s="328">
        <f>'d3'!O185-d3П!O180</f>
        <v>0</v>
      </c>
      <c r="P185" s="328">
        <f>'d3'!P185-d3П!P180</f>
        <v>20216750</v>
      </c>
      <c r="Q185" s="20"/>
      <c r="R185" s="46"/>
    </row>
    <row r="186" spans="1:18" ht="47.25" thickTop="1" thickBot="1" x14ac:dyDescent="0.25">
      <c r="A186" s="311" t="s">
        <v>741</v>
      </c>
      <c r="B186" s="311" t="s">
        <v>742</v>
      </c>
      <c r="C186" s="311"/>
      <c r="D186" s="347" t="s">
        <v>743</v>
      </c>
      <c r="E186" s="328">
        <f>'d3'!E186-d3П!E181</f>
        <v>0</v>
      </c>
      <c r="F186" s="328">
        <f>'d3'!F186-d3П!F181</f>
        <v>0</v>
      </c>
      <c r="G186" s="328">
        <f>'d3'!G186-d3П!G181</f>
        <v>0</v>
      </c>
      <c r="H186" s="328">
        <f>'d3'!H186-d3П!H181</f>
        <v>0</v>
      </c>
      <c r="I186" s="328">
        <f>'d3'!I186-d3П!I181</f>
        <v>0</v>
      </c>
      <c r="J186" s="328">
        <f>'d3'!J186-d3П!J181</f>
        <v>0</v>
      </c>
      <c r="K186" s="328">
        <f>'d3'!K186-d3П!K181</f>
        <v>0</v>
      </c>
      <c r="L186" s="328">
        <f>'d3'!L186-d3П!L181</f>
        <v>0</v>
      </c>
      <c r="M186" s="328">
        <f>'d3'!M186-d3П!M181</f>
        <v>0</v>
      </c>
      <c r="N186" s="328">
        <f>'d3'!N186-d3П!N181</f>
        <v>0</v>
      </c>
      <c r="O186" s="328">
        <f>'d3'!O186-d3П!O181</f>
        <v>0</v>
      </c>
      <c r="P186" s="328">
        <f>'d3'!P186-d3П!P181</f>
        <v>0</v>
      </c>
      <c r="Q186" s="20"/>
      <c r="R186" s="46"/>
    </row>
    <row r="187" spans="1:18" s="33" customFormat="1" ht="48" thickTop="1" thickBot="1" x14ac:dyDescent="0.25">
      <c r="A187" s="329" t="s">
        <v>744</v>
      </c>
      <c r="B187" s="329" t="s">
        <v>745</v>
      </c>
      <c r="C187" s="329"/>
      <c r="D187" s="552" t="s">
        <v>746</v>
      </c>
      <c r="E187" s="328">
        <f>'d3'!E187-d3П!E182</f>
        <v>0</v>
      </c>
      <c r="F187" s="328">
        <f>'d3'!F187-d3П!F182</f>
        <v>0</v>
      </c>
      <c r="G187" s="328">
        <f>'d3'!G187-d3П!G182</f>
        <v>0</v>
      </c>
      <c r="H187" s="328">
        <f>'d3'!H187-d3П!H182</f>
        <v>0</v>
      </c>
      <c r="I187" s="328">
        <f>'d3'!I187-d3П!I182</f>
        <v>0</v>
      </c>
      <c r="J187" s="328">
        <f>'d3'!J187-d3П!J182</f>
        <v>0</v>
      </c>
      <c r="K187" s="328">
        <f>'d3'!K187-d3П!K182</f>
        <v>0</v>
      </c>
      <c r="L187" s="328">
        <f>'d3'!L187-d3П!L182</f>
        <v>0</v>
      </c>
      <c r="M187" s="328">
        <f>'d3'!M187-d3П!M182</f>
        <v>0</v>
      </c>
      <c r="N187" s="328">
        <f>'d3'!N187-d3П!N182</f>
        <v>0</v>
      </c>
      <c r="O187" s="328">
        <f>'d3'!O187-d3П!O182</f>
        <v>0</v>
      </c>
      <c r="P187" s="328">
        <f>'d3'!P187-d3П!P182</f>
        <v>0</v>
      </c>
      <c r="Q187" s="36"/>
      <c r="R187" s="52"/>
    </row>
    <row r="188" spans="1:18" ht="47.25" thickTop="1" thickBot="1" x14ac:dyDescent="0.25">
      <c r="A188" s="103" t="s">
        <v>367</v>
      </c>
      <c r="B188" s="103" t="s">
        <v>365</v>
      </c>
      <c r="C188" s="103" t="s">
        <v>340</v>
      </c>
      <c r="D188" s="470" t="s">
        <v>366</v>
      </c>
      <c r="E188" s="328">
        <f>'d3'!E188-d3П!E183</f>
        <v>0</v>
      </c>
      <c r="F188" s="328">
        <f>'d3'!F188-d3П!F183</f>
        <v>0</v>
      </c>
      <c r="G188" s="328">
        <f>'d3'!G188-d3П!G183</f>
        <v>0</v>
      </c>
      <c r="H188" s="328">
        <f>'d3'!H188-d3П!H183</f>
        <v>0</v>
      </c>
      <c r="I188" s="328">
        <f>'d3'!I188-d3П!I183</f>
        <v>0</v>
      </c>
      <c r="J188" s="328">
        <f>'d3'!J188-d3П!J183</f>
        <v>0</v>
      </c>
      <c r="K188" s="328">
        <f>'d3'!K188-d3П!K183</f>
        <v>0</v>
      </c>
      <c r="L188" s="328">
        <f>'d3'!L188-d3П!L183</f>
        <v>0</v>
      </c>
      <c r="M188" s="328">
        <f>'d3'!M188-d3П!M183</f>
        <v>0</v>
      </c>
      <c r="N188" s="328">
        <f>'d3'!N188-d3П!N183</f>
        <v>0</v>
      </c>
      <c r="O188" s="328">
        <f>'d3'!O188-d3П!O183</f>
        <v>0</v>
      </c>
      <c r="P188" s="328">
        <f>'d3'!P188-d3П!P183</f>
        <v>0</v>
      </c>
      <c r="Q188" s="20"/>
      <c r="R188" s="46"/>
    </row>
    <row r="189" spans="1:18" ht="184.5" hidden="1" thickTop="1" thickBot="1" x14ac:dyDescent="0.25">
      <c r="A189" s="41" t="s">
        <v>1074</v>
      </c>
      <c r="B189" s="41" t="s">
        <v>1075</v>
      </c>
      <c r="C189" s="41" t="s">
        <v>340</v>
      </c>
      <c r="D189" s="154" t="s">
        <v>1076</v>
      </c>
      <c r="E189" s="42"/>
      <c r="F189" s="43"/>
      <c r="G189" s="43"/>
      <c r="H189" s="43"/>
      <c r="I189" s="43"/>
      <c r="J189" s="42"/>
      <c r="K189" s="43"/>
      <c r="L189" s="43"/>
      <c r="M189" s="43"/>
      <c r="N189" s="43"/>
      <c r="O189" s="44"/>
      <c r="P189" s="42"/>
      <c r="Q189" s="20"/>
      <c r="R189" s="46"/>
    </row>
    <row r="190" spans="1:18" ht="47.25" thickTop="1" thickBot="1" x14ac:dyDescent="0.25">
      <c r="A190" s="700" t="s">
        <v>751</v>
      </c>
      <c r="B190" s="700" t="s">
        <v>748</v>
      </c>
      <c r="C190" s="700"/>
      <c r="D190" s="700" t="s">
        <v>749</v>
      </c>
      <c r="E190" s="328">
        <f>'d3'!E190-d3П!E185</f>
        <v>0</v>
      </c>
      <c r="F190" s="328">
        <f>'d3'!F190-d3П!F185</f>
        <v>0</v>
      </c>
      <c r="G190" s="328">
        <f>'d3'!G190-d3П!G185</f>
        <v>0</v>
      </c>
      <c r="H190" s="328">
        <f>'d3'!H190-d3П!H185</f>
        <v>0</v>
      </c>
      <c r="I190" s="328">
        <f>'d3'!I190-d3П!I185</f>
        <v>0</v>
      </c>
      <c r="J190" s="328">
        <f>'d3'!J190-d3П!J185</f>
        <v>2450000</v>
      </c>
      <c r="K190" s="328">
        <f>'d3'!K190-d3П!K185</f>
        <v>2450000</v>
      </c>
      <c r="L190" s="328">
        <f>'d3'!L190-d3П!L185</f>
        <v>0</v>
      </c>
      <c r="M190" s="328">
        <f>'d3'!M190-d3П!M185</f>
        <v>0</v>
      </c>
      <c r="N190" s="328">
        <f>'d3'!N190-d3П!N185</f>
        <v>0</v>
      </c>
      <c r="O190" s="328">
        <f>'d3'!O190-d3П!O185</f>
        <v>2450000</v>
      </c>
      <c r="P190" s="328">
        <f>'d3'!P190-d3П!P185</f>
        <v>2450000</v>
      </c>
      <c r="Q190" s="20"/>
      <c r="R190" s="46"/>
    </row>
    <row r="191" spans="1:18" ht="47.25" thickTop="1" thickBot="1" x14ac:dyDescent="0.25">
      <c r="A191" s="698" t="s">
        <v>926</v>
      </c>
      <c r="B191" s="698" t="s">
        <v>803</v>
      </c>
      <c r="C191" s="698"/>
      <c r="D191" s="698" t="s">
        <v>804</v>
      </c>
      <c r="E191" s="328">
        <f>'d3'!E191-d3П!E186</f>
        <v>0</v>
      </c>
      <c r="F191" s="328">
        <f>'d3'!F191-d3П!F186</f>
        <v>0</v>
      </c>
      <c r="G191" s="328">
        <f>'d3'!G191-d3П!G186</f>
        <v>0</v>
      </c>
      <c r="H191" s="328">
        <f>'d3'!H191-d3П!H186</f>
        <v>0</v>
      </c>
      <c r="I191" s="328">
        <f>'d3'!I191-d3П!I186</f>
        <v>0</v>
      </c>
      <c r="J191" s="328">
        <f>'d3'!J191-d3П!J186</f>
        <v>450000</v>
      </c>
      <c r="K191" s="328">
        <f>'d3'!K191-d3П!K186</f>
        <v>450000</v>
      </c>
      <c r="L191" s="328">
        <f>'d3'!L191-d3П!L186</f>
        <v>0</v>
      </c>
      <c r="M191" s="328">
        <f>'d3'!M191-d3П!M186</f>
        <v>0</v>
      </c>
      <c r="N191" s="328">
        <f>'d3'!N191-d3П!N186</f>
        <v>0</v>
      </c>
      <c r="O191" s="328">
        <f>'d3'!O191-d3П!O186</f>
        <v>450000</v>
      </c>
      <c r="P191" s="328">
        <f>'d3'!P191-d3П!P186</f>
        <v>450000</v>
      </c>
      <c r="Q191" s="20"/>
      <c r="R191" s="46"/>
    </row>
    <row r="192" spans="1:18" ht="54.75" thickTop="1" thickBot="1" x14ac:dyDescent="0.25">
      <c r="A192" s="697" t="s">
        <v>923</v>
      </c>
      <c r="B192" s="697" t="s">
        <v>821</v>
      </c>
      <c r="C192" s="697"/>
      <c r="D192" s="697" t="s">
        <v>1508</v>
      </c>
      <c r="E192" s="328">
        <f>'d3'!E192-d3П!E187</f>
        <v>0</v>
      </c>
      <c r="F192" s="328">
        <f>'d3'!F192-d3П!F187</f>
        <v>0</v>
      </c>
      <c r="G192" s="328">
        <f>'d3'!G192-d3П!G187</f>
        <v>0</v>
      </c>
      <c r="H192" s="328">
        <f>'d3'!H192-d3П!H187</f>
        <v>0</v>
      </c>
      <c r="I192" s="328">
        <f>'d3'!I192-d3П!I187</f>
        <v>0</v>
      </c>
      <c r="J192" s="328">
        <f>'d3'!J192-d3П!J187</f>
        <v>450000</v>
      </c>
      <c r="K192" s="328">
        <f>'d3'!K192-d3П!K187</f>
        <v>450000</v>
      </c>
      <c r="L192" s="328">
        <f>'d3'!L192-d3П!L187</f>
        <v>0</v>
      </c>
      <c r="M192" s="328">
        <f>'d3'!M192-d3П!M187</f>
        <v>0</v>
      </c>
      <c r="N192" s="328">
        <f>'d3'!N192-d3П!N187</f>
        <v>0</v>
      </c>
      <c r="O192" s="328">
        <f>'d3'!O192-d3П!O187</f>
        <v>450000</v>
      </c>
      <c r="P192" s="328">
        <f>'d3'!P192-d3П!P187</f>
        <v>450000</v>
      </c>
      <c r="Q192" s="20"/>
      <c r="R192" s="46"/>
    </row>
    <row r="193" spans="1:18" ht="54" thickTop="1" thickBot="1" x14ac:dyDescent="0.25">
      <c r="A193" s="695" t="s">
        <v>924</v>
      </c>
      <c r="B193" s="695" t="s">
        <v>925</v>
      </c>
      <c r="C193" s="695" t="s">
        <v>304</v>
      </c>
      <c r="D193" s="695" t="s">
        <v>1615</v>
      </c>
      <c r="E193" s="328">
        <f>'d3'!E193-d3П!E188</f>
        <v>0</v>
      </c>
      <c r="F193" s="328">
        <f>'d3'!F193-d3П!F188</f>
        <v>0</v>
      </c>
      <c r="G193" s="328">
        <f>'d3'!G193-d3П!G188</f>
        <v>0</v>
      </c>
      <c r="H193" s="328">
        <f>'d3'!H193-d3П!H188</f>
        <v>0</v>
      </c>
      <c r="I193" s="328">
        <f>'d3'!I193-d3П!I188</f>
        <v>0</v>
      </c>
      <c r="J193" s="328">
        <f>'d3'!J193-d3П!J188</f>
        <v>450000</v>
      </c>
      <c r="K193" s="328">
        <f>'d3'!K193-d3П!K188</f>
        <v>450000</v>
      </c>
      <c r="L193" s="328">
        <f>'d3'!L193-d3П!L188</f>
        <v>0</v>
      </c>
      <c r="M193" s="328">
        <f>'d3'!M193-d3П!M188</f>
        <v>0</v>
      </c>
      <c r="N193" s="328">
        <f>'d3'!N193-d3П!N188</f>
        <v>0</v>
      </c>
      <c r="O193" s="328">
        <f>'d3'!O193-d3П!O188</f>
        <v>450000</v>
      </c>
      <c r="P193" s="328">
        <f>'d3'!P193-d3П!P188</f>
        <v>450000</v>
      </c>
      <c r="Q193" s="20"/>
      <c r="R193" s="46"/>
    </row>
    <row r="194" spans="1:18" ht="47.25" thickTop="1" thickBot="1" x14ac:dyDescent="0.25">
      <c r="A194" s="313" t="s">
        <v>753</v>
      </c>
      <c r="B194" s="313" t="s">
        <v>691</v>
      </c>
      <c r="C194" s="313"/>
      <c r="D194" s="313" t="s">
        <v>689</v>
      </c>
      <c r="E194" s="328">
        <f>'d3'!E194-d3П!E189</f>
        <v>0</v>
      </c>
      <c r="F194" s="328">
        <f>'d3'!F194-d3П!F189</f>
        <v>0</v>
      </c>
      <c r="G194" s="328">
        <f>'d3'!G194-d3П!G189</f>
        <v>0</v>
      </c>
      <c r="H194" s="328">
        <f>'d3'!H194-d3П!H189</f>
        <v>0</v>
      </c>
      <c r="I194" s="328">
        <f>'d3'!I194-d3П!I189</f>
        <v>0</v>
      </c>
      <c r="J194" s="328">
        <f>'d3'!J194-d3П!J189</f>
        <v>2000000</v>
      </c>
      <c r="K194" s="328">
        <f>'d3'!K194-d3П!K189</f>
        <v>2000000</v>
      </c>
      <c r="L194" s="328">
        <f>'d3'!L194-d3П!L189</f>
        <v>0</v>
      </c>
      <c r="M194" s="328">
        <f>'d3'!M194-d3П!M189</f>
        <v>0</v>
      </c>
      <c r="N194" s="328">
        <f>'d3'!N194-d3П!N189</f>
        <v>0</v>
      </c>
      <c r="O194" s="328">
        <f>'d3'!O194-d3П!O189</f>
        <v>2000000</v>
      </c>
      <c r="P194" s="328">
        <f>'d3'!P194-d3П!P189</f>
        <v>2000000</v>
      </c>
      <c r="Q194" s="20"/>
      <c r="R194" s="46"/>
    </row>
    <row r="195" spans="1:18" ht="47.25" thickTop="1" thickBot="1" x14ac:dyDescent="0.25">
      <c r="A195" s="103" t="s">
        <v>1310</v>
      </c>
      <c r="B195" s="103" t="s">
        <v>212</v>
      </c>
      <c r="C195" s="103" t="s">
        <v>213</v>
      </c>
      <c r="D195" s="103" t="s">
        <v>41</v>
      </c>
      <c r="E195" s="328">
        <f>'d3'!E195-d3П!E190</f>
        <v>0</v>
      </c>
      <c r="F195" s="328">
        <f>'d3'!F195-d3П!F190</f>
        <v>0</v>
      </c>
      <c r="G195" s="328">
        <f>'d3'!G195-d3П!G190</f>
        <v>0</v>
      </c>
      <c r="H195" s="328">
        <f>'d3'!H195-d3П!H190</f>
        <v>0</v>
      </c>
      <c r="I195" s="328">
        <f>'d3'!I195-d3П!I190</f>
        <v>0</v>
      </c>
      <c r="J195" s="328">
        <f>'d3'!J195-d3П!J190</f>
        <v>2000000</v>
      </c>
      <c r="K195" s="328">
        <f>'d3'!K195-d3П!K190</f>
        <v>2000000</v>
      </c>
      <c r="L195" s="328">
        <f>'d3'!L195-d3П!L190</f>
        <v>0</v>
      </c>
      <c r="M195" s="328">
        <f>'d3'!M195-d3П!M190</f>
        <v>0</v>
      </c>
      <c r="N195" s="328">
        <f>'d3'!N195-d3П!N190</f>
        <v>0</v>
      </c>
      <c r="O195" s="328">
        <f>'d3'!O195-d3П!O190</f>
        <v>2000000</v>
      </c>
      <c r="P195" s="328">
        <f>'d3'!P195-d3П!P190</f>
        <v>2000000</v>
      </c>
      <c r="Q195" s="20"/>
      <c r="R195" s="46"/>
    </row>
    <row r="196" spans="1:18" ht="48" hidden="1" thickTop="1" thickBot="1" x14ac:dyDescent="0.25">
      <c r="A196" s="140" t="s">
        <v>752</v>
      </c>
      <c r="B196" s="140" t="s">
        <v>694</v>
      </c>
      <c r="C196" s="140"/>
      <c r="D196" s="153" t="s">
        <v>692</v>
      </c>
      <c r="E196" s="141">
        <f>E197</f>
        <v>0</v>
      </c>
      <c r="F196" s="141">
        <f t="shared" ref="F196:P196" si="21">F197</f>
        <v>0</v>
      </c>
      <c r="G196" s="141">
        <f t="shared" si="21"/>
        <v>0</v>
      </c>
      <c r="H196" s="141">
        <f t="shared" si="21"/>
        <v>0</v>
      </c>
      <c r="I196" s="141">
        <f t="shared" si="21"/>
        <v>0</v>
      </c>
      <c r="J196" s="141">
        <f t="shared" si="21"/>
        <v>0</v>
      </c>
      <c r="K196" s="141">
        <f t="shared" si="21"/>
        <v>0</v>
      </c>
      <c r="L196" s="141">
        <f t="shared" si="21"/>
        <v>0</v>
      </c>
      <c r="M196" s="141">
        <f t="shared" si="21"/>
        <v>0</v>
      </c>
      <c r="N196" s="141">
        <f t="shared" si="21"/>
        <v>0</v>
      </c>
      <c r="O196" s="141">
        <f t="shared" si="21"/>
        <v>0</v>
      </c>
      <c r="P196" s="141">
        <f t="shared" si="21"/>
        <v>0</v>
      </c>
      <c r="Q196" s="20"/>
      <c r="R196" s="46"/>
    </row>
    <row r="197" spans="1:18" ht="138.75" hidden="1" thickTop="1" thickBot="1" x14ac:dyDescent="0.7">
      <c r="A197" s="797" t="s">
        <v>423</v>
      </c>
      <c r="B197" s="797" t="s">
        <v>338</v>
      </c>
      <c r="C197" s="797" t="s">
        <v>170</v>
      </c>
      <c r="D197" s="155" t="s">
        <v>440</v>
      </c>
      <c r="E197" s="800">
        <f t="shared" ref="E197" si="22">F197</f>
        <v>0</v>
      </c>
      <c r="F197" s="781"/>
      <c r="G197" s="781"/>
      <c r="H197" s="781"/>
      <c r="I197" s="781"/>
      <c r="J197" s="800">
        <f t="shared" ref="J197" si="23">L197+O197</f>
        <v>0</v>
      </c>
      <c r="K197" s="781"/>
      <c r="L197" s="781"/>
      <c r="M197" s="781"/>
      <c r="N197" s="781"/>
      <c r="O197" s="785">
        <f t="shared" ref="O197" si="24">K197</f>
        <v>0</v>
      </c>
      <c r="P197" s="782">
        <f t="shared" ref="P197" si="25">E197+J197</f>
        <v>0</v>
      </c>
      <c r="Q197" s="20"/>
      <c r="R197" s="50"/>
    </row>
    <row r="198" spans="1:18" ht="93" hidden="1" thickTop="1" thickBot="1" x14ac:dyDescent="0.25">
      <c r="A198" s="783"/>
      <c r="B198" s="805"/>
      <c r="C198" s="783"/>
      <c r="D198" s="156" t="s">
        <v>441</v>
      </c>
      <c r="E198" s="783"/>
      <c r="F198" s="784"/>
      <c r="G198" s="784"/>
      <c r="H198" s="784"/>
      <c r="I198" s="784"/>
      <c r="J198" s="783"/>
      <c r="K198" s="783"/>
      <c r="L198" s="784"/>
      <c r="M198" s="784"/>
      <c r="N198" s="784"/>
      <c r="O198" s="786"/>
      <c r="P198" s="787"/>
      <c r="Q198" s="20"/>
      <c r="R198" s="50"/>
    </row>
    <row r="199" spans="1:18" ht="120" customHeight="1" thickTop="1" thickBot="1" x14ac:dyDescent="0.25">
      <c r="A199" s="661">
        <v>1000000</v>
      </c>
      <c r="B199" s="661"/>
      <c r="C199" s="661"/>
      <c r="D199" s="662" t="s">
        <v>24</v>
      </c>
      <c r="E199" s="663">
        <f>E200</f>
        <v>1172254</v>
      </c>
      <c r="F199" s="664">
        <f t="shared" ref="F199:G199" si="26">F200</f>
        <v>1172254</v>
      </c>
      <c r="G199" s="664">
        <f t="shared" si="26"/>
        <v>0</v>
      </c>
      <c r="H199" s="664">
        <f>H200</f>
        <v>0</v>
      </c>
      <c r="I199" s="664">
        <f>I200</f>
        <v>0</v>
      </c>
      <c r="J199" s="663">
        <f>J200</f>
        <v>300000</v>
      </c>
      <c r="K199" s="664">
        <f>K200</f>
        <v>300000</v>
      </c>
      <c r="L199" s="664">
        <f>L200</f>
        <v>0</v>
      </c>
      <c r="M199" s="664">
        <f t="shared" ref="M199" si="27">M200</f>
        <v>0</v>
      </c>
      <c r="N199" s="664">
        <f>N200</f>
        <v>0</v>
      </c>
      <c r="O199" s="663">
        <f>O200</f>
        <v>300000</v>
      </c>
      <c r="P199" s="664">
        <f t="shared" ref="P199" si="28">P200</f>
        <v>1472254</v>
      </c>
      <c r="Q199" s="20"/>
    </row>
    <row r="200" spans="1:18" ht="120" customHeight="1" thickTop="1" thickBot="1" x14ac:dyDescent="0.25">
      <c r="A200" s="658">
        <v>1010000</v>
      </c>
      <c r="B200" s="658"/>
      <c r="C200" s="658"/>
      <c r="D200" s="659" t="s">
        <v>39</v>
      </c>
      <c r="E200" s="660">
        <f>E201+E203+E217+E211</f>
        <v>1172254</v>
      </c>
      <c r="F200" s="660">
        <f>F201+F203+F217+F211</f>
        <v>1172254</v>
      </c>
      <c r="G200" s="660">
        <f>G201+G203+G217+G211</f>
        <v>0</v>
      </c>
      <c r="H200" s="660">
        <f>H201+H203+H217+H211</f>
        <v>0</v>
      </c>
      <c r="I200" s="660">
        <f>I201+I203+I217+I211</f>
        <v>0</v>
      </c>
      <c r="J200" s="660">
        <f t="shared" ref="J200" si="29">L200+O200</f>
        <v>300000</v>
      </c>
      <c r="K200" s="660">
        <f>K201+K203+K217+K211</f>
        <v>300000</v>
      </c>
      <c r="L200" s="660">
        <f>L201+L203+L217+L211</f>
        <v>0</v>
      </c>
      <c r="M200" s="660">
        <f>M201+M203+M217+M211</f>
        <v>0</v>
      </c>
      <c r="N200" s="660">
        <f>N201+N203+N217+N211</f>
        <v>0</v>
      </c>
      <c r="O200" s="660">
        <f>O201+O203+O217+O211</f>
        <v>300000</v>
      </c>
      <c r="P200" s="660">
        <f t="shared" ref="P200" si="30">E200+J200</f>
        <v>1472254</v>
      </c>
      <c r="Q200" s="503" t="b">
        <f>P200=P202+P204+P205+P206+P210+P209+P214</f>
        <v>1</v>
      </c>
      <c r="R200" s="46"/>
    </row>
    <row r="201" spans="1:18" ht="47.25" thickTop="1" thickBot="1" x14ac:dyDescent="0.25">
      <c r="A201" s="311" t="s">
        <v>754</v>
      </c>
      <c r="B201" s="311" t="s">
        <v>708</v>
      </c>
      <c r="C201" s="311"/>
      <c r="D201" s="311" t="s">
        <v>709</v>
      </c>
      <c r="E201" s="328">
        <f>'d3'!E201-d3П!E196</f>
        <v>237772</v>
      </c>
      <c r="F201" s="328">
        <f>'d3'!F201-d3П!F196</f>
        <v>237772</v>
      </c>
      <c r="G201" s="328">
        <f>'d3'!G201-d3П!G196</f>
        <v>0</v>
      </c>
      <c r="H201" s="328">
        <f>'d3'!H201-d3П!H196</f>
        <v>0</v>
      </c>
      <c r="I201" s="328">
        <f>'d3'!I201-d3П!I196</f>
        <v>0</v>
      </c>
      <c r="J201" s="328">
        <f>'d3'!J201-d3П!J196</f>
        <v>0</v>
      </c>
      <c r="K201" s="328">
        <f>'d3'!K201-d3П!K196</f>
        <v>0</v>
      </c>
      <c r="L201" s="328">
        <f>'d3'!L201-d3П!L196</f>
        <v>0</v>
      </c>
      <c r="M201" s="328">
        <f>'d3'!M201-d3П!M196</f>
        <v>0</v>
      </c>
      <c r="N201" s="328">
        <f>'d3'!N201-d3П!N196</f>
        <v>0</v>
      </c>
      <c r="O201" s="328">
        <f>'d3'!O201-d3П!O196</f>
        <v>0</v>
      </c>
      <c r="P201" s="328">
        <f>'d3'!P201-d3П!P196</f>
        <v>237772</v>
      </c>
      <c r="Q201" s="47"/>
      <c r="R201" s="46"/>
    </row>
    <row r="202" spans="1:18" ht="47.25" thickTop="1" thickBot="1" x14ac:dyDescent="0.25">
      <c r="A202" s="103" t="s">
        <v>636</v>
      </c>
      <c r="B202" s="103" t="s">
        <v>637</v>
      </c>
      <c r="C202" s="103" t="s">
        <v>181</v>
      </c>
      <c r="D202" s="103" t="s">
        <v>1120</v>
      </c>
      <c r="E202" s="328">
        <f>'d3'!E202-d3П!E197</f>
        <v>237772</v>
      </c>
      <c r="F202" s="328">
        <f>'d3'!F202-d3П!F197</f>
        <v>237772</v>
      </c>
      <c r="G202" s="328">
        <f>'d3'!G202-d3П!G197</f>
        <v>0</v>
      </c>
      <c r="H202" s="328">
        <f>'d3'!H202-d3П!H197</f>
        <v>0</v>
      </c>
      <c r="I202" s="328">
        <f>'d3'!I202-d3П!I197</f>
        <v>0</v>
      </c>
      <c r="J202" s="328">
        <f>'d3'!J202-d3П!J197</f>
        <v>0</v>
      </c>
      <c r="K202" s="328">
        <f>'d3'!K202-d3П!K197</f>
        <v>0</v>
      </c>
      <c r="L202" s="328">
        <f>'d3'!L202-d3П!L197</f>
        <v>0</v>
      </c>
      <c r="M202" s="328">
        <f>'d3'!M202-d3П!M197</f>
        <v>0</v>
      </c>
      <c r="N202" s="328">
        <f>'d3'!N202-d3П!N197</f>
        <v>0</v>
      </c>
      <c r="O202" s="328">
        <f>'d3'!O202-d3П!O197</f>
        <v>0</v>
      </c>
      <c r="P202" s="328">
        <f>'d3'!P202-d3П!P197</f>
        <v>237772</v>
      </c>
      <c r="Q202" s="20"/>
      <c r="R202" s="46"/>
    </row>
    <row r="203" spans="1:18" s="24" customFormat="1" ht="47.25" thickTop="1" thickBot="1" x14ac:dyDescent="0.25">
      <c r="A203" s="311" t="s">
        <v>755</v>
      </c>
      <c r="B203" s="311" t="s">
        <v>756</v>
      </c>
      <c r="C203" s="311"/>
      <c r="D203" s="311" t="s">
        <v>757</v>
      </c>
      <c r="E203" s="328">
        <f>'d3'!E203-d3П!E198</f>
        <v>934482</v>
      </c>
      <c r="F203" s="328">
        <f>'d3'!F203-d3П!F198</f>
        <v>934482</v>
      </c>
      <c r="G203" s="328">
        <f>'d3'!G203-d3П!G198</f>
        <v>0</v>
      </c>
      <c r="H203" s="328">
        <f>'d3'!H203-d3П!H198</f>
        <v>0</v>
      </c>
      <c r="I203" s="328">
        <f>'d3'!I203-d3П!I198</f>
        <v>0</v>
      </c>
      <c r="J203" s="328">
        <f>'d3'!J203-d3П!J198</f>
        <v>300000</v>
      </c>
      <c r="K203" s="328">
        <f>'d3'!K203-d3П!K198</f>
        <v>300000</v>
      </c>
      <c r="L203" s="328">
        <f>'d3'!L203-d3П!L198</f>
        <v>0</v>
      </c>
      <c r="M203" s="328">
        <f>'d3'!M203-d3П!M198</f>
        <v>0</v>
      </c>
      <c r="N203" s="328">
        <f>'d3'!N203-d3П!N198</f>
        <v>0</v>
      </c>
      <c r="O203" s="328">
        <f>'d3'!O203-d3П!O198</f>
        <v>300000</v>
      </c>
      <c r="P203" s="328">
        <f>'d3'!P203-d3П!P198</f>
        <v>1234482</v>
      </c>
      <c r="Q203" s="25"/>
      <c r="R203" s="50"/>
    </row>
    <row r="204" spans="1:18" ht="47.25" thickTop="1" thickBot="1" x14ac:dyDescent="0.25">
      <c r="A204" s="103" t="s">
        <v>172</v>
      </c>
      <c r="B204" s="103" t="s">
        <v>173</v>
      </c>
      <c r="C204" s="103" t="s">
        <v>174</v>
      </c>
      <c r="D204" s="103" t="s">
        <v>175</v>
      </c>
      <c r="E204" s="328">
        <f>'d3'!E204-d3П!E199</f>
        <v>81450</v>
      </c>
      <c r="F204" s="328">
        <f>'d3'!F204-d3П!F199</f>
        <v>81450</v>
      </c>
      <c r="G204" s="328">
        <f>'d3'!G204-d3П!G199</f>
        <v>0</v>
      </c>
      <c r="H204" s="328">
        <f>'d3'!H204-d3П!H199</f>
        <v>0</v>
      </c>
      <c r="I204" s="328">
        <f>'d3'!I204-d3П!I199</f>
        <v>0</v>
      </c>
      <c r="J204" s="328">
        <f>'d3'!J204-d3П!J199</f>
        <v>300000</v>
      </c>
      <c r="K204" s="328">
        <f>'d3'!K204-d3П!K199</f>
        <v>300000</v>
      </c>
      <c r="L204" s="328">
        <f>'d3'!L204-d3П!L199</f>
        <v>0</v>
      </c>
      <c r="M204" s="328">
        <f>'d3'!M204-d3П!M199</f>
        <v>0</v>
      </c>
      <c r="N204" s="328">
        <f>'d3'!N204-d3П!N199</f>
        <v>0</v>
      </c>
      <c r="O204" s="328">
        <f>'d3'!O204-d3П!O199</f>
        <v>300000</v>
      </c>
      <c r="P204" s="328">
        <f>'d3'!P204-d3П!P199</f>
        <v>381450</v>
      </c>
      <c r="Q204" s="20"/>
      <c r="R204" s="46"/>
    </row>
    <row r="205" spans="1:18" ht="47.25" thickTop="1" thickBot="1" x14ac:dyDescent="0.25">
      <c r="A205" s="103" t="s">
        <v>176</v>
      </c>
      <c r="B205" s="103" t="s">
        <v>177</v>
      </c>
      <c r="C205" s="103" t="s">
        <v>174</v>
      </c>
      <c r="D205" s="103" t="s">
        <v>463</v>
      </c>
      <c r="E205" s="328">
        <f>'d3'!E205-d3П!E200</f>
        <v>179318</v>
      </c>
      <c r="F205" s="328">
        <f>'d3'!F205-d3П!F200</f>
        <v>179318</v>
      </c>
      <c r="G205" s="328">
        <f>'d3'!G205-d3П!G200</f>
        <v>0</v>
      </c>
      <c r="H205" s="328">
        <f>'d3'!H205-d3П!H200</f>
        <v>0</v>
      </c>
      <c r="I205" s="328">
        <f>'d3'!I205-d3П!I200</f>
        <v>0</v>
      </c>
      <c r="J205" s="328">
        <f>'d3'!J205-d3П!J200</f>
        <v>0</v>
      </c>
      <c r="K205" s="328">
        <f>'d3'!K205-d3П!K200</f>
        <v>0</v>
      </c>
      <c r="L205" s="328">
        <f>'d3'!L205-d3П!L200</f>
        <v>0</v>
      </c>
      <c r="M205" s="328">
        <f>'d3'!M205-d3П!M200</f>
        <v>0</v>
      </c>
      <c r="N205" s="328">
        <f>'d3'!N205-d3П!N200</f>
        <v>0</v>
      </c>
      <c r="O205" s="328">
        <f>'d3'!O205-d3П!O200</f>
        <v>0</v>
      </c>
      <c r="P205" s="328">
        <f>'d3'!P205-d3П!P200</f>
        <v>179318</v>
      </c>
      <c r="Q205" s="20"/>
      <c r="R205" s="46"/>
    </row>
    <row r="206" spans="1:18" ht="93" thickTop="1" thickBot="1" x14ac:dyDescent="0.25">
      <c r="A206" s="103" t="s">
        <v>178</v>
      </c>
      <c r="B206" s="103" t="s">
        <v>171</v>
      </c>
      <c r="C206" s="103" t="s">
        <v>179</v>
      </c>
      <c r="D206" s="103" t="s">
        <v>180</v>
      </c>
      <c r="E206" s="328">
        <f>'d3'!E206-d3П!E201</f>
        <v>673714</v>
      </c>
      <c r="F206" s="328">
        <f>'d3'!F206-d3П!F201</f>
        <v>673714</v>
      </c>
      <c r="G206" s="328">
        <f>'d3'!G206-d3П!G201</f>
        <v>0</v>
      </c>
      <c r="H206" s="328">
        <f>'d3'!H206-d3П!H201</f>
        <v>0</v>
      </c>
      <c r="I206" s="328">
        <f>'d3'!I206-d3П!I201</f>
        <v>0</v>
      </c>
      <c r="J206" s="328">
        <f>'d3'!J206-d3П!J201</f>
        <v>0</v>
      </c>
      <c r="K206" s="328">
        <f>'d3'!K206-d3П!K201</f>
        <v>0</v>
      </c>
      <c r="L206" s="328">
        <f>'d3'!L206-d3П!L201</f>
        <v>0</v>
      </c>
      <c r="M206" s="328">
        <f>'d3'!M206-d3П!M201</f>
        <v>0</v>
      </c>
      <c r="N206" s="328">
        <f>'d3'!N206-d3П!N201</f>
        <v>0</v>
      </c>
      <c r="O206" s="328">
        <f>'d3'!O206-d3П!O201</f>
        <v>0</v>
      </c>
      <c r="P206" s="328">
        <f>'d3'!P206-d3П!P201</f>
        <v>673714</v>
      </c>
      <c r="Q206" s="20"/>
      <c r="R206" s="46"/>
    </row>
    <row r="207" spans="1:18" ht="47.25" hidden="1" thickTop="1" thickBot="1" x14ac:dyDescent="0.25">
      <c r="A207" s="128" t="s">
        <v>1194</v>
      </c>
      <c r="B207" s="128" t="s">
        <v>1195</v>
      </c>
      <c r="C207" s="128" t="s">
        <v>1197</v>
      </c>
      <c r="D207" s="128" t="s">
        <v>1196</v>
      </c>
      <c r="E207" s="328">
        <f>'d3'!E207-d3П!E202</f>
        <v>0</v>
      </c>
      <c r="F207" s="328">
        <f>'d3'!F207-d3П!F202</f>
        <v>0</v>
      </c>
      <c r="G207" s="328">
        <f>'d3'!G207-d3П!G202</f>
        <v>0</v>
      </c>
      <c r="H207" s="328">
        <f>'d3'!H207-d3П!H202</f>
        <v>0</v>
      </c>
      <c r="I207" s="328">
        <f>'d3'!I207-d3П!I202</f>
        <v>0</v>
      </c>
      <c r="J207" s="328">
        <f>'d3'!J207-d3П!J202</f>
        <v>0</v>
      </c>
      <c r="K207" s="328">
        <f>'d3'!K207-d3П!K202</f>
        <v>0</v>
      </c>
      <c r="L207" s="328">
        <f>'d3'!L207-d3П!L202</f>
        <v>0</v>
      </c>
      <c r="M207" s="328">
        <f>'d3'!M207-d3П!M202</f>
        <v>0</v>
      </c>
      <c r="N207" s="328">
        <f>'d3'!N207-d3П!N202</f>
        <v>0</v>
      </c>
      <c r="O207" s="328">
        <f>'d3'!O207-d3П!O202</f>
        <v>0</v>
      </c>
      <c r="P207" s="328">
        <f>'d3'!P207-d3П!P202</f>
        <v>0</v>
      </c>
      <c r="Q207" s="20"/>
      <c r="R207" s="46"/>
    </row>
    <row r="208" spans="1:18" ht="47.25" thickTop="1" thickBot="1" x14ac:dyDescent="0.25">
      <c r="A208" s="329" t="s">
        <v>758</v>
      </c>
      <c r="B208" s="329" t="s">
        <v>759</v>
      </c>
      <c r="C208" s="329"/>
      <c r="D208" s="329" t="s">
        <v>760</v>
      </c>
      <c r="E208" s="328">
        <f>'d3'!E208-d3П!E203</f>
        <v>0</v>
      </c>
      <c r="F208" s="328">
        <f>'d3'!F208-d3П!F203</f>
        <v>0</v>
      </c>
      <c r="G208" s="328">
        <f>'d3'!G208-d3П!G203</f>
        <v>0</v>
      </c>
      <c r="H208" s="328">
        <f>'d3'!H208-d3П!H203</f>
        <v>0</v>
      </c>
      <c r="I208" s="328">
        <f>'d3'!I208-d3П!I203</f>
        <v>0</v>
      </c>
      <c r="J208" s="328">
        <f>'d3'!J208-d3П!J203</f>
        <v>0</v>
      </c>
      <c r="K208" s="328">
        <f>'d3'!K208-d3П!K203</f>
        <v>0</v>
      </c>
      <c r="L208" s="328">
        <f>'d3'!L208-d3П!L203</f>
        <v>0</v>
      </c>
      <c r="M208" s="328">
        <f>'d3'!M208-d3П!M203</f>
        <v>0</v>
      </c>
      <c r="N208" s="328">
        <f>'d3'!N208-d3П!N203</f>
        <v>0</v>
      </c>
      <c r="O208" s="328">
        <f>'d3'!O208-d3П!O203</f>
        <v>0</v>
      </c>
      <c r="P208" s="328">
        <f>'d3'!P208-d3П!P203</f>
        <v>0</v>
      </c>
      <c r="Q208" s="20"/>
      <c r="R208" s="46"/>
    </row>
    <row r="209" spans="1:18" ht="47.25" thickTop="1" thickBot="1" x14ac:dyDescent="0.25">
      <c r="A209" s="103" t="s">
        <v>333</v>
      </c>
      <c r="B209" s="103" t="s">
        <v>334</v>
      </c>
      <c r="C209" s="103" t="s">
        <v>182</v>
      </c>
      <c r="D209" s="103" t="s">
        <v>464</v>
      </c>
      <c r="E209" s="328">
        <f>'d3'!E209-d3П!E204</f>
        <v>0</v>
      </c>
      <c r="F209" s="328">
        <f>'d3'!F209-d3П!F204</f>
        <v>0</v>
      </c>
      <c r="G209" s="328">
        <f>'d3'!G209-d3П!G204</f>
        <v>0</v>
      </c>
      <c r="H209" s="328">
        <f>'d3'!H209-d3П!H204</f>
        <v>0</v>
      </c>
      <c r="I209" s="328">
        <f>'d3'!I209-d3П!I204</f>
        <v>0</v>
      </c>
      <c r="J209" s="328">
        <f>'d3'!J209-d3П!J204</f>
        <v>0</v>
      </c>
      <c r="K209" s="328">
        <f>'d3'!K209-d3П!K204</f>
        <v>0</v>
      </c>
      <c r="L209" s="328">
        <f>'d3'!L209-d3П!L204</f>
        <v>0</v>
      </c>
      <c r="M209" s="328">
        <f>'d3'!M209-d3П!M204</f>
        <v>0</v>
      </c>
      <c r="N209" s="328">
        <f>'d3'!N209-d3П!N204</f>
        <v>0</v>
      </c>
      <c r="O209" s="328">
        <f>'d3'!O209-d3П!O204</f>
        <v>0</v>
      </c>
      <c r="P209" s="328">
        <f>'d3'!P209-d3П!P204</f>
        <v>0</v>
      </c>
      <c r="Q209" s="20"/>
      <c r="R209" s="46"/>
    </row>
    <row r="210" spans="1:18" ht="47.25" thickTop="1" thickBot="1" x14ac:dyDescent="0.25">
      <c r="A210" s="103" t="s">
        <v>335</v>
      </c>
      <c r="B210" s="103" t="s">
        <v>336</v>
      </c>
      <c r="C210" s="103" t="s">
        <v>182</v>
      </c>
      <c r="D210" s="103" t="s">
        <v>465</v>
      </c>
      <c r="E210" s="328">
        <f>'d3'!E210-d3П!E205</f>
        <v>0</v>
      </c>
      <c r="F210" s="328">
        <f>'d3'!F210-d3П!F205</f>
        <v>0</v>
      </c>
      <c r="G210" s="328">
        <f>'d3'!G210-d3П!G205</f>
        <v>0</v>
      </c>
      <c r="H210" s="328">
        <f>'d3'!H210-d3П!H205</f>
        <v>0</v>
      </c>
      <c r="I210" s="328">
        <f>'d3'!I210-d3П!I205</f>
        <v>0</v>
      </c>
      <c r="J210" s="328">
        <f>'d3'!J210-d3П!J205</f>
        <v>0</v>
      </c>
      <c r="K210" s="328">
        <f>'d3'!K210-d3П!K205</f>
        <v>0</v>
      </c>
      <c r="L210" s="328">
        <f>'d3'!L210-d3П!L205</f>
        <v>0</v>
      </c>
      <c r="M210" s="328">
        <f>'d3'!M210-d3П!M205</f>
        <v>0</v>
      </c>
      <c r="N210" s="328">
        <f>'d3'!N210-d3П!N205</f>
        <v>0</v>
      </c>
      <c r="O210" s="328">
        <f>'d3'!O210-d3П!O205</f>
        <v>0</v>
      </c>
      <c r="P210" s="328">
        <f>'d3'!P210-d3П!P205</f>
        <v>0</v>
      </c>
      <c r="Q210" s="20"/>
      <c r="R210" s="50"/>
    </row>
    <row r="211" spans="1:18" ht="47.25" thickTop="1" thickBot="1" x14ac:dyDescent="0.25">
      <c r="A211" s="311" t="s">
        <v>915</v>
      </c>
      <c r="B211" s="311" t="s">
        <v>748</v>
      </c>
      <c r="C211" s="311"/>
      <c r="D211" s="311" t="s">
        <v>749</v>
      </c>
      <c r="E211" s="328">
        <f>'d3'!E211-d3П!E206</f>
        <v>0</v>
      </c>
      <c r="F211" s="328">
        <f>'d3'!F211-d3П!F206</f>
        <v>0</v>
      </c>
      <c r="G211" s="328">
        <f>'d3'!G211-d3П!G206</f>
        <v>0</v>
      </c>
      <c r="H211" s="328">
        <f>'d3'!H211-d3П!H206</f>
        <v>0</v>
      </c>
      <c r="I211" s="328">
        <f>'d3'!I211-d3П!I206</f>
        <v>0</v>
      </c>
      <c r="J211" s="328">
        <f>'d3'!J211-d3П!J206</f>
        <v>0</v>
      </c>
      <c r="K211" s="328">
        <f>'d3'!K211-d3П!K206</f>
        <v>0</v>
      </c>
      <c r="L211" s="328">
        <f>'d3'!L211-d3П!L206</f>
        <v>0</v>
      </c>
      <c r="M211" s="328">
        <f>'d3'!M211-d3П!M206</f>
        <v>0</v>
      </c>
      <c r="N211" s="328">
        <f>'d3'!N211-d3П!N206</f>
        <v>0</v>
      </c>
      <c r="O211" s="328">
        <f>'d3'!O211-d3П!O206</f>
        <v>0</v>
      </c>
      <c r="P211" s="328">
        <f>'d3'!P211-d3П!P206</f>
        <v>0</v>
      </c>
      <c r="Q211" s="20"/>
      <c r="R211" s="50"/>
    </row>
    <row r="212" spans="1:18" ht="47.25" thickTop="1" thickBot="1" x14ac:dyDescent="0.25">
      <c r="A212" s="313" t="s">
        <v>916</v>
      </c>
      <c r="B212" s="313" t="s">
        <v>691</v>
      </c>
      <c r="C212" s="313"/>
      <c r="D212" s="313" t="s">
        <v>689</v>
      </c>
      <c r="E212" s="328">
        <f>'d3'!E212-d3П!E207</f>
        <v>0</v>
      </c>
      <c r="F212" s="328">
        <f>'d3'!F212-d3П!F207</f>
        <v>0</v>
      </c>
      <c r="G212" s="328">
        <f>'d3'!G212-d3П!G207</f>
        <v>0</v>
      </c>
      <c r="H212" s="328">
        <f>'d3'!H212-d3П!H207</f>
        <v>0</v>
      </c>
      <c r="I212" s="328">
        <f>'d3'!I212-d3П!I207</f>
        <v>0</v>
      </c>
      <c r="J212" s="328">
        <f>'d3'!J212-d3П!J207</f>
        <v>0</v>
      </c>
      <c r="K212" s="328">
        <f>'d3'!K212-d3П!K207</f>
        <v>0</v>
      </c>
      <c r="L212" s="328">
        <f>'d3'!L212-d3П!L207</f>
        <v>0</v>
      </c>
      <c r="M212" s="328">
        <f>'d3'!M212-d3П!M207</f>
        <v>0</v>
      </c>
      <c r="N212" s="328">
        <f>'d3'!N212-d3П!N207</f>
        <v>0</v>
      </c>
      <c r="O212" s="328">
        <f>'d3'!O212-d3П!O207</f>
        <v>0</v>
      </c>
      <c r="P212" s="328">
        <f>'d3'!P212-d3П!P207</f>
        <v>0</v>
      </c>
      <c r="Q212" s="20"/>
      <c r="R212" s="50"/>
    </row>
    <row r="213" spans="1:18" ht="47.25" thickTop="1" thickBot="1" x14ac:dyDescent="0.25">
      <c r="A213" s="329" t="s">
        <v>1032</v>
      </c>
      <c r="B213" s="329" t="s">
        <v>1033</v>
      </c>
      <c r="C213" s="329"/>
      <c r="D213" s="329" t="s">
        <v>1031</v>
      </c>
      <c r="E213" s="328">
        <f>'d3'!E213-d3П!E208</f>
        <v>0</v>
      </c>
      <c r="F213" s="328">
        <f>'d3'!F213-d3П!F208</f>
        <v>0</v>
      </c>
      <c r="G213" s="328">
        <f>'d3'!G213-d3П!G208</f>
        <v>0</v>
      </c>
      <c r="H213" s="328">
        <f>'d3'!H213-d3П!H208</f>
        <v>0</v>
      </c>
      <c r="I213" s="328">
        <f>'d3'!I213-d3П!I208</f>
        <v>0</v>
      </c>
      <c r="J213" s="328">
        <f>'d3'!J213-d3П!J208</f>
        <v>0</v>
      </c>
      <c r="K213" s="328">
        <f>'d3'!K213-d3П!K208</f>
        <v>0</v>
      </c>
      <c r="L213" s="328">
        <f>'d3'!L213-d3П!L208</f>
        <v>0</v>
      </c>
      <c r="M213" s="328">
        <f>'d3'!M213-d3П!M208</f>
        <v>0</v>
      </c>
      <c r="N213" s="328">
        <f>'d3'!N213-d3П!N208</f>
        <v>0</v>
      </c>
      <c r="O213" s="328">
        <f>'d3'!O213-d3П!O208</f>
        <v>0</v>
      </c>
      <c r="P213" s="328">
        <f>'d3'!P213-d3П!P208</f>
        <v>0</v>
      </c>
      <c r="Q213" s="20"/>
      <c r="R213" s="50"/>
    </row>
    <row r="214" spans="1:18" ht="47.25" thickTop="1" thickBot="1" x14ac:dyDescent="0.25">
      <c r="A214" s="103" t="s">
        <v>1035</v>
      </c>
      <c r="B214" s="103" t="s">
        <v>1036</v>
      </c>
      <c r="C214" s="103" t="s">
        <v>213</v>
      </c>
      <c r="D214" s="103" t="s">
        <v>1034</v>
      </c>
      <c r="E214" s="328">
        <f>'d3'!E214-d3П!E209</f>
        <v>0</v>
      </c>
      <c r="F214" s="328">
        <f>'d3'!F214-d3П!F209</f>
        <v>0</v>
      </c>
      <c r="G214" s="328">
        <f>'d3'!G214-d3П!G209</f>
        <v>0</v>
      </c>
      <c r="H214" s="328">
        <f>'d3'!H214-d3П!H209</f>
        <v>0</v>
      </c>
      <c r="I214" s="328">
        <f>'d3'!I214-d3П!I209</f>
        <v>0</v>
      </c>
      <c r="J214" s="328">
        <f>'d3'!J214-d3П!J209</f>
        <v>0</v>
      </c>
      <c r="K214" s="328">
        <f>'d3'!K214-d3П!K209</f>
        <v>0</v>
      </c>
      <c r="L214" s="328">
        <f>'d3'!L214-d3П!L209</f>
        <v>0</v>
      </c>
      <c r="M214" s="328">
        <f>'d3'!M214-d3П!M209</f>
        <v>0</v>
      </c>
      <c r="N214" s="328">
        <f>'d3'!N214-d3П!N209</f>
        <v>0</v>
      </c>
      <c r="O214" s="328">
        <f>'d3'!O214-d3П!O209</f>
        <v>0</v>
      </c>
      <c r="P214" s="328">
        <f>'d3'!P214-d3П!P209</f>
        <v>0</v>
      </c>
      <c r="Q214" s="20"/>
      <c r="R214" s="50"/>
    </row>
    <row r="215" spans="1:18" ht="48" hidden="1" thickTop="1" thickBot="1" x14ac:dyDescent="0.25">
      <c r="A215" s="128" t="s">
        <v>1265</v>
      </c>
      <c r="B215" s="128" t="s">
        <v>212</v>
      </c>
      <c r="C215" s="128" t="s">
        <v>213</v>
      </c>
      <c r="D215" s="128" t="s">
        <v>41</v>
      </c>
      <c r="E215" s="127">
        <f t="shared" ref="E215:E216" si="31">F215</f>
        <v>0</v>
      </c>
      <c r="F215" s="134"/>
      <c r="G215" s="134"/>
      <c r="H215" s="134"/>
      <c r="I215" s="134"/>
      <c r="J215" s="127">
        <f>L215+O215</f>
        <v>0</v>
      </c>
      <c r="K215" s="134"/>
      <c r="L215" s="134"/>
      <c r="M215" s="134"/>
      <c r="N215" s="134"/>
      <c r="O215" s="132">
        <f>K215</f>
        <v>0</v>
      </c>
      <c r="P215" s="127">
        <f>E215+J215</f>
        <v>0</v>
      </c>
      <c r="Q215" s="20"/>
      <c r="R215" s="50"/>
    </row>
    <row r="216" spans="1:18" ht="48" hidden="1" thickTop="1" thickBot="1" x14ac:dyDescent="0.25">
      <c r="A216" s="128" t="s">
        <v>917</v>
      </c>
      <c r="B216" s="128" t="s">
        <v>197</v>
      </c>
      <c r="C216" s="128" t="s">
        <v>170</v>
      </c>
      <c r="D216" s="128" t="s">
        <v>34</v>
      </c>
      <c r="E216" s="127">
        <f t="shared" si="31"/>
        <v>0</v>
      </c>
      <c r="F216" s="134"/>
      <c r="G216" s="134"/>
      <c r="H216" s="134"/>
      <c r="I216" s="134"/>
      <c r="J216" s="127">
        <f t="shared" ref="J216" si="32">L216+O216</f>
        <v>0</v>
      </c>
      <c r="K216" s="134">
        <f>940242-455475-484767</f>
        <v>0</v>
      </c>
      <c r="L216" s="134"/>
      <c r="M216" s="134"/>
      <c r="N216" s="134"/>
      <c r="O216" s="132">
        <f t="shared" ref="O216" si="33">K216</f>
        <v>0</v>
      </c>
      <c r="P216" s="127">
        <f t="shared" ref="P216" si="34">E216+J216</f>
        <v>0</v>
      </c>
      <c r="Q216" s="20"/>
      <c r="R216" s="46"/>
    </row>
    <row r="217" spans="1:18" ht="47.25" hidden="1" thickTop="1" thickBot="1" x14ac:dyDescent="0.25">
      <c r="A217" s="146" t="s">
        <v>761</v>
      </c>
      <c r="B217" s="146" t="s">
        <v>702</v>
      </c>
      <c r="C217" s="146"/>
      <c r="D217" s="146" t="s">
        <v>703</v>
      </c>
      <c r="E217" s="42">
        <f>E218</f>
        <v>0</v>
      </c>
      <c r="F217" s="42">
        <f t="shared" ref="F217:P218" si="35">F218</f>
        <v>0</v>
      </c>
      <c r="G217" s="42">
        <f t="shared" si="35"/>
        <v>0</v>
      </c>
      <c r="H217" s="42">
        <f t="shared" si="35"/>
        <v>0</v>
      </c>
      <c r="I217" s="42">
        <f t="shared" si="35"/>
        <v>0</v>
      </c>
      <c r="J217" s="42">
        <f t="shared" si="35"/>
        <v>0</v>
      </c>
      <c r="K217" s="42">
        <f t="shared" si="35"/>
        <v>0</v>
      </c>
      <c r="L217" s="42">
        <f t="shared" si="35"/>
        <v>0</v>
      </c>
      <c r="M217" s="42">
        <f t="shared" si="35"/>
        <v>0</v>
      </c>
      <c r="N217" s="42">
        <f t="shared" si="35"/>
        <v>0</v>
      </c>
      <c r="O217" s="42">
        <f t="shared" si="35"/>
        <v>0</v>
      </c>
      <c r="P217" s="42">
        <f t="shared" si="35"/>
        <v>0</v>
      </c>
      <c r="Q217" s="20"/>
      <c r="R217" s="50"/>
    </row>
    <row r="218" spans="1:18" ht="91.5" hidden="1" thickTop="1" thickBot="1" x14ac:dyDescent="0.25">
      <c r="A218" s="147" t="s">
        <v>762</v>
      </c>
      <c r="B218" s="147" t="s">
        <v>705</v>
      </c>
      <c r="C218" s="147"/>
      <c r="D218" s="147" t="s">
        <v>706</v>
      </c>
      <c r="E218" s="148">
        <f>E219</f>
        <v>0</v>
      </c>
      <c r="F218" s="148">
        <f t="shared" si="35"/>
        <v>0</v>
      </c>
      <c r="G218" s="148">
        <f t="shared" si="35"/>
        <v>0</v>
      </c>
      <c r="H218" s="148">
        <f t="shared" si="35"/>
        <v>0</v>
      </c>
      <c r="I218" s="148">
        <f t="shared" si="35"/>
        <v>0</v>
      </c>
      <c r="J218" s="148">
        <f t="shared" si="35"/>
        <v>0</v>
      </c>
      <c r="K218" s="148">
        <f t="shared" si="35"/>
        <v>0</v>
      </c>
      <c r="L218" s="148">
        <f t="shared" si="35"/>
        <v>0</v>
      </c>
      <c r="M218" s="148">
        <f t="shared" si="35"/>
        <v>0</v>
      </c>
      <c r="N218" s="148">
        <f t="shared" si="35"/>
        <v>0</v>
      </c>
      <c r="O218" s="148">
        <f t="shared" si="35"/>
        <v>0</v>
      </c>
      <c r="P218" s="148">
        <f t="shared" si="35"/>
        <v>0</v>
      </c>
      <c r="Q218" s="20"/>
      <c r="R218" s="50"/>
    </row>
    <row r="219" spans="1:18" ht="48" hidden="1" thickTop="1" thickBot="1" x14ac:dyDescent="0.25">
      <c r="A219" s="41" t="s">
        <v>586</v>
      </c>
      <c r="B219" s="41" t="s">
        <v>363</v>
      </c>
      <c r="C219" s="41" t="s">
        <v>43</v>
      </c>
      <c r="D219" s="41" t="s">
        <v>364</v>
      </c>
      <c r="E219" s="42">
        <f t="shared" ref="E219" si="36">F219</f>
        <v>0</v>
      </c>
      <c r="F219" s="43">
        <v>0</v>
      </c>
      <c r="G219" s="43"/>
      <c r="H219" s="43"/>
      <c r="I219" s="43"/>
      <c r="J219" s="42">
        <f>L219+O219</f>
        <v>0</v>
      </c>
      <c r="K219" s="43"/>
      <c r="L219" s="43"/>
      <c r="M219" s="43"/>
      <c r="N219" s="43"/>
      <c r="O219" s="44">
        <f>K219</f>
        <v>0</v>
      </c>
      <c r="P219" s="42">
        <f>E219+J219</f>
        <v>0</v>
      </c>
      <c r="Q219" s="20"/>
      <c r="R219" s="50"/>
    </row>
    <row r="220" spans="1:18" ht="120" customHeight="1" thickTop="1" thickBot="1" x14ac:dyDescent="0.25">
      <c r="A220" s="661" t="s">
        <v>22</v>
      </c>
      <c r="B220" s="661"/>
      <c r="C220" s="661"/>
      <c r="D220" s="662" t="s">
        <v>23</v>
      </c>
      <c r="E220" s="663">
        <f>E221</f>
        <v>3295359</v>
      </c>
      <c r="F220" s="664">
        <f t="shared" ref="F220:G220" si="37">F221</f>
        <v>3295359</v>
      </c>
      <c r="G220" s="664">
        <f t="shared" si="37"/>
        <v>76680</v>
      </c>
      <c r="H220" s="664">
        <f>H221</f>
        <v>0</v>
      </c>
      <c r="I220" s="664">
        <f t="shared" ref="I220" si="38">I221</f>
        <v>0</v>
      </c>
      <c r="J220" s="663">
        <f>J221</f>
        <v>1880865</v>
      </c>
      <c r="K220" s="664">
        <f>K221</f>
        <v>1880865</v>
      </c>
      <c r="L220" s="664">
        <f>L221</f>
        <v>0</v>
      </c>
      <c r="M220" s="664">
        <f t="shared" ref="M220" si="39">M221</f>
        <v>0</v>
      </c>
      <c r="N220" s="664">
        <f>N221</f>
        <v>0</v>
      </c>
      <c r="O220" s="663">
        <f>O221</f>
        <v>1880865</v>
      </c>
      <c r="P220" s="664">
        <f t="shared" ref="P220" si="40">P221</f>
        <v>5176224</v>
      </c>
      <c r="Q220" s="20"/>
    </row>
    <row r="221" spans="1:18" ht="120" customHeight="1" thickTop="1" thickBot="1" x14ac:dyDescent="0.25">
      <c r="A221" s="658" t="s">
        <v>21</v>
      </c>
      <c r="B221" s="658"/>
      <c r="C221" s="658"/>
      <c r="D221" s="659" t="s">
        <v>35</v>
      </c>
      <c r="E221" s="660">
        <f>E222+E228+E243+E246+E253</f>
        <v>3295359</v>
      </c>
      <c r="F221" s="660">
        <f t="shared" ref="F221:I221" si="41">F222+F228+F243+F246+F253</f>
        <v>3295359</v>
      </c>
      <c r="G221" s="660">
        <f t="shared" si="41"/>
        <v>76680</v>
      </c>
      <c r="H221" s="660">
        <f t="shared" si="41"/>
        <v>0</v>
      </c>
      <c r="I221" s="660">
        <f t="shared" si="41"/>
        <v>0</v>
      </c>
      <c r="J221" s="660">
        <f>L221+O221</f>
        <v>1880865</v>
      </c>
      <c r="K221" s="660">
        <f t="shared" ref="K221:O221" si="42">K222+K228+K243+K246+K253</f>
        <v>1880865</v>
      </c>
      <c r="L221" s="660">
        <f t="shared" si="42"/>
        <v>0</v>
      </c>
      <c r="M221" s="660">
        <f t="shared" si="42"/>
        <v>0</v>
      </c>
      <c r="N221" s="660">
        <f t="shared" si="42"/>
        <v>0</v>
      </c>
      <c r="O221" s="660">
        <f t="shared" si="42"/>
        <v>1880865</v>
      </c>
      <c r="P221" s="660">
        <f>E221+J221</f>
        <v>5176224</v>
      </c>
      <c r="Q221" s="503" t="b">
        <f>P221=P226+P227+P230+P231+P233+P235+P236+P240+P241+P242+P238</f>
        <v>1</v>
      </c>
      <c r="R221" s="46"/>
    </row>
    <row r="222" spans="1:18" ht="47.25" thickTop="1" thickBot="1" x14ac:dyDescent="0.25">
      <c r="A222" s="311" t="s">
        <v>763</v>
      </c>
      <c r="B222" s="311" t="s">
        <v>711</v>
      </c>
      <c r="C222" s="311"/>
      <c r="D222" s="311" t="s">
        <v>712</v>
      </c>
      <c r="E222" s="328">
        <f>'d3'!E222-d3П!E217</f>
        <v>140000</v>
      </c>
      <c r="F222" s="328">
        <f>'d3'!F222-d3П!F217</f>
        <v>140000</v>
      </c>
      <c r="G222" s="328">
        <f>'d3'!G222-d3П!G217</f>
        <v>0</v>
      </c>
      <c r="H222" s="328">
        <f>'d3'!H222-d3П!H217</f>
        <v>0</v>
      </c>
      <c r="I222" s="328">
        <f>'d3'!I222-d3П!I217</f>
        <v>0</v>
      </c>
      <c r="J222" s="328">
        <f>'d3'!J222-d3П!J217</f>
        <v>133719</v>
      </c>
      <c r="K222" s="328">
        <f>'d3'!K222-d3П!K217</f>
        <v>133719</v>
      </c>
      <c r="L222" s="328">
        <f>'d3'!L222-d3П!L217</f>
        <v>0</v>
      </c>
      <c r="M222" s="328">
        <f>'d3'!M222-d3П!M217</f>
        <v>0</v>
      </c>
      <c r="N222" s="328">
        <f>'d3'!N222-d3П!N217</f>
        <v>0</v>
      </c>
      <c r="O222" s="328">
        <f>'d3'!O222-d3П!O217</f>
        <v>133719</v>
      </c>
      <c r="P222" s="328">
        <f>'d3'!P222-d3П!P217</f>
        <v>273719</v>
      </c>
      <c r="Q222" s="47"/>
      <c r="R222" s="46"/>
    </row>
    <row r="223" spans="1:18" s="33" customFormat="1" ht="48" hidden="1" thickTop="1" thickBot="1" x14ac:dyDescent="0.25">
      <c r="A223" s="329" t="s">
        <v>764</v>
      </c>
      <c r="B223" s="329" t="s">
        <v>765</v>
      </c>
      <c r="C223" s="329"/>
      <c r="D223" s="329" t="s">
        <v>766</v>
      </c>
      <c r="E223" s="328">
        <f>'d3'!E223-d3П!E218</f>
        <v>0</v>
      </c>
      <c r="F223" s="328">
        <f>'d3'!F223-d3П!F218</f>
        <v>0</v>
      </c>
      <c r="G223" s="328">
        <f>'d3'!G223-d3П!G218</f>
        <v>0</v>
      </c>
      <c r="H223" s="328">
        <f>'d3'!H223-d3П!H218</f>
        <v>0</v>
      </c>
      <c r="I223" s="328">
        <f>'d3'!I223-d3П!I218</f>
        <v>0</v>
      </c>
      <c r="J223" s="328">
        <f>'d3'!J223-d3П!J218</f>
        <v>0</v>
      </c>
      <c r="K223" s="328">
        <f>'d3'!K223-d3П!K218</f>
        <v>0</v>
      </c>
      <c r="L223" s="328">
        <f>'d3'!L223-d3П!L218</f>
        <v>0</v>
      </c>
      <c r="M223" s="328">
        <f>'d3'!M223-d3П!M218</f>
        <v>0</v>
      </c>
      <c r="N223" s="328">
        <f>'d3'!N223-d3П!N218</f>
        <v>0</v>
      </c>
      <c r="O223" s="328">
        <f>'d3'!O223-d3П!O218</f>
        <v>0</v>
      </c>
      <c r="P223" s="328">
        <f>'d3'!P223-d3П!P218</f>
        <v>0</v>
      </c>
      <c r="Q223" s="157"/>
      <c r="R223" s="52"/>
    </row>
    <row r="224" spans="1:18" ht="47.25" hidden="1" thickTop="1" thickBot="1" x14ac:dyDescent="0.25">
      <c r="A224" s="103" t="s">
        <v>183</v>
      </c>
      <c r="B224" s="103" t="s">
        <v>184</v>
      </c>
      <c r="C224" s="103" t="s">
        <v>185</v>
      </c>
      <c r="D224" s="103" t="s">
        <v>638</v>
      </c>
      <c r="E224" s="328">
        <f>'d3'!E224-d3П!E219</f>
        <v>0</v>
      </c>
      <c r="F224" s="328">
        <f>'d3'!F224-d3П!F219</f>
        <v>0</v>
      </c>
      <c r="G224" s="328">
        <f>'d3'!G224-d3П!G219</f>
        <v>0</v>
      </c>
      <c r="H224" s="328">
        <f>'d3'!H224-d3П!H219</f>
        <v>0</v>
      </c>
      <c r="I224" s="328">
        <f>'d3'!I224-d3П!I219</f>
        <v>0</v>
      </c>
      <c r="J224" s="328">
        <f>'d3'!J224-d3П!J219</f>
        <v>0</v>
      </c>
      <c r="K224" s="328">
        <f>'d3'!K224-d3П!K219</f>
        <v>0</v>
      </c>
      <c r="L224" s="328">
        <f>'d3'!L224-d3П!L219</f>
        <v>0</v>
      </c>
      <c r="M224" s="328">
        <f>'d3'!M224-d3П!M219</f>
        <v>0</v>
      </c>
      <c r="N224" s="328">
        <f>'d3'!N224-d3П!N219</f>
        <v>0</v>
      </c>
      <c r="O224" s="328">
        <f>'d3'!O224-d3П!O219</f>
        <v>0</v>
      </c>
      <c r="P224" s="328">
        <f>'d3'!P224-d3П!P219</f>
        <v>0</v>
      </c>
      <c r="Q224" s="50"/>
      <c r="R224" s="50"/>
    </row>
    <row r="225" spans="1:18" s="33" customFormat="1" ht="93" thickTop="1" thickBot="1" x14ac:dyDescent="0.25">
      <c r="A225" s="329" t="s">
        <v>767</v>
      </c>
      <c r="B225" s="329" t="s">
        <v>768</v>
      </c>
      <c r="C225" s="329"/>
      <c r="D225" s="329" t="s">
        <v>1554</v>
      </c>
      <c r="E225" s="328">
        <f>'d3'!E225-d3П!E220</f>
        <v>140000</v>
      </c>
      <c r="F225" s="328">
        <f>'d3'!F225-d3П!F220</f>
        <v>140000</v>
      </c>
      <c r="G225" s="328">
        <f>'d3'!G225-d3П!G220</f>
        <v>0</v>
      </c>
      <c r="H225" s="328">
        <f>'d3'!H225-d3П!H220</f>
        <v>0</v>
      </c>
      <c r="I225" s="328">
        <f>'d3'!I225-d3П!I220</f>
        <v>0</v>
      </c>
      <c r="J225" s="328">
        <f>'d3'!J225-d3П!J220</f>
        <v>133719</v>
      </c>
      <c r="K225" s="328">
        <f>'d3'!K225-d3П!K220</f>
        <v>133719</v>
      </c>
      <c r="L225" s="328">
        <f>'d3'!L225-d3П!L220</f>
        <v>0</v>
      </c>
      <c r="M225" s="328">
        <f>'d3'!M225-d3П!M220</f>
        <v>0</v>
      </c>
      <c r="N225" s="328">
        <f>'d3'!N225-d3П!N220</f>
        <v>0</v>
      </c>
      <c r="O225" s="328">
        <f>'d3'!O225-d3П!O220</f>
        <v>133719</v>
      </c>
      <c r="P225" s="328">
        <f>'d3'!P225-d3П!P220</f>
        <v>273719</v>
      </c>
      <c r="Q225" s="51"/>
      <c r="R225" s="51"/>
    </row>
    <row r="226" spans="1:18" ht="47.25" thickTop="1" thickBot="1" x14ac:dyDescent="0.25">
      <c r="A226" s="103" t="s">
        <v>189</v>
      </c>
      <c r="B226" s="103" t="s">
        <v>190</v>
      </c>
      <c r="C226" s="103" t="s">
        <v>185</v>
      </c>
      <c r="D226" s="103" t="s">
        <v>10</v>
      </c>
      <c r="E226" s="328">
        <f>'d3'!E226-d3П!E221</f>
        <v>0</v>
      </c>
      <c r="F226" s="328">
        <f>'d3'!F226-d3П!F221</f>
        <v>0</v>
      </c>
      <c r="G226" s="328">
        <f>'d3'!G226-d3П!G221</f>
        <v>0</v>
      </c>
      <c r="H226" s="328">
        <f>'d3'!H226-d3П!H221</f>
        <v>0</v>
      </c>
      <c r="I226" s="328">
        <f>'d3'!I226-d3П!I221</f>
        <v>0</v>
      </c>
      <c r="J226" s="328">
        <f>'d3'!J226-d3П!J221</f>
        <v>133719</v>
      </c>
      <c r="K226" s="328">
        <f>'d3'!K226-d3П!K221</f>
        <v>133719</v>
      </c>
      <c r="L226" s="328">
        <f>'d3'!L226-d3П!L221</f>
        <v>0</v>
      </c>
      <c r="M226" s="328">
        <f>'d3'!M226-d3П!M221</f>
        <v>0</v>
      </c>
      <c r="N226" s="328">
        <f>'d3'!N226-d3П!N221</f>
        <v>0</v>
      </c>
      <c r="O226" s="328">
        <f>'d3'!O226-d3П!O221</f>
        <v>133719</v>
      </c>
      <c r="P226" s="328">
        <f>'d3'!P226-d3П!P221</f>
        <v>133719</v>
      </c>
      <c r="Q226" s="20"/>
      <c r="R226" s="46"/>
    </row>
    <row r="227" spans="1:18" ht="47.25" thickTop="1" thickBot="1" x14ac:dyDescent="0.25">
      <c r="A227" s="103" t="s">
        <v>351</v>
      </c>
      <c r="B227" s="103" t="s">
        <v>352</v>
      </c>
      <c r="C227" s="103" t="s">
        <v>185</v>
      </c>
      <c r="D227" s="103" t="s">
        <v>353</v>
      </c>
      <c r="E227" s="328">
        <f>'d3'!E227-d3П!E222</f>
        <v>140000</v>
      </c>
      <c r="F227" s="328">
        <f>'d3'!F227-d3П!F222</f>
        <v>140000</v>
      </c>
      <c r="G227" s="328">
        <f>'d3'!G227-d3П!G222</f>
        <v>0</v>
      </c>
      <c r="H227" s="328">
        <f>'d3'!H227-d3П!H222</f>
        <v>0</v>
      </c>
      <c r="I227" s="328">
        <f>'d3'!I227-d3П!I222</f>
        <v>0</v>
      </c>
      <c r="J227" s="328">
        <f>'d3'!J227-d3П!J222</f>
        <v>0</v>
      </c>
      <c r="K227" s="328">
        <f>'d3'!K227-d3П!K222</f>
        <v>0</v>
      </c>
      <c r="L227" s="328">
        <f>'d3'!L227-d3П!L222</f>
        <v>0</v>
      </c>
      <c r="M227" s="328">
        <f>'d3'!M227-d3П!M222</f>
        <v>0</v>
      </c>
      <c r="N227" s="328">
        <f>'d3'!N227-d3П!N222</f>
        <v>0</v>
      </c>
      <c r="O227" s="328">
        <f>'d3'!O227-d3П!O222</f>
        <v>0</v>
      </c>
      <c r="P227" s="328">
        <f>'d3'!P227-d3П!P222</f>
        <v>140000</v>
      </c>
      <c r="Q227" s="20"/>
      <c r="R227" s="46"/>
    </row>
    <row r="228" spans="1:18" ht="47.25" thickTop="1" thickBot="1" x14ac:dyDescent="0.25">
      <c r="A228" s="311" t="s">
        <v>769</v>
      </c>
      <c r="B228" s="311" t="s">
        <v>770</v>
      </c>
      <c r="C228" s="103"/>
      <c r="D228" s="311" t="s">
        <v>771</v>
      </c>
      <c r="E228" s="328">
        <f>'d3'!E228-d3П!E223</f>
        <v>3155359</v>
      </c>
      <c r="F228" s="328">
        <f>'d3'!F228-d3П!F223</f>
        <v>3155359</v>
      </c>
      <c r="G228" s="328">
        <f>'d3'!G228-d3П!G223</f>
        <v>76680</v>
      </c>
      <c r="H228" s="328">
        <f>'d3'!H228-d3П!H223</f>
        <v>0</v>
      </c>
      <c r="I228" s="328">
        <f>'d3'!I228-d3П!I223</f>
        <v>0</v>
      </c>
      <c r="J228" s="328">
        <f>'d3'!J228-d3П!J223</f>
        <v>1747146</v>
      </c>
      <c r="K228" s="328">
        <f>'d3'!K228-d3П!K223</f>
        <v>1747146</v>
      </c>
      <c r="L228" s="328">
        <f>'d3'!L228-d3П!L223</f>
        <v>0</v>
      </c>
      <c r="M228" s="328">
        <f>'d3'!M228-d3П!M223</f>
        <v>0</v>
      </c>
      <c r="N228" s="328">
        <f>'d3'!N228-d3П!N223</f>
        <v>0</v>
      </c>
      <c r="O228" s="328">
        <f>'d3'!O228-d3П!O223</f>
        <v>1747146</v>
      </c>
      <c r="P228" s="328">
        <f>'d3'!P228-d3П!P223</f>
        <v>4902505</v>
      </c>
      <c r="Q228" s="20"/>
      <c r="R228" s="46"/>
    </row>
    <row r="229" spans="1:18" s="33" customFormat="1" ht="48" thickTop="1" thickBot="1" x14ac:dyDescent="0.25">
      <c r="A229" s="329" t="s">
        <v>772</v>
      </c>
      <c r="B229" s="329" t="s">
        <v>773</v>
      </c>
      <c r="C229" s="329"/>
      <c r="D229" s="329" t="s">
        <v>774</v>
      </c>
      <c r="E229" s="328">
        <f>'d3'!E229-d3П!E224</f>
        <v>2550000</v>
      </c>
      <c r="F229" s="328">
        <f>'d3'!F229-d3П!F224</f>
        <v>2550000</v>
      </c>
      <c r="G229" s="328">
        <f>'d3'!G229-d3П!G224</f>
        <v>0</v>
      </c>
      <c r="H229" s="328">
        <f>'d3'!H229-d3П!H224</f>
        <v>0</v>
      </c>
      <c r="I229" s="328">
        <f>'d3'!I229-d3П!I224</f>
        <v>0</v>
      </c>
      <c r="J229" s="328">
        <f>'d3'!J229-d3П!J224</f>
        <v>0</v>
      </c>
      <c r="K229" s="328">
        <f>'d3'!K229-d3П!K224</f>
        <v>0</v>
      </c>
      <c r="L229" s="328">
        <f>'d3'!L229-d3П!L224</f>
        <v>0</v>
      </c>
      <c r="M229" s="328">
        <f>'d3'!M229-d3П!M224</f>
        <v>0</v>
      </c>
      <c r="N229" s="328">
        <f>'d3'!N229-d3П!N224</f>
        <v>0</v>
      </c>
      <c r="O229" s="328">
        <f>'d3'!O229-d3П!O224</f>
        <v>0</v>
      </c>
      <c r="P229" s="328">
        <f>'d3'!P229-d3П!P224</f>
        <v>2550000</v>
      </c>
      <c r="Q229" s="36"/>
      <c r="R229" s="52"/>
    </row>
    <row r="230" spans="1:18" ht="47.25" thickTop="1" thickBot="1" x14ac:dyDescent="0.25">
      <c r="A230" s="103" t="s">
        <v>44</v>
      </c>
      <c r="B230" s="103" t="s">
        <v>186</v>
      </c>
      <c r="C230" s="103" t="s">
        <v>195</v>
      </c>
      <c r="D230" s="103" t="s">
        <v>45</v>
      </c>
      <c r="E230" s="328">
        <f>'d3'!E230-d3П!E225</f>
        <v>2100000</v>
      </c>
      <c r="F230" s="328">
        <f>'d3'!F230-d3П!F225</f>
        <v>2100000</v>
      </c>
      <c r="G230" s="328">
        <f>'d3'!G230-d3П!G225</f>
        <v>0</v>
      </c>
      <c r="H230" s="328">
        <f>'d3'!H230-d3П!H225</f>
        <v>0</v>
      </c>
      <c r="I230" s="328">
        <f>'d3'!I230-d3П!I225</f>
        <v>0</v>
      </c>
      <c r="J230" s="328">
        <f>'d3'!J230-d3П!J225</f>
        <v>0</v>
      </c>
      <c r="K230" s="328">
        <f>'d3'!K230-d3П!K225</f>
        <v>0</v>
      </c>
      <c r="L230" s="328">
        <f>'d3'!L230-d3П!L225</f>
        <v>0</v>
      </c>
      <c r="M230" s="328">
        <f>'d3'!M230-d3П!M225</f>
        <v>0</v>
      </c>
      <c r="N230" s="328">
        <f>'d3'!N230-d3П!N225</f>
        <v>0</v>
      </c>
      <c r="O230" s="328">
        <f>'d3'!O230-d3П!O225</f>
        <v>0</v>
      </c>
      <c r="P230" s="328">
        <f>'d3'!P230-d3П!P225</f>
        <v>2100000</v>
      </c>
      <c r="Q230" s="20"/>
      <c r="R230" s="46"/>
    </row>
    <row r="231" spans="1:18" ht="93" thickTop="1" thickBot="1" x14ac:dyDescent="0.25">
      <c r="A231" s="103" t="s">
        <v>46</v>
      </c>
      <c r="B231" s="103" t="s">
        <v>187</v>
      </c>
      <c r="C231" s="103" t="s">
        <v>195</v>
      </c>
      <c r="D231" s="103" t="s">
        <v>4</v>
      </c>
      <c r="E231" s="328">
        <f>'d3'!E231-d3П!E226</f>
        <v>450000</v>
      </c>
      <c r="F231" s="328">
        <f>'d3'!F231-d3П!F226</f>
        <v>450000</v>
      </c>
      <c r="G231" s="328">
        <f>'d3'!G231-d3П!G226</f>
        <v>0</v>
      </c>
      <c r="H231" s="328">
        <f>'d3'!H231-d3П!H226</f>
        <v>0</v>
      </c>
      <c r="I231" s="328">
        <f>'d3'!I231-d3П!I226</f>
        <v>0</v>
      </c>
      <c r="J231" s="328">
        <f>'d3'!J231-d3П!J226</f>
        <v>0</v>
      </c>
      <c r="K231" s="328">
        <f>'d3'!K231-d3П!K226</f>
        <v>0</v>
      </c>
      <c r="L231" s="328">
        <f>'d3'!L231-d3П!L226</f>
        <v>0</v>
      </c>
      <c r="M231" s="328">
        <f>'d3'!M231-d3П!M226</f>
        <v>0</v>
      </c>
      <c r="N231" s="328">
        <f>'d3'!N231-d3П!N226</f>
        <v>0</v>
      </c>
      <c r="O231" s="328">
        <f>'d3'!O231-d3П!O226</f>
        <v>0</v>
      </c>
      <c r="P231" s="328">
        <f>'d3'!P231-d3П!P226</f>
        <v>450000</v>
      </c>
      <c r="Q231" s="20"/>
      <c r="R231" s="46"/>
    </row>
    <row r="232" spans="1:18" s="33" customFormat="1" ht="93" thickTop="1" thickBot="1" x14ac:dyDescent="0.25">
      <c r="A232" s="329" t="s">
        <v>775</v>
      </c>
      <c r="B232" s="329" t="s">
        <v>776</v>
      </c>
      <c r="C232" s="329"/>
      <c r="D232" s="329" t="s">
        <v>777</v>
      </c>
      <c r="E232" s="328">
        <f>'d3'!E232-d3П!E227</f>
        <v>0</v>
      </c>
      <c r="F232" s="328">
        <f>'d3'!F232-d3П!F227</f>
        <v>0</v>
      </c>
      <c r="G232" s="328">
        <f>'d3'!G232-d3П!G227</f>
        <v>0</v>
      </c>
      <c r="H232" s="328">
        <f>'d3'!H232-d3П!H227</f>
        <v>0</v>
      </c>
      <c r="I232" s="328">
        <f>'d3'!I232-d3П!I227</f>
        <v>0</v>
      </c>
      <c r="J232" s="328">
        <f>'d3'!J232-d3П!J227</f>
        <v>0</v>
      </c>
      <c r="K232" s="328">
        <f>'d3'!K232-d3П!K227</f>
        <v>0</v>
      </c>
      <c r="L232" s="328">
        <f>'d3'!L232-d3П!L227</f>
        <v>0</v>
      </c>
      <c r="M232" s="328">
        <f>'d3'!M232-d3П!M227</f>
        <v>0</v>
      </c>
      <c r="N232" s="328">
        <f>'d3'!N232-d3П!N227</f>
        <v>0</v>
      </c>
      <c r="O232" s="328">
        <f>'d3'!O232-d3П!O227</f>
        <v>0</v>
      </c>
      <c r="P232" s="328">
        <f>'d3'!P232-d3П!P227</f>
        <v>0</v>
      </c>
      <c r="Q232" s="36"/>
      <c r="R232" s="53"/>
    </row>
    <row r="233" spans="1:18" ht="93" thickTop="1" thickBot="1" x14ac:dyDescent="0.25">
      <c r="A233" s="103" t="s">
        <v>47</v>
      </c>
      <c r="B233" s="103" t="s">
        <v>188</v>
      </c>
      <c r="C233" s="103" t="s">
        <v>195</v>
      </c>
      <c r="D233" s="103" t="s">
        <v>349</v>
      </c>
      <c r="E233" s="328">
        <f>'d3'!E233-d3П!E228</f>
        <v>0</v>
      </c>
      <c r="F233" s="328">
        <f>'d3'!F233-d3П!F228</f>
        <v>0</v>
      </c>
      <c r="G233" s="328">
        <f>'d3'!G233-d3П!G228</f>
        <v>0</v>
      </c>
      <c r="H233" s="328">
        <f>'d3'!H233-d3П!H228</f>
        <v>0</v>
      </c>
      <c r="I233" s="328">
        <f>'d3'!I233-d3П!I228</f>
        <v>0</v>
      </c>
      <c r="J233" s="328">
        <f>'d3'!J233-d3П!J228</f>
        <v>0</v>
      </c>
      <c r="K233" s="328">
        <f>'d3'!K233-d3П!K228</f>
        <v>0</v>
      </c>
      <c r="L233" s="328">
        <f>'d3'!L233-d3П!L228</f>
        <v>0</v>
      </c>
      <c r="M233" s="328">
        <f>'d3'!M233-d3П!M228</f>
        <v>0</v>
      </c>
      <c r="N233" s="328">
        <f>'d3'!N233-d3П!N228</f>
        <v>0</v>
      </c>
      <c r="O233" s="328">
        <f>'d3'!O233-d3П!O228</f>
        <v>0</v>
      </c>
      <c r="P233" s="328">
        <f>'d3'!P233-d3П!P228</f>
        <v>0</v>
      </c>
      <c r="Q233" s="20"/>
      <c r="R233" s="46"/>
    </row>
    <row r="234" spans="1:18" ht="47.25" thickTop="1" thickBot="1" x14ac:dyDescent="0.25">
      <c r="A234" s="329" t="s">
        <v>778</v>
      </c>
      <c r="B234" s="329" t="s">
        <v>779</v>
      </c>
      <c r="C234" s="329"/>
      <c r="D234" s="329" t="s">
        <v>780</v>
      </c>
      <c r="E234" s="328">
        <f>'d3'!E234-d3П!E229</f>
        <v>571809</v>
      </c>
      <c r="F234" s="328">
        <f>'d3'!F234-d3П!F229</f>
        <v>571809</v>
      </c>
      <c r="G234" s="328">
        <f>'d3'!G234-d3П!G229</f>
        <v>0</v>
      </c>
      <c r="H234" s="328">
        <f>'d3'!H234-d3П!H229</f>
        <v>0</v>
      </c>
      <c r="I234" s="328">
        <f>'d3'!I234-d3П!I229</f>
        <v>0</v>
      </c>
      <c r="J234" s="328">
        <f>'d3'!J234-d3П!J229</f>
        <v>1747146</v>
      </c>
      <c r="K234" s="328">
        <f>'d3'!K234-d3П!K229</f>
        <v>1747146</v>
      </c>
      <c r="L234" s="328">
        <f>'d3'!L234-d3П!L229</f>
        <v>0</v>
      </c>
      <c r="M234" s="328">
        <f>'d3'!M234-d3П!M229</f>
        <v>0</v>
      </c>
      <c r="N234" s="328">
        <f>'d3'!N234-d3П!N229</f>
        <v>0</v>
      </c>
      <c r="O234" s="328">
        <f>'d3'!O234-d3П!O229</f>
        <v>1747146</v>
      </c>
      <c r="P234" s="328">
        <f>'d3'!P234-d3П!P229</f>
        <v>2318955</v>
      </c>
      <c r="Q234" s="20"/>
      <c r="R234" s="46"/>
    </row>
    <row r="235" spans="1:18" ht="93" thickTop="1" thickBot="1" x14ac:dyDescent="0.25">
      <c r="A235" s="103" t="s">
        <v>28</v>
      </c>
      <c r="B235" s="103" t="s">
        <v>192</v>
      </c>
      <c r="C235" s="103" t="s">
        <v>195</v>
      </c>
      <c r="D235" s="103" t="s">
        <v>48</v>
      </c>
      <c r="E235" s="328">
        <f>'d3'!E235-d3П!E230</f>
        <v>571809</v>
      </c>
      <c r="F235" s="328">
        <f>'d3'!F235-d3П!F230</f>
        <v>571809</v>
      </c>
      <c r="G235" s="328">
        <f>'d3'!G235-d3П!G230</f>
        <v>0</v>
      </c>
      <c r="H235" s="328">
        <f>'d3'!H235-d3П!H230</f>
        <v>0</v>
      </c>
      <c r="I235" s="328">
        <f>'d3'!I235-d3П!I230</f>
        <v>0</v>
      </c>
      <c r="J235" s="328">
        <f>'d3'!J235-d3П!J230</f>
        <v>1747146</v>
      </c>
      <c r="K235" s="328">
        <f>'d3'!K235-d3П!K230</f>
        <v>1747146</v>
      </c>
      <c r="L235" s="328">
        <f>'d3'!L235-d3П!L230</f>
        <v>0</v>
      </c>
      <c r="M235" s="328">
        <f>'d3'!M235-d3П!M230</f>
        <v>0</v>
      </c>
      <c r="N235" s="328">
        <f>'d3'!N235-d3П!N230</f>
        <v>0</v>
      </c>
      <c r="O235" s="328">
        <f>'d3'!O235-d3П!O230</f>
        <v>1747146</v>
      </c>
      <c r="P235" s="328">
        <f>'d3'!P235-d3П!P230</f>
        <v>2318955</v>
      </c>
      <c r="Q235" s="20"/>
      <c r="R235" s="46"/>
    </row>
    <row r="236" spans="1:18" ht="93" thickTop="1" thickBot="1" x14ac:dyDescent="0.25">
      <c r="A236" s="103" t="s">
        <v>29</v>
      </c>
      <c r="B236" s="103" t="s">
        <v>193</v>
      </c>
      <c r="C236" s="103" t="s">
        <v>195</v>
      </c>
      <c r="D236" s="103" t="s">
        <v>49</v>
      </c>
      <c r="E236" s="328">
        <f>'d3'!E236-d3П!E231</f>
        <v>0</v>
      </c>
      <c r="F236" s="328">
        <f>'d3'!F236-d3П!F231</f>
        <v>0</v>
      </c>
      <c r="G236" s="328">
        <f>'d3'!G236-d3П!G231</f>
        <v>0</v>
      </c>
      <c r="H236" s="328">
        <f>'d3'!H236-d3П!H231</f>
        <v>0</v>
      </c>
      <c r="I236" s="328">
        <f>'d3'!I236-d3П!I231</f>
        <v>0</v>
      </c>
      <c r="J236" s="328">
        <f>'d3'!J236-d3П!J231</f>
        <v>0</v>
      </c>
      <c r="K236" s="328">
        <f>'d3'!K236-d3П!K231</f>
        <v>0</v>
      </c>
      <c r="L236" s="328">
        <f>'d3'!L236-d3П!L231</f>
        <v>0</v>
      </c>
      <c r="M236" s="328">
        <f>'d3'!M236-d3П!M231</f>
        <v>0</v>
      </c>
      <c r="N236" s="328">
        <f>'d3'!N236-d3П!N231</f>
        <v>0</v>
      </c>
      <c r="O236" s="328">
        <f>'d3'!O236-d3П!O231</f>
        <v>0</v>
      </c>
      <c r="P236" s="328">
        <f>'d3'!P236-d3П!P231</f>
        <v>0</v>
      </c>
      <c r="Q236" s="20"/>
      <c r="R236" s="46"/>
    </row>
    <row r="237" spans="1:18" ht="69.75" customHeight="1" thickTop="1" thickBot="1" x14ac:dyDescent="0.25">
      <c r="A237" s="673" t="s">
        <v>1378</v>
      </c>
      <c r="B237" s="669" t="s">
        <v>816</v>
      </c>
      <c r="C237" s="669"/>
      <c r="D237" s="669" t="s">
        <v>817</v>
      </c>
      <c r="E237" s="328">
        <f>'d3'!E237-d3П!E232</f>
        <v>93550</v>
      </c>
      <c r="F237" s="328">
        <f>'d3'!F237-d3П!F232</f>
        <v>93550</v>
      </c>
      <c r="G237" s="328">
        <f>'d3'!G237-d3П!G232</f>
        <v>76680</v>
      </c>
      <c r="H237" s="328">
        <f>'d3'!H237-d3П!H232</f>
        <v>0</v>
      </c>
      <c r="I237" s="328">
        <f>'d3'!I237-d3П!I232</f>
        <v>0</v>
      </c>
      <c r="J237" s="328">
        <f>'d3'!J237-d3П!J232</f>
        <v>0</v>
      </c>
      <c r="K237" s="328">
        <f>'d3'!K237-d3П!K232</f>
        <v>0</v>
      </c>
      <c r="L237" s="328">
        <f>'d3'!L237-d3П!L232</f>
        <v>0</v>
      </c>
      <c r="M237" s="328">
        <f>'d3'!M237-d3П!M232</f>
        <v>0</v>
      </c>
      <c r="N237" s="328">
        <f>'d3'!N237-d3П!N232</f>
        <v>0</v>
      </c>
      <c r="O237" s="328">
        <f>'d3'!O237-d3П!O232</f>
        <v>0</v>
      </c>
      <c r="P237" s="328">
        <f>'d3'!P237-d3П!P232</f>
        <v>93550</v>
      </c>
      <c r="Q237" s="20"/>
      <c r="R237" s="46"/>
    </row>
    <row r="238" spans="1:18" ht="93" thickTop="1" thickBot="1" x14ac:dyDescent="0.25">
      <c r="A238" s="665" t="s">
        <v>1379</v>
      </c>
      <c r="B238" s="665" t="s">
        <v>1380</v>
      </c>
      <c r="C238" s="665" t="s">
        <v>195</v>
      </c>
      <c r="D238" s="665" t="s">
        <v>1381</v>
      </c>
      <c r="E238" s="328">
        <f>'d3'!E238-d3П!E233</f>
        <v>93550</v>
      </c>
      <c r="F238" s="328">
        <f>'d3'!F238-d3П!F233</f>
        <v>93550</v>
      </c>
      <c r="G238" s="328">
        <f>'d3'!G238-d3П!G233</f>
        <v>76680</v>
      </c>
      <c r="H238" s="328">
        <f>'d3'!H238-d3П!H233</f>
        <v>0</v>
      </c>
      <c r="I238" s="328">
        <f>'d3'!I238-d3П!I233</f>
        <v>0</v>
      </c>
      <c r="J238" s="328">
        <f>'d3'!J238-d3П!J233</f>
        <v>0</v>
      </c>
      <c r="K238" s="328">
        <f>'d3'!K238-d3П!K233</f>
        <v>0</v>
      </c>
      <c r="L238" s="328">
        <f>'d3'!L238-d3П!L233</f>
        <v>0</v>
      </c>
      <c r="M238" s="328">
        <f>'d3'!M238-d3П!M233</f>
        <v>0</v>
      </c>
      <c r="N238" s="328">
        <f>'d3'!N238-d3П!N233</f>
        <v>0</v>
      </c>
      <c r="O238" s="328">
        <f>'d3'!O238-d3П!O233</f>
        <v>0</v>
      </c>
      <c r="P238" s="328">
        <f>'d3'!P238-d3П!P233</f>
        <v>93550</v>
      </c>
      <c r="Q238" s="20"/>
      <c r="R238" s="46"/>
    </row>
    <row r="239" spans="1:18" ht="47.25" thickTop="1" thickBot="1" x14ac:dyDescent="0.25">
      <c r="A239" s="589" t="s">
        <v>781</v>
      </c>
      <c r="B239" s="329" t="s">
        <v>782</v>
      </c>
      <c r="C239" s="329"/>
      <c r="D239" s="329" t="s">
        <v>783</v>
      </c>
      <c r="E239" s="328">
        <f>'d3'!E239-d3П!E234</f>
        <v>-60000</v>
      </c>
      <c r="F239" s="328">
        <f>'d3'!F239-d3П!F234</f>
        <v>-60000</v>
      </c>
      <c r="G239" s="328">
        <f>'d3'!G239-d3П!G234</f>
        <v>0</v>
      </c>
      <c r="H239" s="328">
        <f>'d3'!H239-d3П!H234</f>
        <v>0</v>
      </c>
      <c r="I239" s="328">
        <f>'d3'!I239-d3П!I234</f>
        <v>0</v>
      </c>
      <c r="J239" s="328">
        <f>'d3'!J239-d3П!J234</f>
        <v>0</v>
      </c>
      <c r="K239" s="328">
        <f>'d3'!K239-d3П!K234</f>
        <v>0</v>
      </c>
      <c r="L239" s="328">
        <f>'d3'!L239-d3П!L234</f>
        <v>0</v>
      </c>
      <c r="M239" s="328">
        <f>'d3'!M239-d3П!M234</f>
        <v>0</v>
      </c>
      <c r="N239" s="328">
        <f>'d3'!N239-d3П!N234</f>
        <v>0</v>
      </c>
      <c r="O239" s="328">
        <f>'d3'!O239-d3П!O234</f>
        <v>0</v>
      </c>
      <c r="P239" s="328">
        <f>'d3'!P239-d3П!P234</f>
        <v>-60000</v>
      </c>
      <c r="Q239" s="20"/>
      <c r="R239" s="46"/>
    </row>
    <row r="240" spans="1:18" ht="93" thickTop="1" thickBot="1" x14ac:dyDescent="0.25">
      <c r="A240" s="590" t="s">
        <v>30</v>
      </c>
      <c r="B240" s="590" t="s">
        <v>194</v>
      </c>
      <c r="C240" s="590" t="s">
        <v>195</v>
      </c>
      <c r="D240" s="103" t="s">
        <v>31</v>
      </c>
      <c r="E240" s="328">
        <f>'d3'!E240-d3П!E235</f>
        <v>0</v>
      </c>
      <c r="F240" s="328">
        <f>'d3'!F240-d3П!F235</f>
        <v>0</v>
      </c>
      <c r="G240" s="328">
        <f>'d3'!G240-d3П!G235</f>
        <v>0</v>
      </c>
      <c r="H240" s="328">
        <f>'d3'!H240-d3П!H235</f>
        <v>0</v>
      </c>
      <c r="I240" s="328">
        <f>'d3'!I240-d3П!I235</f>
        <v>0</v>
      </c>
      <c r="J240" s="328">
        <f>'d3'!J240-d3П!J235</f>
        <v>0</v>
      </c>
      <c r="K240" s="328">
        <f>'d3'!K240-d3П!K235</f>
        <v>0</v>
      </c>
      <c r="L240" s="328">
        <f>'d3'!L240-d3П!L235</f>
        <v>0</v>
      </c>
      <c r="M240" s="328">
        <f>'d3'!M240-d3П!M235</f>
        <v>0</v>
      </c>
      <c r="N240" s="328">
        <f>'d3'!N240-d3П!N235</f>
        <v>0</v>
      </c>
      <c r="O240" s="328">
        <f>'d3'!O240-d3П!O235</f>
        <v>0</v>
      </c>
      <c r="P240" s="328">
        <f>'d3'!P240-d3П!P235</f>
        <v>0</v>
      </c>
      <c r="Q240" s="20"/>
      <c r="R240" s="46"/>
    </row>
    <row r="241" spans="1:18" ht="93" thickTop="1" thickBot="1" x14ac:dyDescent="0.25">
      <c r="A241" s="590" t="s">
        <v>512</v>
      </c>
      <c r="B241" s="590" t="s">
        <v>510</v>
      </c>
      <c r="C241" s="590" t="s">
        <v>195</v>
      </c>
      <c r="D241" s="103" t="s">
        <v>511</v>
      </c>
      <c r="E241" s="328">
        <f>'d3'!E241-d3П!E236</f>
        <v>-60000</v>
      </c>
      <c r="F241" s="328">
        <f>'d3'!F241-d3П!F236</f>
        <v>-60000</v>
      </c>
      <c r="G241" s="328">
        <f>'d3'!G241-d3П!G236</f>
        <v>0</v>
      </c>
      <c r="H241" s="328">
        <f>'d3'!H241-d3П!H236</f>
        <v>0</v>
      </c>
      <c r="I241" s="328">
        <f>'d3'!I241-d3П!I236</f>
        <v>0</v>
      </c>
      <c r="J241" s="328">
        <f>'d3'!J241-d3П!J236</f>
        <v>0</v>
      </c>
      <c r="K241" s="328">
        <f>'d3'!K241-d3П!K236</f>
        <v>0</v>
      </c>
      <c r="L241" s="328">
        <f>'d3'!L241-d3П!L236</f>
        <v>0</v>
      </c>
      <c r="M241" s="328">
        <f>'d3'!M241-d3П!M236</f>
        <v>0</v>
      </c>
      <c r="N241" s="328">
        <f>'d3'!N241-d3П!N236</f>
        <v>0</v>
      </c>
      <c r="O241" s="328">
        <f>'d3'!O241-d3П!O236</f>
        <v>0</v>
      </c>
      <c r="P241" s="328">
        <f>'d3'!P241-d3П!P236</f>
        <v>-60000</v>
      </c>
      <c r="Q241" s="20"/>
      <c r="R241" s="46"/>
    </row>
    <row r="242" spans="1:18" ht="47.25" thickTop="1" thickBot="1" x14ac:dyDescent="0.25">
      <c r="A242" s="590" t="s">
        <v>32</v>
      </c>
      <c r="B242" s="590" t="s">
        <v>196</v>
      </c>
      <c r="C242" s="590" t="s">
        <v>195</v>
      </c>
      <c r="D242" s="103" t="s">
        <v>33</v>
      </c>
      <c r="E242" s="328">
        <f>'d3'!E242-d3П!E237</f>
        <v>0</v>
      </c>
      <c r="F242" s="328">
        <f>'d3'!F242-d3П!F237</f>
        <v>0</v>
      </c>
      <c r="G242" s="328">
        <f>'d3'!G242-d3П!G237</f>
        <v>0</v>
      </c>
      <c r="H242" s="328">
        <f>'d3'!H242-d3П!H237</f>
        <v>0</v>
      </c>
      <c r="I242" s="328">
        <f>'d3'!I242-d3П!I237</f>
        <v>0</v>
      </c>
      <c r="J242" s="328">
        <f>'d3'!J242-d3П!J237</f>
        <v>0</v>
      </c>
      <c r="K242" s="328">
        <f>'d3'!K242-d3П!K237</f>
        <v>0</v>
      </c>
      <c r="L242" s="328">
        <f>'d3'!L242-d3П!L237</f>
        <v>0</v>
      </c>
      <c r="M242" s="328">
        <f>'d3'!M242-d3П!M237</f>
        <v>0</v>
      </c>
      <c r="N242" s="328">
        <f>'d3'!N242-d3П!N237</f>
        <v>0</v>
      </c>
      <c r="O242" s="328">
        <f>'d3'!O242-d3П!O237</f>
        <v>0</v>
      </c>
      <c r="P242" s="328">
        <f>'d3'!P242-d3П!P237</f>
        <v>0</v>
      </c>
      <c r="Q242" s="20"/>
      <c r="R242" s="46"/>
    </row>
    <row r="243" spans="1:18" ht="47.25" hidden="1" thickTop="1" thickBot="1" x14ac:dyDescent="0.25">
      <c r="A243" s="125" t="s">
        <v>784</v>
      </c>
      <c r="B243" s="125" t="s">
        <v>742</v>
      </c>
      <c r="C243" s="125"/>
      <c r="D243" s="408" t="s">
        <v>743</v>
      </c>
      <c r="E243" s="152">
        <f>E244</f>
        <v>0</v>
      </c>
      <c r="F243" s="152">
        <f t="shared" ref="F243:P244" si="43">F244</f>
        <v>0</v>
      </c>
      <c r="G243" s="152">
        <f t="shared" si="43"/>
        <v>0</v>
      </c>
      <c r="H243" s="152">
        <f t="shared" si="43"/>
        <v>0</v>
      </c>
      <c r="I243" s="152">
        <f t="shared" si="43"/>
        <v>0</v>
      </c>
      <c r="J243" s="152">
        <f t="shared" si="43"/>
        <v>0</v>
      </c>
      <c r="K243" s="152">
        <f t="shared" si="43"/>
        <v>0</v>
      </c>
      <c r="L243" s="152">
        <f t="shared" si="43"/>
        <v>0</v>
      </c>
      <c r="M243" s="152">
        <f t="shared" si="43"/>
        <v>0</v>
      </c>
      <c r="N243" s="152">
        <f t="shared" si="43"/>
        <v>0</v>
      </c>
      <c r="O243" s="152">
        <f t="shared" si="43"/>
        <v>0</v>
      </c>
      <c r="P243" s="152">
        <f t="shared" si="43"/>
        <v>0</v>
      </c>
      <c r="Q243" s="20"/>
      <c r="R243" s="46"/>
    </row>
    <row r="244" spans="1:18" ht="48" hidden="1" thickTop="1" thickBot="1" x14ac:dyDescent="0.25">
      <c r="A244" s="409" t="s">
        <v>785</v>
      </c>
      <c r="B244" s="409" t="s">
        <v>745</v>
      </c>
      <c r="C244" s="409"/>
      <c r="D244" s="140" t="s">
        <v>746</v>
      </c>
      <c r="E244" s="158">
        <f>E245</f>
        <v>0</v>
      </c>
      <c r="F244" s="158">
        <f t="shared" si="43"/>
        <v>0</v>
      </c>
      <c r="G244" s="158">
        <f t="shared" si="43"/>
        <v>0</v>
      </c>
      <c r="H244" s="158">
        <f t="shared" si="43"/>
        <v>0</v>
      </c>
      <c r="I244" s="158">
        <f t="shared" si="43"/>
        <v>0</v>
      </c>
      <c r="J244" s="158">
        <f t="shared" si="43"/>
        <v>0</v>
      </c>
      <c r="K244" s="158">
        <f t="shared" si="43"/>
        <v>0</v>
      </c>
      <c r="L244" s="158">
        <f t="shared" si="43"/>
        <v>0</v>
      </c>
      <c r="M244" s="158">
        <f t="shared" si="43"/>
        <v>0</v>
      </c>
      <c r="N244" s="158">
        <f t="shared" si="43"/>
        <v>0</v>
      </c>
      <c r="O244" s="158">
        <f t="shared" si="43"/>
        <v>0</v>
      </c>
      <c r="P244" s="158">
        <f t="shared" si="43"/>
        <v>0</v>
      </c>
      <c r="Q244" s="20"/>
      <c r="R244" s="46"/>
    </row>
    <row r="245" spans="1:18" ht="93" hidden="1" thickTop="1" thickBot="1" x14ac:dyDescent="0.25">
      <c r="A245" s="410" t="s">
        <v>342</v>
      </c>
      <c r="B245" s="410" t="s">
        <v>341</v>
      </c>
      <c r="C245" s="410" t="s">
        <v>340</v>
      </c>
      <c r="D245" s="128" t="s">
        <v>639</v>
      </c>
      <c r="E245" s="152">
        <f>F245</f>
        <v>0</v>
      </c>
      <c r="F245" s="129"/>
      <c r="G245" s="134"/>
      <c r="H245" s="134"/>
      <c r="I245" s="134"/>
      <c r="J245" s="127">
        <f t="shared" ref="J245:J252" si="44">L245+O245</f>
        <v>0</v>
      </c>
      <c r="K245" s="134"/>
      <c r="L245" s="134"/>
      <c r="M245" s="134"/>
      <c r="N245" s="134"/>
      <c r="O245" s="132">
        <f t="shared" ref="O245:O252" si="45">K245</f>
        <v>0</v>
      </c>
      <c r="P245" s="127">
        <f t="shared" ref="P245:P252" si="46">E245+J245</f>
        <v>0</v>
      </c>
      <c r="Q245" s="20"/>
      <c r="R245" s="50"/>
    </row>
    <row r="246" spans="1:18" ht="47.25" hidden="1" thickTop="1" thickBot="1" x14ac:dyDescent="0.25">
      <c r="A246" s="125" t="s">
        <v>786</v>
      </c>
      <c r="B246" s="125" t="s">
        <v>748</v>
      </c>
      <c r="C246" s="125"/>
      <c r="D246" s="125" t="s">
        <v>749</v>
      </c>
      <c r="E246" s="152">
        <f>E250+E247</f>
        <v>0</v>
      </c>
      <c r="F246" s="152">
        <f t="shared" ref="F246:P246" si="47">F250+F247</f>
        <v>0</v>
      </c>
      <c r="G246" s="152">
        <f t="shared" si="47"/>
        <v>0</v>
      </c>
      <c r="H246" s="152">
        <f t="shared" si="47"/>
        <v>0</v>
      </c>
      <c r="I246" s="152">
        <f t="shared" si="47"/>
        <v>0</v>
      </c>
      <c r="J246" s="152">
        <f t="shared" si="47"/>
        <v>0</v>
      </c>
      <c r="K246" s="152">
        <f t="shared" si="47"/>
        <v>0</v>
      </c>
      <c r="L246" s="152">
        <f t="shared" si="47"/>
        <v>0</v>
      </c>
      <c r="M246" s="152">
        <f t="shared" si="47"/>
        <v>0</v>
      </c>
      <c r="N246" s="152">
        <f t="shared" si="47"/>
        <v>0</v>
      </c>
      <c r="O246" s="152">
        <f t="shared" si="47"/>
        <v>0</v>
      </c>
      <c r="P246" s="152">
        <f t="shared" si="47"/>
        <v>0</v>
      </c>
      <c r="Q246" s="20"/>
      <c r="R246" s="50"/>
    </row>
    <row r="247" spans="1:18" ht="47.25" hidden="1" thickTop="1" thickBot="1" x14ac:dyDescent="0.25">
      <c r="A247" s="136" t="s">
        <v>1099</v>
      </c>
      <c r="B247" s="136" t="s">
        <v>803</v>
      </c>
      <c r="C247" s="136"/>
      <c r="D247" s="136" t="s">
        <v>804</v>
      </c>
      <c r="E247" s="137">
        <f>E248</f>
        <v>0</v>
      </c>
      <c r="F247" s="137">
        <f t="shared" ref="F247:P248" si="48">F248</f>
        <v>0</v>
      </c>
      <c r="G247" s="137">
        <f t="shared" si="48"/>
        <v>0</v>
      </c>
      <c r="H247" s="137">
        <f t="shared" si="48"/>
        <v>0</v>
      </c>
      <c r="I247" s="137">
        <f t="shared" si="48"/>
        <v>0</v>
      </c>
      <c r="J247" s="137">
        <f t="shared" si="48"/>
        <v>0</v>
      </c>
      <c r="K247" s="137">
        <f t="shared" si="48"/>
        <v>0</v>
      </c>
      <c r="L247" s="137">
        <f t="shared" si="48"/>
        <v>0</v>
      </c>
      <c r="M247" s="137">
        <f t="shared" si="48"/>
        <v>0</v>
      </c>
      <c r="N247" s="137">
        <f t="shared" si="48"/>
        <v>0</v>
      </c>
      <c r="O247" s="137">
        <f t="shared" si="48"/>
        <v>0</v>
      </c>
      <c r="P247" s="137">
        <f t="shared" si="48"/>
        <v>0</v>
      </c>
      <c r="Q247" s="20"/>
      <c r="R247" s="50"/>
    </row>
    <row r="248" spans="1:18" ht="54" hidden="1" thickTop="1" thickBot="1" x14ac:dyDescent="0.25">
      <c r="A248" s="140" t="s">
        <v>1100</v>
      </c>
      <c r="B248" s="140" t="s">
        <v>821</v>
      </c>
      <c r="C248" s="140"/>
      <c r="D248" s="140" t="s">
        <v>1491</v>
      </c>
      <c r="E248" s="141">
        <f>E249</f>
        <v>0</v>
      </c>
      <c r="F248" s="141">
        <f t="shared" si="48"/>
        <v>0</v>
      </c>
      <c r="G248" s="141">
        <f t="shared" si="48"/>
        <v>0</v>
      </c>
      <c r="H248" s="141">
        <f t="shared" si="48"/>
        <v>0</v>
      </c>
      <c r="I248" s="141">
        <f t="shared" si="48"/>
        <v>0</v>
      </c>
      <c r="J248" s="141">
        <f t="shared" si="48"/>
        <v>0</v>
      </c>
      <c r="K248" s="141">
        <f t="shared" si="48"/>
        <v>0</v>
      </c>
      <c r="L248" s="141">
        <f t="shared" si="48"/>
        <v>0</v>
      </c>
      <c r="M248" s="141">
        <f t="shared" si="48"/>
        <v>0</v>
      </c>
      <c r="N248" s="141">
        <f t="shared" si="48"/>
        <v>0</v>
      </c>
      <c r="O248" s="141">
        <f t="shared" si="48"/>
        <v>0</v>
      </c>
      <c r="P248" s="141">
        <f t="shared" si="48"/>
        <v>0</v>
      </c>
      <c r="Q248" s="20"/>
      <c r="R248" s="50"/>
    </row>
    <row r="249" spans="1:18" ht="54" hidden="1" thickTop="1" thickBot="1" x14ac:dyDescent="0.25">
      <c r="A249" s="128" t="s">
        <v>1101</v>
      </c>
      <c r="B249" s="128" t="s">
        <v>313</v>
      </c>
      <c r="C249" s="128" t="s">
        <v>304</v>
      </c>
      <c r="D249" s="128" t="s">
        <v>1237</v>
      </c>
      <c r="E249" s="127">
        <f t="shared" ref="E249" si="49">F249</f>
        <v>0</v>
      </c>
      <c r="F249" s="134"/>
      <c r="G249" s="134"/>
      <c r="H249" s="134"/>
      <c r="I249" s="134"/>
      <c r="J249" s="127">
        <f t="shared" ref="J249" si="50">L249+O249</f>
        <v>0</v>
      </c>
      <c r="K249" s="134">
        <f>49500-49500</f>
        <v>0</v>
      </c>
      <c r="L249" s="134"/>
      <c r="M249" s="134"/>
      <c r="N249" s="134"/>
      <c r="O249" s="132">
        <f t="shared" ref="O249" si="51">K249</f>
        <v>0</v>
      </c>
      <c r="P249" s="127">
        <f>E249+J249</f>
        <v>0</v>
      </c>
      <c r="Q249" s="20"/>
      <c r="R249" s="50"/>
    </row>
    <row r="250" spans="1:18" ht="47.25" hidden="1" thickTop="1" thickBot="1" x14ac:dyDescent="0.25">
      <c r="A250" s="136" t="s">
        <v>787</v>
      </c>
      <c r="B250" s="136" t="s">
        <v>691</v>
      </c>
      <c r="C250" s="136"/>
      <c r="D250" s="136" t="s">
        <v>689</v>
      </c>
      <c r="E250" s="159">
        <f>E252+E251</f>
        <v>0</v>
      </c>
      <c r="F250" s="159">
        <f t="shared" ref="F250:H250" si="52">F252+F251</f>
        <v>0</v>
      </c>
      <c r="G250" s="159">
        <f t="shared" si="52"/>
        <v>0</v>
      </c>
      <c r="H250" s="159">
        <f t="shared" si="52"/>
        <v>0</v>
      </c>
      <c r="I250" s="159">
        <f>I252+I251</f>
        <v>0</v>
      </c>
      <c r="J250" s="159">
        <f>J252+J251</f>
        <v>0</v>
      </c>
      <c r="K250" s="159">
        <f>K252+K251</f>
        <v>0</v>
      </c>
      <c r="L250" s="159">
        <f t="shared" ref="L250:O250" si="53">L252+L251</f>
        <v>0</v>
      </c>
      <c r="M250" s="159">
        <f t="shared" si="53"/>
        <v>0</v>
      </c>
      <c r="N250" s="159">
        <f t="shared" si="53"/>
        <v>0</v>
      </c>
      <c r="O250" s="159">
        <f t="shared" si="53"/>
        <v>0</v>
      </c>
      <c r="P250" s="159">
        <f>P252+P251</f>
        <v>0</v>
      </c>
      <c r="Q250" s="20"/>
      <c r="R250" s="50"/>
    </row>
    <row r="251" spans="1:18" ht="48" hidden="1" thickTop="1" thickBot="1" x14ac:dyDescent="0.25">
      <c r="A251" s="410" t="s">
        <v>1336</v>
      </c>
      <c r="B251" s="410" t="s">
        <v>212</v>
      </c>
      <c r="C251" s="410"/>
      <c r="D251" s="128" t="s">
        <v>41</v>
      </c>
      <c r="E251" s="152">
        <f>F251</f>
        <v>0</v>
      </c>
      <c r="F251" s="129"/>
      <c r="G251" s="134"/>
      <c r="H251" s="134"/>
      <c r="I251" s="134"/>
      <c r="J251" s="127">
        <f t="shared" ref="J251" si="54">L251+O251</f>
        <v>0</v>
      </c>
      <c r="K251" s="134"/>
      <c r="L251" s="134"/>
      <c r="M251" s="134"/>
      <c r="N251" s="134"/>
      <c r="O251" s="132">
        <f t="shared" ref="O251" si="55">K251</f>
        <v>0</v>
      </c>
      <c r="P251" s="127">
        <f t="shared" ref="P251" si="56">E251+J251</f>
        <v>0</v>
      </c>
      <c r="Q251" s="20"/>
      <c r="R251" s="50"/>
    </row>
    <row r="252" spans="1:18" ht="48" hidden="1" thickTop="1" thickBot="1" x14ac:dyDescent="0.25">
      <c r="A252" s="128" t="s">
        <v>607</v>
      </c>
      <c r="B252" s="128" t="s">
        <v>197</v>
      </c>
      <c r="C252" s="128" t="s">
        <v>170</v>
      </c>
      <c r="D252" s="128" t="s">
        <v>34</v>
      </c>
      <c r="E252" s="127">
        <f t="shared" ref="E252" si="57">F252</f>
        <v>0</v>
      </c>
      <c r="F252" s="134"/>
      <c r="G252" s="134"/>
      <c r="H252" s="134"/>
      <c r="I252" s="134"/>
      <c r="J252" s="127">
        <f t="shared" si="44"/>
        <v>0</v>
      </c>
      <c r="K252" s="134"/>
      <c r="L252" s="134"/>
      <c r="M252" s="134"/>
      <c r="N252" s="134"/>
      <c r="O252" s="132">
        <f t="shared" si="45"/>
        <v>0</v>
      </c>
      <c r="P252" s="127">
        <f t="shared" si="46"/>
        <v>0</v>
      </c>
      <c r="Q252" s="20"/>
      <c r="R252" s="46"/>
    </row>
    <row r="253" spans="1:18" ht="47.25" hidden="1" thickTop="1" thickBot="1" x14ac:dyDescent="0.25">
      <c r="A253" s="146" t="s">
        <v>1107</v>
      </c>
      <c r="B253" s="146" t="s">
        <v>702</v>
      </c>
      <c r="C253" s="146"/>
      <c r="D253" s="146" t="s">
        <v>703</v>
      </c>
      <c r="E253" s="42">
        <f>E254</f>
        <v>0</v>
      </c>
      <c r="F253" s="42">
        <f t="shared" ref="F253:P254" si="58">F254</f>
        <v>0</v>
      </c>
      <c r="G253" s="42">
        <f t="shared" si="58"/>
        <v>0</v>
      </c>
      <c r="H253" s="42">
        <f t="shared" si="58"/>
        <v>0</v>
      </c>
      <c r="I253" s="42">
        <f t="shared" si="58"/>
        <v>0</v>
      </c>
      <c r="J253" s="42">
        <f t="shared" si="58"/>
        <v>0</v>
      </c>
      <c r="K253" s="42">
        <f t="shared" si="58"/>
        <v>0</v>
      </c>
      <c r="L253" s="42">
        <f t="shared" si="58"/>
        <v>0</v>
      </c>
      <c r="M253" s="42">
        <f t="shared" si="58"/>
        <v>0</v>
      </c>
      <c r="N253" s="42">
        <f t="shared" si="58"/>
        <v>0</v>
      </c>
      <c r="O253" s="42">
        <f t="shared" si="58"/>
        <v>0</v>
      </c>
      <c r="P253" s="42">
        <f t="shared" si="58"/>
        <v>0</v>
      </c>
      <c r="Q253" s="20"/>
      <c r="R253" s="46"/>
    </row>
    <row r="254" spans="1:18" ht="91.5" hidden="1" thickTop="1" thickBot="1" x14ac:dyDescent="0.25">
      <c r="A254" s="147" t="s">
        <v>1108</v>
      </c>
      <c r="B254" s="147" t="s">
        <v>705</v>
      </c>
      <c r="C254" s="147"/>
      <c r="D254" s="147" t="s">
        <v>706</v>
      </c>
      <c r="E254" s="148">
        <f>E255</f>
        <v>0</v>
      </c>
      <c r="F254" s="148">
        <f t="shared" si="58"/>
        <v>0</v>
      </c>
      <c r="G254" s="148">
        <f t="shared" si="58"/>
        <v>0</v>
      </c>
      <c r="H254" s="148">
        <f t="shared" si="58"/>
        <v>0</v>
      </c>
      <c r="I254" s="148">
        <f t="shared" si="58"/>
        <v>0</v>
      </c>
      <c r="J254" s="148">
        <f t="shared" si="58"/>
        <v>0</v>
      </c>
      <c r="K254" s="148">
        <f t="shared" si="58"/>
        <v>0</v>
      </c>
      <c r="L254" s="148">
        <f t="shared" si="58"/>
        <v>0</v>
      </c>
      <c r="M254" s="148">
        <f t="shared" si="58"/>
        <v>0</v>
      </c>
      <c r="N254" s="148">
        <f t="shared" si="58"/>
        <v>0</v>
      </c>
      <c r="O254" s="148">
        <f t="shared" si="58"/>
        <v>0</v>
      </c>
      <c r="P254" s="148">
        <f t="shared" si="58"/>
        <v>0</v>
      </c>
      <c r="Q254" s="20"/>
      <c r="R254" s="46"/>
    </row>
    <row r="255" spans="1:18" ht="48" hidden="1" thickTop="1" thickBot="1" x14ac:dyDescent="0.25">
      <c r="A255" s="41" t="s">
        <v>1109</v>
      </c>
      <c r="B255" s="41" t="s">
        <v>363</v>
      </c>
      <c r="C255" s="41" t="s">
        <v>43</v>
      </c>
      <c r="D255" s="41" t="s">
        <v>364</v>
      </c>
      <c r="E255" s="42">
        <f t="shared" ref="E255" si="59">F255</f>
        <v>0</v>
      </c>
      <c r="F255" s="43">
        <v>0</v>
      </c>
      <c r="G255" s="43"/>
      <c r="H255" s="43"/>
      <c r="I255" s="43"/>
      <c r="J255" s="42">
        <f>L255+O255</f>
        <v>0</v>
      </c>
      <c r="K255" s="43">
        <v>0</v>
      </c>
      <c r="L255" s="43"/>
      <c r="M255" s="43"/>
      <c r="N255" s="43"/>
      <c r="O255" s="44">
        <f>K255</f>
        <v>0</v>
      </c>
      <c r="P255" s="42">
        <f>E255+J255</f>
        <v>0</v>
      </c>
      <c r="Q255" s="20"/>
      <c r="R255" s="46"/>
    </row>
    <row r="256" spans="1:18" ht="120" customHeight="1" thickTop="1" thickBot="1" x14ac:dyDescent="0.25">
      <c r="A256" s="661" t="s">
        <v>158</v>
      </c>
      <c r="B256" s="661"/>
      <c r="C256" s="661"/>
      <c r="D256" s="662" t="s">
        <v>561</v>
      </c>
      <c r="E256" s="663">
        <f>E257</f>
        <v>4348887</v>
      </c>
      <c r="F256" s="664">
        <f t="shared" ref="F256:G256" si="60">F257</f>
        <v>4348887</v>
      </c>
      <c r="G256" s="664">
        <f t="shared" si="60"/>
        <v>0</v>
      </c>
      <c r="H256" s="664">
        <f>H257</f>
        <v>0</v>
      </c>
      <c r="I256" s="664">
        <f t="shared" ref="I256" si="61">I257</f>
        <v>0</v>
      </c>
      <c r="J256" s="663">
        <f>J257</f>
        <v>4779413</v>
      </c>
      <c r="K256" s="664">
        <f>K257</f>
        <v>4779413</v>
      </c>
      <c r="L256" s="664">
        <f>L257</f>
        <v>0</v>
      </c>
      <c r="M256" s="664">
        <f t="shared" ref="M256" si="62">M257</f>
        <v>0</v>
      </c>
      <c r="N256" s="664">
        <f>N257</f>
        <v>0</v>
      </c>
      <c r="O256" s="663">
        <f>O257</f>
        <v>4779413</v>
      </c>
      <c r="P256" s="664">
        <f>P257</f>
        <v>9128300</v>
      </c>
      <c r="Q256" s="20"/>
      <c r="R256" s="50"/>
    </row>
    <row r="257" spans="1:18" ht="120" customHeight="1" thickTop="1" thickBot="1" x14ac:dyDescent="0.25">
      <c r="A257" s="658" t="s">
        <v>159</v>
      </c>
      <c r="B257" s="658"/>
      <c r="C257" s="658"/>
      <c r="D257" s="659" t="s">
        <v>562</v>
      </c>
      <c r="E257" s="660">
        <f>E258+E262+E270+E279</f>
        <v>4348887</v>
      </c>
      <c r="F257" s="660">
        <f>F258+F262+F270+F279</f>
        <v>4348887</v>
      </c>
      <c r="G257" s="660">
        <f>G258+G262+G270+G279</f>
        <v>0</v>
      </c>
      <c r="H257" s="660">
        <f>H258+H262+H270+H279</f>
        <v>0</v>
      </c>
      <c r="I257" s="660">
        <f>I258+I262+I270+I279</f>
        <v>0</v>
      </c>
      <c r="J257" s="660">
        <f t="shared" ref="J257" si="63">L257+O257</f>
        <v>4779413</v>
      </c>
      <c r="K257" s="660">
        <f>K258+K262+K270+K279</f>
        <v>4779413</v>
      </c>
      <c r="L257" s="660">
        <f>L258+L262+L270+L279</f>
        <v>0</v>
      </c>
      <c r="M257" s="660">
        <f>M258+M262+M270+M279</f>
        <v>0</v>
      </c>
      <c r="N257" s="660">
        <f>N258+N262+N270+N279</f>
        <v>0</v>
      </c>
      <c r="O257" s="660">
        <f>O258+O262+O270+O279</f>
        <v>4779413</v>
      </c>
      <c r="P257" s="660">
        <f>E257+J257</f>
        <v>9128300</v>
      </c>
      <c r="Q257" s="503" t="b">
        <f>P257=P259+P264+P265+P267+P268+P269+P272+P274+P275+P281</f>
        <v>1</v>
      </c>
      <c r="R257" s="54"/>
    </row>
    <row r="258" spans="1:18" ht="47.25" thickTop="1" thickBot="1" x14ac:dyDescent="0.25">
      <c r="A258" s="311" t="s">
        <v>788</v>
      </c>
      <c r="B258" s="311" t="s">
        <v>684</v>
      </c>
      <c r="C258" s="311"/>
      <c r="D258" s="311" t="s">
        <v>685</v>
      </c>
      <c r="E258" s="328">
        <f>'d3'!E258-d3П!E253</f>
        <v>0</v>
      </c>
      <c r="F258" s="328">
        <f>'d3'!F258-d3П!F253</f>
        <v>0</v>
      </c>
      <c r="G258" s="328">
        <f>'d3'!G258-d3П!G253</f>
        <v>0</v>
      </c>
      <c r="H258" s="328">
        <f>'d3'!H258-d3П!H253</f>
        <v>0</v>
      </c>
      <c r="I258" s="328">
        <f>'d3'!I258-d3П!I253</f>
        <v>0</v>
      </c>
      <c r="J258" s="328">
        <f>'d3'!J258-d3П!J253</f>
        <v>0</v>
      </c>
      <c r="K258" s="328">
        <f>'d3'!K258-d3П!K253</f>
        <v>0</v>
      </c>
      <c r="L258" s="328">
        <f>'d3'!L258-d3П!L253</f>
        <v>0</v>
      </c>
      <c r="M258" s="328">
        <f>'d3'!M258-d3П!M253</f>
        <v>0</v>
      </c>
      <c r="N258" s="328">
        <f>'d3'!N258-d3П!N253</f>
        <v>0</v>
      </c>
      <c r="O258" s="328">
        <f>'d3'!O258-d3П!O253</f>
        <v>0</v>
      </c>
      <c r="P258" s="328">
        <f>'d3'!P258-d3П!P253</f>
        <v>0</v>
      </c>
      <c r="Q258" s="47"/>
      <c r="R258" s="54"/>
    </row>
    <row r="259" spans="1:18" ht="93" thickTop="1" thickBot="1" x14ac:dyDescent="0.25">
      <c r="A259" s="103" t="s">
        <v>421</v>
      </c>
      <c r="B259" s="103" t="s">
        <v>236</v>
      </c>
      <c r="C259" s="103" t="s">
        <v>234</v>
      </c>
      <c r="D259" s="103" t="s">
        <v>235</v>
      </c>
      <c r="E259" s="328">
        <f>'d3'!E259-d3П!E254</f>
        <v>0</v>
      </c>
      <c r="F259" s="328">
        <f>'d3'!F259-d3П!F254</f>
        <v>0</v>
      </c>
      <c r="G259" s="328">
        <f>'d3'!G259-d3П!G254</f>
        <v>0</v>
      </c>
      <c r="H259" s="328">
        <f>'d3'!H259-d3П!H254</f>
        <v>0</v>
      </c>
      <c r="I259" s="328">
        <f>'d3'!I259-d3П!I254</f>
        <v>0</v>
      </c>
      <c r="J259" s="328">
        <f>'d3'!J259-d3П!J254</f>
        <v>0</v>
      </c>
      <c r="K259" s="328">
        <f>'d3'!K259-d3П!K254</f>
        <v>0</v>
      </c>
      <c r="L259" s="328">
        <f>'d3'!L259-d3П!L254</f>
        <v>0</v>
      </c>
      <c r="M259" s="328">
        <f>'d3'!M259-d3П!M254</f>
        <v>0</v>
      </c>
      <c r="N259" s="328">
        <f>'d3'!N259-d3П!N254</f>
        <v>0</v>
      </c>
      <c r="O259" s="328">
        <f>'d3'!O259-d3П!O254</f>
        <v>0</v>
      </c>
      <c r="P259" s="328">
        <f>'d3'!P259-d3П!P254</f>
        <v>0</v>
      </c>
      <c r="Q259" s="20"/>
      <c r="R259" s="54"/>
    </row>
    <row r="260" spans="1:18" ht="93" hidden="1" customHeight="1" thickTop="1" thickBot="1" x14ac:dyDescent="0.25">
      <c r="A260" s="128" t="s">
        <v>627</v>
      </c>
      <c r="B260" s="128" t="s">
        <v>362</v>
      </c>
      <c r="C260" s="128" t="s">
        <v>625</v>
      </c>
      <c r="D260" s="128" t="s">
        <v>626</v>
      </c>
      <c r="E260" s="328">
        <f>'d3'!E260-d3П!E255</f>
        <v>0</v>
      </c>
      <c r="F260" s="328">
        <f>'d3'!F260-d3П!F255</f>
        <v>0</v>
      </c>
      <c r="G260" s="328">
        <f>'d3'!G260-d3П!G255</f>
        <v>0</v>
      </c>
      <c r="H260" s="328">
        <f>'d3'!H260-d3П!H255</f>
        <v>0</v>
      </c>
      <c r="I260" s="328">
        <f>'d3'!I260-d3П!I255</f>
        <v>0</v>
      </c>
      <c r="J260" s="328">
        <f>'d3'!J260-d3П!J255</f>
        <v>0</v>
      </c>
      <c r="K260" s="328">
        <f>'d3'!K260-d3П!K255</f>
        <v>0</v>
      </c>
      <c r="L260" s="328">
        <f>'d3'!L260-d3П!L255</f>
        <v>0</v>
      </c>
      <c r="M260" s="328">
        <f>'d3'!M260-d3П!M255</f>
        <v>0</v>
      </c>
      <c r="N260" s="328">
        <f>'d3'!N260-d3П!N255</f>
        <v>0</v>
      </c>
      <c r="O260" s="328">
        <f>'d3'!O260-d3П!O255</f>
        <v>0</v>
      </c>
      <c r="P260" s="328">
        <f>'d3'!P260-d3П!P255</f>
        <v>0</v>
      </c>
      <c r="Q260" s="20"/>
      <c r="R260" s="54"/>
    </row>
    <row r="261" spans="1:18" ht="48" hidden="1" customHeight="1" thickTop="1" thickBot="1" x14ac:dyDescent="0.25">
      <c r="A261" s="128" t="s">
        <v>1143</v>
      </c>
      <c r="B261" s="128" t="s">
        <v>43</v>
      </c>
      <c r="C261" s="128" t="s">
        <v>42</v>
      </c>
      <c r="D261" s="128" t="s">
        <v>248</v>
      </c>
      <c r="E261" s="328">
        <f>'d3'!E261-d3П!E256</f>
        <v>0</v>
      </c>
      <c r="F261" s="328">
        <f>'d3'!F261-d3П!F256</f>
        <v>0</v>
      </c>
      <c r="G261" s="328">
        <f>'d3'!G261-d3П!G256</f>
        <v>0</v>
      </c>
      <c r="H261" s="328">
        <f>'d3'!H261-d3П!H256</f>
        <v>0</v>
      </c>
      <c r="I261" s="328">
        <f>'d3'!I261-d3П!I256</f>
        <v>0</v>
      </c>
      <c r="J261" s="328">
        <f>'d3'!J261-d3П!J256</f>
        <v>0</v>
      </c>
      <c r="K261" s="328">
        <f>'d3'!K261-d3П!K256</f>
        <v>0</v>
      </c>
      <c r="L261" s="328">
        <f>'d3'!L261-d3П!L256</f>
        <v>0</v>
      </c>
      <c r="M261" s="328">
        <f>'d3'!M261-d3П!M256</f>
        <v>0</v>
      </c>
      <c r="N261" s="328">
        <f>'d3'!N261-d3П!N256</f>
        <v>0</v>
      </c>
      <c r="O261" s="328">
        <f>'d3'!O261-d3П!O256</f>
        <v>0</v>
      </c>
      <c r="P261" s="328">
        <f>'d3'!P261-d3П!P256</f>
        <v>0</v>
      </c>
      <c r="Q261" s="20"/>
      <c r="R261" s="54"/>
    </row>
    <row r="262" spans="1:18" ht="47.25" thickTop="1" thickBot="1" x14ac:dyDescent="0.25">
      <c r="A262" s="311" t="s">
        <v>789</v>
      </c>
      <c r="B262" s="311" t="s">
        <v>742</v>
      </c>
      <c r="C262" s="311"/>
      <c r="D262" s="347" t="s">
        <v>743</v>
      </c>
      <c r="E262" s="328">
        <f>'d3'!E262-d3П!E257</f>
        <v>4271400</v>
      </c>
      <c r="F262" s="328">
        <f>'d3'!F262-d3П!F257</f>
        <v>4271400</v>
      </c>
      <c r="G262" s="328">
        <f>'d3'!G262-d3П!G257</f>
        <v>0</v>
      </c>
      <c r="H262" s="328">
        <f>'d3'!H262-d3П!H257</f>
        <v>0</v>
      </c>
      <c r="I262" s="328">
        <f>'d3'!I262-d3П!I257</f>
        <v>0</v>
      </c>
      <c r="J262" s="328">
        <f>'d3'!J262-d3П!J257</f>
        <v>3479413</v>
      </c>
      <c r="K262" s="328">
        <f>'d3'!K262-d3П!K257</f>
        <v>3479413</v>
      </c>
      <c r="L262" s="328">
        <f>'d3'!L262-d3П!L257</f>
        <v>0</v>
      </c>
      <c r="M262" s="328">
        <f>'d3'!M262-d3П!M257</f>
        <v>0</v>
      </c>
      <c r="N262" s="328">
        <f>'d3'!N262-d3П!N257</f>
        <v>0</v>
      </c>
      <c r="O262" s="328">
        <f>'d3'!O262-d3П!O257</f>
        <v>3479413</v>
      </c>
      <c r="P262" s="328">
        <f>'d3'!P262-d3П!P257</f>
        <v>7750813</v>
      </c>
      <c r="Q262" s="20"/>
      <c r="R262" s="54"/>
    </row>
    <row r="263" spans="1:18" s="33" customFormat="1" ht="93" thickTop="1" thickBot="1" x14ac:dyDescent="0.25">
      <c r="A263" s="329" t="s">
        <v>790</v>
      </c>
      <c r="B263" s="329" t="s">
        <v>791</v>
      </c>
      <c r="C263" s="329"/>
      <c r="D263" s="329" t="s">
        <v>792</v>
      </c>
      <c r="E263" s="328">
        <f>'d3'!E263-d3П!E258</f>
        <v>3431400</v>
      </c>
      <c r="F263" s="328">
        <f>'d3'!F263-d3П!F258</f>
        <v>3431400</v>
      </c>
      <c r="G263" s="328">
        <f>'d3'!G263-d3П!G258</f>
        <v>0</v>
      </c>
      <c r="H263" s="328">
        <f>'d3'!H263-d3П!H258</f>
        <v>0</v>
      </c>
      <c r="I263" s="328">
        <f>'d3'!I263-d3П!I258</f>
        <v>0</v>
      </c>
      <c r="J263" s="328">
        <f>'d3'!J263-d3П!J258</f>
        <v>3479413</v>
      </c>
      <c r="K263" s="328">
        <f>'d3'!K263-d3П!K258</f>
        <v>3479413</v>
      </c>
      <c r="L263" s="328">
        <f>'d3'!L263-d3П!L258</f>
        <v>0</v>
      </c>
      <c r="M263" s="328">
        <f>'d3'!M263-d3П!M258</f>
        <v>0</v>
      </c>
      <c r="N263" s="328">
        <f>'d3'!N263-d3П!N258</f>
        <v>0</v>
      </c>
      <c r="O263" s="328">
        <f>'d3'!O263-d3П!O258</f>
        <v>3479413</v>
      </c>
      <c r="P263" s="328">
        <f>'d3'!P263-d3П!P258</f>
        <v>6910813</v>
      </c>
      <c r="Q263" s="36"/>
      <c r="R263" s="54"/>
    </row>
    <row r="264" spans="1:18" ht="47.25" thickTop="1" thickBot="1" x14ac:dyDescent="0.25">
      <c r="A264" s="103" t="s">
        <v>280</v>
      </c>
      <c r="B264" s="103" t="s">
        <v>281</v>
      </c>
      <c r="C264" s="103" t="s">
        <v>340</v>
      </c>
      <c r="D264" s="103" t="s">
        <v>282</v>
      </c>
      <c r="E264" s="328">
        <f>'d3'!E264-d3П!E259</f>
        <v>3431400</v>
      </c>
      <c r="F264" s="328">
        <f>'d3'!F264-d3П!F259</f>
        <v>3431400</v>
      </c>
      <c r="G264" s="328">
        <f>'d3'!G264-d3П!G259</f>
        <v>0</v>
      </c>
      <c r="H264" s="328">
        <f>'d3'!H264-d3П!H259</f>
        <v>0</v>
      </c>
      <c r="I264" s="328">
        <f>'d3'!I264-d3П!I259</f>
        <v>0</v>
      </c>
      <c r="J264" s="328">
        <f>'d3'!J264-d3П!J259</f>
        <v>2479413</v>
      </c>
      <c r="K264" s="328">
        <f>'d3'!K264-d3П!K259</f>
        <v>2479413</v>
      </c>
      <c r="L264" s="328">
        <f>'d3'!L264-d3П!L259</f>
        <v>0</v>
      </c>
      <c r="M264" s="328">
        <f>'d3'!M264-d3П!M259</f>
        <v>0</v>
      </c>
      <c r="N264" s="328">
        <f>'d3'!N264-d3П!N259</f>
        <v>0</v>
      </c>
      <c r="O264" s="328">
        <f>'d3'!O264-d3П!O259</f>
        <v>2479413</v>
      </c>
      <c r="P264" s="328">
        <f>'d3'!P264-d3П!P259</f>
        <v>5910813</v>
      </c>
      <c r="Q264" s="20"/>
      <c r="R264" s="54"/>
    </row>
    <row r="265" spans="1:18" ht="47.25" thickTop="1" thickBot="1" x14ac:dyDescent="0.25">
      <c r="A265" s="103" t="s">
        <v>301</v>
      </c>
      <c r="B265" s="103" t="s">
        <v>302</v>
      </c>
      <c r="C265" s="103" t="s">
        <v>283</v>
      </c>
      <c r="D265" s="103" t="s">
        <v>303</v>
      </c>
      <c r="E265" s="328">
        <f>'d3'!E265-d3П!E260</f>
        <v>0</v>
      </c>
      <c r="F265" s="328">
        <f>'d3'!F265-d3П!F260</f>
        <v>0</v>
      </c>
      <c r="G265" s="328">
        <f>'d3'!G265-d3П!G260</f>
        <v>0</v>
      </c>
      <c r="H265" s="328">
        <f>'d3'!H265-d3П!H260</f>
        <v>0</v>
      </c>
      <c r="I265" s="328">
        <f>'d3'!I265-d3П!I260</f>
        <v>0</v>
      </c>
      <c r="J265" s="328">
        <f>'d3'!J265-d3П!J260</f>
        <v>1000000</v>
      </c>
      <c r="K265" s="328">
        <f>'d3'!K265-d3П!K260</f>
        <v>1000000</v>
      </c>
      <c r="L265" s="328">
        <f>'d3'!L265-d3П!L260</f>
        <v>0</v>
      </c>
      <c r="M265" s="328">
        <f>'d3'!M265-d3П!M260</f>
        <v>0</v>
      </c>
      <c r="N265" s="328">
        <f>'d3'!N265-d3П!N260</f>
        <v>0</v>
      </c>
      <c r="O265" s="328">
        <f>'d3'!O265-d3П!O260</f>
        <v>1000000</v>
      </c>
      <c r="P265" s="328">
        <f>'d3'!P265-d3П!P260</f>
        <v>1000000</v>
      </c>
      <c r="Q265" s="20"/>
      <c r="R265" s="54"/>
    </row>
    <row r="266" spans="1:18" ht="93" hidden="1" customHeight="1" thickTop="1" thickBot="1" x14ac:dyDescent="0.25">
      <c r="A266" s="128" t="s">
        <v>284</v>
      </c>
      <c r="B266" s="128" t="s">
        <v>285</v>
      </c>
      <c r="C266" s="128" t="s">
        <v>283</v>
      </c>
      <c r="D266" s="128" t="s">
        <v>466</v>
      </c>
      <c r="E266" s="328">
        <f>'d3'!E266-d3П!E261</f>
        <v>0</v>
      </c>
      <c r="F266" s="328">
        <f>'d3'!F266-d3П!F261</f>
        <v>0</v>
      </c>
      <c r="G266" s="328">
        <f>'d3'!G266-d3П!G261</f>
        <v>0</v>
      </c>
      <c r="H266" s="328">
        <f>'d3'!H266-d3П!H261</f>
        <v>0</v>
      </c>
      <c r="I266" s="328">
        <f>'d3'!I266-d3П!I261</f>
        <v>0</v>
      </c>
      <c r="J266" s="328">
        <f>'d3'!J266-d3П!J261</f>
        <v>0</v>
      </c>
      <c r="K266" s="328">
        <f>'d3'!K266-d3П!K261</f>
        <v>0</v>
      </c>
      <c r="L266" s="328">
        <f>'d3'!L266-d3П!L261</f>
        <v>0</v>
      </c>
      <c r="M266" s="328">
        <f>'d3'!M266-d3П!M261</f>
        <v>0</v>
      </c>
      <c r="N266" s="328">
        <f>'d3'!N266-d3П!N261</f>
        <v>0</v>
      </c>
      <c r="O266" s="328">
        <f>'d3'!O266-d3П!O261</f>
        <v>0</v>
      </c>
      <c r="P266" s="328">
        <f>'d3'!P266-d3П!P261</f>
        <v>0</v>
      </c>
      <c r="Q266" s="20"/>
      <c r="R266" s="54"/>
    </row>
    <row r="267" spans="1:18" ht="93" thickTop="1" thickBot="1" x14ac:dyDescent="0.25">
      <c r="A267" s="103" t="s">
        <v>929</v>
      </c>
      <c r="B267" s="103" t="s">
        <v>297</v>
      </c>
      <c r="C267" s="103" t="s">
        <v>283</v>
      </c>
      <c r="D267" s="103" t="s">
        <v>298</v>
      </c>
      <c r="E267" s="328">
        <f>'d3'!E267-d3П!E262</f>
        <v>840000</v>
      </c>
      <c r="F267" s="328">
        <f>'d3'!F267-d3П!F262</f>
        <v>840000</v>
      </c>
      <c r="G267" s="328">
        <f>'d3'!G267-d3П!G262</f>
        <v>0</v>
      </c>
      <c r="H267" s="328">
        <f>'d3'!H267-d3П!H262</f>
        <v>0</v>
      </c>
      <c r="I267" s="328">
        <f>'d3'!I267-d3П!I262</f>
        <v>0</v>
      </c>
      <c r="J267" s="328">
        <f>'d3'!J267-d3П!J262</f>
        <v>0</v>
      </c>
      <c r="K267" s="328">
        <f>'d3'!K267-d3П!K262</f>
        <v>0</v>
      </c>
      <c r="L267" s="328">
        <f>'d3'!L267-d3П!L262</f>
        <v>0</v>
      </c>
      <c r="M267" s="328">
        <f>'d3'!M267-d3П!M262</f>
        <v>0</v>
      </c>
      <c r="N267" s="328">
        <f>'d3'!N267-d3П!N262</f>
        <v>0</v>
      </c>
      <c r="O267" s="328">
        <f>'d3'!O267-d3П!O262</f>
        <v>0</v>
      </c>
      <c r="P267" s="328">
        <f>'d3'!P267-d3П!P262</f>
        <v>840000</v>
      </c>
      <c r="Q267" s="20"/>
      <c r="R267" s="54"/>
    </row>
    <row r="268" spans="1:18" ht="47.25" thickTop="1" thickBot="1" x14ac:dyDescent="0.25">
      <c r="A268" s="103" t="s">
        <v>288</v>
      </c>
      <c r="B268" s="103" t="s">
        <v>289</v>
      </c>
      <c r="C268" s="103" t="s">
        <v>283</v>
      </c>
      <c r="D268" s="103" t="s">
        <v>290</v>
      </c>
      <c r="E268" s="328">
        <f>'d3'!E268-d3П!E263</f>
        <v>0</v>
      </c>
      <c r="F268" s="328">
        <f>'d3'!F268-d3П!F263</f>
        <v>0</v>
      </c>
      <c r="G268" s="328">
        <f>'d3'!G268-d3П!G263</f>
        <v>0</v>
      </c>
      <c r="H268" s="328">
        <f>'d3'!H268-d3П!H263</f>
        <v>0</v>
      </c>
      <c r="I268" s="328">
        <f>'d3'!I268-d3П!I263</f>
        <v>0</v>
      </c>
      <c r="J268" s="328">
        <f>'d3'!J268-d3П!J263</f>
        <v>0</v>
      </c>
      <c r="K268" s="328">
        <f>'d3'!K268-d3П!K263</f>
        <v>0</v>
      </c>
      <c r="L268" s="328">
        <f>'d3'!L268-d3П!L263</f>
        <v>0</v>
      </c>
      <c r="M268" s="328">
        <f>'d3'!M268-d3П!M263</f>
        <v>0</v>
      </c>
      <c r="N268" s="328">
        <f>'d3'!N268-d3П!N263</f>
        <v>0</v>
      </c>
      <c r="O268" s="328">
        <f>'d3'!O268-d3П!O263</f>
        <v>0</v>
      </c>
      <c r="P268" s="328">
        <f>'d3'!P268-d3П!P263</f>
        <v>0</v>
      </c>
      <c r="Q268" s="20"/>
      <c r="R268" s="50"/>
    </row>
    <row r="269" spans="1:18" ht="47.25" thickTop="1" thickBot="1" x14ac:dyDescent="0.25">
      <c r="A269" s="103" t="s">
        <v>1261</v>
      </c>
      <c r="B269" s="103" t="s">
        <v>1149</v>
      </c>
      <c r="C269" s="103" t="s">
        <v>1150</v>
      </c>
      <c r="D269" s="103" t="s">
        <v>1147</v>
      </c>
      <c r="E269" s="328">
        <f>'d3'!E269-d3П!E264</f>
        <v>0</v>
      </c>
      <c r="F269" s="328">
        <f>'d3'!F269-d3П!F264</f>
        <v>0</v>
      </c>
      <c r="G269" s="328">
        <f>'d3'!G269-d3П!G264</f>
        <v>0</v>
      </c>
      <c r="H269" s="328">
        <f>'d3'!H269-d3П!H264</f>
        <v>0</v>
      </c>
      <c r="I269" s="328">
        <f>'d3'!I269-d3П!I264</f>
        <v>0</v>
      </c>
      <c r="J269" s="328">
        <f>'d3'!J269-d3П!J264</f>
        <v>0</v>
      </c>
      <c r="K269" s="328">
        <f>'d3'!K269-d3П!K264</f>
        <v>0</v>
      </c>
      <c r="L269" s="328">
        <f>'d3'!L269-d3П!L264</f>
        <v>0</v>
      </c>
      <c r="M269" s="328">
        <f>'d3'!M269-d3П!M264</f>
        <v>0</v>
      </c>
      <c r="N269" s="328">
        <f>'d3'!N269-d3П!N264</f>
        <v>0</v>
      </c>
      <c r="O269" s="328">
        <f>'d3'!O269-d3П!O264</f>
        <v>0</v>
      </c>
      <c r="P269" s="328">
        <f>'d3'!P269-d3П!P264</f>
        <v>0</v>
      </c>
      <c r="Q269" s="20"/>
      <c r="R269" s="50"/>
    </row>
    <row r="270" spans="1:18" ht="47.25" thickTop="1" thickBot="1" x14ac:dyDescent="0.25">
      <c r="A270" s="311" t="s">
        <v>793</v>
      </c>
      <c r="B270" s="311" t="s">
        <v>748</v>
      </c>
      <c r="C270" s="311"/>
      <c r="D270" s="311" t="s">
        <v>794</v>
      </c>
      <c r="E270" s="328">
        <f>'d3'!E270-d3П!E265</f>
        <v>0</v>
      </c>
      <c r="F270" s="328">
        <f>'d3'!F270-d3П!F265</f>
        <v>0</v>
      </c>
      <c r="G270" s="328">
        <f>'d3'!G270-d3П!G265</f>
        <v>0</v>
      </c>
      <c r="H270" s="328">
        <f>'d3'!H270-d3П!H265</f>
        <v>0</v>
      </c>
      <c r="I270" s="328">
        <f>'d3'!I270-d3П!I265</f>
        <v>0</v>
      </c>
      <c r="J270" s="328">
        <f>'d3'!J270-d3П!J265</f>
        <v>1300000</v>
      </c>
      <c r="K270" s="328">
        <f>'d3'!K270-d3П!K265</f>
        <v>1300000</v>
      </c>
      <c r="L270" s="328">
        <f>'d3'!L270-d3П!L265</f>
        <v>0</v>
      </c>
      <c r="M270" s="328">
        <f>'d3'!M270-d3П!M265</f>
        <v>0</v>
      </c>
      <c r="N270" s="328">
        <f>'d3'!N270-d3П!N265</f>
        <v>0</v>
      </c>
      <c r="O270" s="328">
        <f>'d3'!O270-d3П!O265</f>
        <v>1300000</v>
      </c>
      <c r="P270" s="328">
        <f>'d3'!P270-d3П!P265</f>
        <v>1300000</v>
      </c>
      <c r="Q270" s="20"/>
      <c r="R270" s="50"/>
    </row>
    <row r="271" spans="1:18" ht="47.25" thickTop="1" thickBot="1" x14ac:dyDescent="0.25">
      <c r="A271" s="313" t="s">
        <v>1145</v>
      </c>
      <c r="B271" s="313" t="s">
        <v>803</v>
      </c>
      <c r="C271" s="313"/>
      <c r="D271" s="313" t="s">
        <v>804</v>
      </c>
      <c r="E271" s="328">
        <f>'d3'!E271-d3П!E266</f>
        <v>0</v>
      </c>
      <c r="F271" s="328">
        <f>'d3'!F271-d3П!F266</f>
        <v>0</v>
      </c>
      <c r="G271" s="328">
        <f>'d3'!G271-d3П!G266</f>
        <v>0</v>
      </c>
      <c r="H271" s="328">
        <f>'d3'!H271-d3П!H266</f>
        <v>0</v>
      </c>
      <c r="I271" s="328">
        <f>'d3'!I271-d3П!I266</f>
        <v>0</v>
      </c>
      <c r="J271" s="328">
        <f>'d3'!J271-d3П!J266</f>
        <v>0</v>
      </c>
      <c r="K271" s="328">
        <f>'d3'!K271-d3П!K266</f>
        <v>0</v>
      </c>
      <c r="L271" s="328">
        <f>'d3'!L271-d3П!L266</f>
        <v>0</v>
      </c>
      <c r="M271" s="328">
        <f>'d3'!M271-d3П!M266</f>
        <v>0</v>
      </c>
      <c r="N271" s="328">
        <f>'d3'!N271-d3П!N266</f>
        <v>0</v>
      </c>
      <c r="O271" s="328">
        <f>'d3'!O271-d3П!O266</f>
        <v>0</v>
      </c>
      <c r="P271" s="328">
        <f>'d3'!P271-d3П!P266</f>
        <v>0</v>
      </c>
      <c r="Q271" s="20"/>
      <c r="R271" s="50"/>
    </row>
    <row r="272" spans="1:18" ht="54" thickTop="1" thickBot="1" x14ac:dyDescent="0.25">
      <c r="A272" s="103" t="s">
        <v>1146</v>
      </c>
      <c r="B272" s="103" t="s">
        <v>305</v>
      </c>
      <c r="C272" s="103" t="s">
        <v>304</v>
      </c>
      <c r="D272" s="103" t="s">
        <v>1502</v>
      </c>
      <c r="E272" s="328">
        <f>'d3'!E272-d3П!E267</f>
        <v>0</v>
      </c>
      <c r="F272" s="328">
        <f>'d3'!F272-d3П!F267</f>
        <v>0</v>
      </c>
      <c r="G272" s="328">
        <f>'d3'!G272-d3П!G267</f>
        <v>0</v>
      </c>
      <c r="H272" s="328">
        <f>'d3'!H272-d3П!H267</f>
        <v>0</v>
      </c>
      <c r="I272" s="328">
        <f>'d3'!I272-d3П!I267</f>
        <v>0</v>
      </c>
      <c r="J272" s="328">
        <f>'d3'!J272-d3П!J267</f>
        <v>0</v>
      </c>
      <c r="K272" s="328">
        <f>'d3'!K272-d3П!K267</f>
        <v>0</v>
      </c>
      <c r="L272" s="328">
        <f>'d3'!L272-d3П!L267</f>
        <v>0</v>
      </c>
      <c r="M272" s="328">
        <f>'d3'!M272-d3П!M267</f>
        <v>0</v>
      </c>
      <c r="N272" s="328">
        <f>'d3'!N272-d3П!N267</f>
        <v>0</v>
      </c>
      <c r="O272" s="328">
        <f>'d3'!O272-d3П!O267</f>
        <v>0</v>
      </c>
      <c r="P272" s="328">
        <f>'d3'!P272-d3П!P267</f>
        <v>0</v>
      </c>
      <c r="Q272" s="20"/>
      <c r="R272" s="50"/>
    </row>
    <row r="273" spans="1:18" ht="47.25" thickTop="1" thickBot="1" x14ac:dyDescent="0.25">
      <c r="A273" s="313" t="s">
        <v>795</v>
      </c>
      <c r="B273" s="313" t="s">
        <v>691</v>
      </c>
      <c r="C273" s="313"/>
      <c r="D273" s="313" t="s">
        <v>689</v>
      </c>
      <c r="E273" s="328">
        <f>'d3'!E273-d3П!E268</f>
        <v>0</v>
      </c>
      <c r="F273" s="328">
        <f>'d3'!F273-d3П!F268</f>
        <v>0</v>
      </c>
      <c r="G273" s="328">
        <f>'d3'!G273-d3П!G268</f>
        <v>0</v>
      </c>
      <c r="H273" s="328">
        <f>'d3'!H273-d3П!H268</f>
        <v>0</v>
      </c>
      <c r="I273" s="328">
        <f>'d3'!I273-d3П!I268</f>
        <v>0</v>
      </c>
      <c r="J273" s="328">
        <f>'d3'!J273-d3П!J268</f>
        <v>1300000</v>
      </c>
      <c r="K273" s="328">
        <f>'d3'!K273-d3П!K268</f>
        <v>1300000</v>
      </c>
      <c r="L273" s="328">
        <f>'d3'!L273-d3П!L268</f>
        <v>0</v>
      </c>
      <c r="M273" s="328">
        <f>'d3'!M273-d3П!M268</f>
        <v>0</v>
      </c>
      <c r="N273" s="328">
        <f>'d3'!N273-d3П!N268</f>
        <v>0</v>
      </c>
      <c r="O273" s="328">
        <f>'d3'!O273-d3П!O268</f>
        <v>1300000</v>
      </c>
      <c r="P273" s="328">
        <f>'d3'!P273-d3П!P268</f>
        <v>1300000</v>
      </c>
      <c r="Q273" s="20"/>
      <c r="R273" s="50"/>
    </row>
    <row r="274" spans="1:18" ht="47.25" thickTop="1" thickBot="1" x14ac:dyDescent="0.25">
      <c r="A274" s="103" t="s">
        <v>296</v>
      </c>
      <c r="B274" s="103" t="s">
        <v>212</v>
      </c>
      <c r="C274" s="103" t="s">
        <v>213</v>
      </c>
      <c r="D274" s="103" t="s">
        <v>41</v>
      </c>
      <c r="E274" s="328">
        <f>'d3'!E274-d3П!E269</f>
        <v>0</v>
      </c>
      <c r="F274" s="328">
        <f>'d3'!F274-d3П!F269</f>
        <v>0</v>
      </c>
      <c r="G274" s="328">
        <f>'d3'!G274-d3П!G269</f>
        <v>0</v>
      </c>
      <c r="H274" s="328">
        <f>'d3'!H274-d3П!H269</f>
        <v>0</v>
      </c>
      <c r="I274" s="328">
        <f>'d3'!I274-d3П!I269</f>
        <v>0</v>
      </c>
      <c r="J274" s="328">
        <f>'d3'!J274-d3П!J269</f>
        <v>0</v>
      </c>
      <c r="K274" s="328">
        <f>'d3'!K274-d3П!K269</f>
        <v>0</v>
      </c>
      <c r="L274" s="328">
        <f>'d3'!L274-d3П!L269</f>
        <v>0</v>
      </c>
      <c r="M274" s="328">
        <f>'d3'!M274-d3П!M269</f>
        <v>0</v>
      </c>
      <c r="N274" s="328">
        <f>'d3'!N274-d3П!N269</f>
        <v>0</v>
      </c>
      <c r="O274" s="328">
        <f>'d3'!O274-d3П!O269</f>
        <v>0</v>
      </c>
      <c r="P274" s="328">
        <f>'d3'!P274-d3П!P269</f>
        <v>0</v>
      </c>
      <c r="Q274" s="20"/>
      <c r="R274" s="54"/>
    </row>
    <row r="275" spans="1:18" ht="47.25" thickTop="1" thickBot="1" x14ac:dyDescent="0.25">
      <c r="A275" s="103" t="s">
        <v>918</v>
      </c>
      <c r="B275" s="103" t="s">
        <v>197</v>
      </c>
      <c r="C275" s="103" t="s">
        <v>170</v>
      </c>
      <c r="D275" s="103" t="s">
        <v>34</v>
      </c>
      <c r="E275" s="328">
        <f>'d3'!E275-d3П!E270</f>
        <v>0</v>
      </c>
      <c r="F275" s="328">
        <f>'d3'!F275-d3П!F270</f>
        <v>0</v>
      </c>
      <c r="G275" s="328">
        <f>'d3'!G275-d3П!G270</f>
        <v>0</v>
      </c>
      <c r="H275" s="328">
        <f>'d3'!H275-d3П!H270</f>
        <v>0</v>
      </c>
      <c r="I275" s="328">
        <f>'d3'!I275-d3П!I270</f>
        <v>0</v>
      </c>
      <c r="J275" s="328">
        <f>'d3'!J275-d3П!J270</f>
        <v>1300000</v>
      </c>
      <c r="K275" s="328">
        <f>'d3'!K275-d3П!K270</f>
        <v>1300000</v>
      </c>
      <c r="L275" s="328">
        <f>'d3'!L275-d3П!L270</f>
        <v>0</v>
      </c>
      <c r="M275" s="328">
        <f>'d3'!M275-d3П!M270</f>
        <v>0</v>
      </c>
      <c r="N275" s="328">
        <f>'d3'!N275-d3П!N270</f>
        <v>0</v>
      </c>
      <c r="O275" s="328">
        <f>'d3'!O275-d3П!O270</f>
        <v>1300000</v>
      </c>
      <c r="P275" s="328">
        <f>'d3'!P275-d3П!P270</f>
        <v>1300000</v>
      </c>
      <c r="Q275" s="20"/>
      <c r="R275" s="54"/>
    </row>
    <row r="276" spans="1:18" ht="48" hidden="1" customHeight="1" thickTop="1" thickBot="1" x14ac:dyDescent="0.25">
      <c r="A276" s="140" t="s">
        <v>796</v>
      </c>
      <c r="B276" s="140" t="s">
        <v>694</v>
      </c>
      <c r="C276" s="140"/>
      <c r="D276" s="140" t="s">
        <v>797</v>
      </c>
      <c r="E276" s="328">
        <f>'d3'!E276-d3П!E271</f>
        <v>0</v>
      </c>
      <c r="F276" s="328">
        <f>'d3'!F276-d3П!F271</f>
        <v>0</v>
      </c>
      <c r="G276" s="328">
        <f>'d3'!G276-d3П!G271</f>
        <v>0</v>
      </c>
      <c r="H276" s="328">
        <f>'d3'!H276-d3П!H271</f>
        <v>0</v>
      </c>
      <c r="I276" s="328">
        <f>'d3'!I276-d3П!I271</f>
        <v>0</v>
      </c>
      <c r="J276" s="328">
        <f>'d3'!J276-d3П!J271</f>
        <v>0</v>
      </c>
      <c r="K276" s="328">
        <f>'d3'!K276-d3П!K271</f>
        <v>0</v>
      </c>
      <c r="L276" s="328">
        <f>'d3'!L276-d3П!L271</f>
        <v>0</v>
      </c>
      <c r="M276" s="328">
        <f>'d3'!M276-d3П!M271</f>
        <v>0</v>
      </c>
      <c r="N276" s="328">
        <f>'d3'!N276-d3П!N271</f>
        <v>0</v>
      </c>
      <c r="O276" s="328">
        <f>'d3'!O276-d3П!O271</f>
        <v>0</v>
      </c>
      <c r="P276" s="328">
        <f>'d3'!P276-d3П!P271</f>
        <v>0</v>
      </c>
      <c r="Q276" s="20"/>
      <c r="R276" s="50"/>
    </row>
    <row r="277" spans="1:18" ht="214.5" hidden="1" customHeight="1" thickTop="1" thickBot="1" x14ac:dyDescent="0.7">
      <c r="A277" s="797" t="s">
        <v>424</v>
      </c>
      <c r="B277" s="797" t="s">
        <v>338</v>
      </c>
      <c r="C277" s="797" t="s">
        <v>170</v>
      </c>
      <c r="D277" s="155" t="s">
        <v>440</v>
      </c>
      <c r="E277" s="328">
        <f>'d3'!E277-d3П!E272</f>
        <v>0</v>
      </c>
      <c r="F277" s="328">
        <f>'d3'!F277-d3П!F272</f>
        <v>0</v>
      </c>
      <c r="G277" s="328">
        <f>'d3'!G277-d3П!G272</f>
        <v>0</v>
      </c>
      <c r="H277" s="328">
        <f>'d3'!H277-d3П!H272</f>
        <v>0</v>
      </c>
      <c r="I277" s="328">
        <f>'d3'!I277-d3П!I272</f>
        <v>0</v>
      </c>
      <c r="J277" s="328">
        <f>'d3'!J277-d3П!J272</f>
        <v>0</v>
      </c>
      <c r="K277" s="328">
        <f>'d3'!K277-d3П!K272</f>
        <v>0</v>
      </c>
      <c r="L277" s="328">
        <f>'d3'!L277-d3П!L272</f>
        <v>0</v>
      </c>
      <c r="M277" s="328">
        <f>'d3'!M277-d3П!M272</f>
        <v>0</v>
      </c>
      <c r="N277" s="328">
        <f>'d3'!N277-d3П!N272</f>
        <v>0</v>
      </c>
      <c r="O277" s="328">
        <f>'d3'!O277-d3П!O272</f>
        <v>0</v>
      </c>
      <c r="P277" s="328">
        <f>'d3'!P277-d3П!P272</f>
        <v>0</v>
      </c>
      <c r="Q277" s="20"/>
      <c r="R277" s="50"/>
    </row>
    <row r="278" spans="1:18" ht="93" hidden="1" customHeight="1" thickTop="1" thickBot="1" x14ac:dyDescent="0.25">
      <c r="A278" s="797"/>
      <c r="B278" s="797"/>
      <c r="C278" s="797"/>
      <c r="D278" s="156" t="s">
        <v>441</v>
      </c>
      <c r="E278" s="328">
        <f>'d3'!E278-d3П!E273</f>
        <v>0</v>
      </c>
      <c r="F278" s="328">
        <f>'d3'!F278-d3П!F273</f>
        <v>0</v>
      </c>
      <c r="G278" s="328">
        <f>'d3'!G278-d3П!G273</f>
        <v>0</v>
      </c>
      <c r="H278" s="328">
        <f>'d3'!H278-d3П!H273</f>
        <v>0</v>
      </c>
      <c r="I278" s="328">
        <f>'d3'!I278-d3П!I273</f>
        <v>0</v>
      </c>
      <c r="J278" s="328">
        <f>'d3'!J278-d3П!J273</f>
        <v>0</v>
      </c>
      <c r="K278" s="328">
        <f>'d3'!K278-d3П!K273</f>
        <v>0</v>
      </c>
      <c r="L278" s="328">
        <f>'d3'!L278-d3П!L273</f>
        <v>0</v>
      </c>
      <c r="M278" s="328">
        <f>'d3'!M278-d3П!M273</f>
        <v>0</v>
      </c>
      <c r="N278" s="328">
        <f>'d3'!N278-d3П!N273</f>
        <v>0</v>
      </c>
      <c r="O278" s="328">
        <f>'d3'!O278-d3П!O273</f>
        <v>0</v>
      </c>
      <c r="P278" s="328">
        <f>'d3'!P278-d3П!P273</f>
        <v>0</v>
      </c>
      <c r="Q278" s="20"/>
      <c r="R278" s="50"/>
    </row>
    <row r="279" spans="1:18" ht="47.25" thickTop="1" thickBot="1" x14ac:dyDescent="0.25">
      <c r="A279" s="311" t="s">
        <v>1230</v>
      </c>
      <c r="B279" s="311" t="s">
        <v>696</v>
      </c>
      <c r="C279" s="311"/>
      <c r="D279" s="311" t="s">
        <v>697</v>
      </c>
      <c r="E279" s="328">
        <f>'d3'!E279-d3П!E274</f>
        <v>77487</v>
      </c>
      <c r="F279" s="328">
        <f>'d3'!F279-d3П!F274</f>
        <v>77487</v>
      </c>
      <c r="G279" s="328">
        <f>'d3'!G279-d3П!G274</f>
        <v>0</v>
      </c>
      <c r="H279" s="328">
        <f>'d3'!H279-d3П!H274</f>
        <v>0</v>
      </c>
      <c r="I279" s="328">
        <f>'d3'!I279-d3П!I274</f>
        <v>0</v>
      </c>
      <c r="J279" s="328">
        <f>'d3'!J279-d3П!J274</f>
        <v>0</v>
      </c>
      <c r="K279" s="328">
        <f>'d3'!K279-d3П!K274</f>
        <v>0</v>
      </c>
      <c r="L279" s="328">
        <f>'d3'!L279-d3П!L274</f>
        <v>0</v>
      </c>
      <c r="M279" s="328">
        <f>'d3'!M279-d3П!M274</f>
        <v>0</v>
      </c>
      <c r="N279" s="328">
        <f>'d3'!N279-d3П!N274</f>
        <v>0</v>
      </c>
      <c r="O279" s="328">
        <f>'d3'!O279-d3П!O274</f>
        <v>0</v>
      </c>
      <c r="P279" s="328">
        <f>'d3'!P279-d3П!P274</f>
        <v>77487</v>
      </c>
      <c r="Q279" s="20"/>
      <c r="R279" s="50"/>
    </row>
    <row r="280" spans="1:18" ht="47.25" thickTop="1" thickBot="1" x14ac:dyDescent="0.25">
      <c r="A280" s="313" t="s">
        <v>1500</v>
      </c>
      <c r="B280" s="313" t="s">
        <v>812</v>
      </c>
      <c r="C280" s="313"/>
      <c r="D280" s="356" t="s">
        <v>1281</v>
      </c>
      <c r="E280" s="328">
        <f>'d3'!E280-d3П!E275</f>
        <v>77487</v>
      </c>
      <c r="F280" s="328">
        <f>'d3'!F280-d3П!F275</f>
        <v>77487</v>
      </c>
      <c r="G280" s="328">
        <f>'d3'!G280-d3П!G275</f>
        <v>0</v>
      </c>
      <c r="H280" s="328">
        <f>'d3'!H280-d3П!H275</f>
        <v>0</v>
      </c>
      <c r="I280" s="328">
        <f>'d3'!I280-d3П!I275</f>
        <v>0</v>
      </c>
      <c r="J280" s="328">
        <f>'d3'!J280-d3П!J275</f>
        <v>0</v>
      </c>
      <c r="K280" s="328">
        <f>'d3'!K280-d3П!K275</f>
        <v>0</v>
      </c>
      <c r="L280" s="328">
        <f>'d3'!L280-d3П!L275</f>
        <v>0</v>
      </c>
      <c r="M280" s="328">
        <f>'d3'!M280-d3П!M275</f>
        <v>0</v>
      </c>
      <c r="N280" s="328">
        <f>'d3'!N280-d3П!N275</f>
        <v>0</v>
      </c>
      <c r="O280" s="328">
        <f>'d3'!O280-d3П!O275</f>
        <v>0</v>
      </c>
      <c r="P280" s="328">
        <f>'d3'!P280-d3П!P275</f>
        <v>77487</v>
      </c>
      <c r="Q280" s="20"/>
      <c r="R280" s="50"/>
    </row>
    <row r="281" spans="1:18" ht="93" thickTop="1" thickBot="1" x14ac:dyDescent="0.25">
      <c r="A281" s="103" t="s">
        <v>1501</v>
      </c>
      <c r="B281" s="103" t="s">
        <v>518</v>
      </c>
      <c r="C281" s="103" t="s">
        <v>251</v>
      </c>
      <c r="D281" s="103" t="s">
        <v>519</v>
      </c>
      <c r="E281" s="328">
        <f>'d3'!E281-d3П!E276</f>
        <v>77487</v>
      </c>
      <c r="F281" s="328">
        <f>'d3'!F281-d3П!F276</f>
        <v>77487</v>
      </c>
      <c r="G281" s="328">
        <f>'d3'!G281-d3П!G276</f>
        <v>0</v>
      </c>
      <c r="H281" s="328">
        <f>'d3'!H281-d3П!H276</f>
        <v>0</v>
      </c>
      <c r="I281" s="328">
        <f>'d3'!I281-d3П!I276</f>
        <v>0</v>
      </c>
      <c r="J281" s="328">
        <f>'d3'!J281-d3П!J276</f>
        <v>0</v>
      </c>
      <c r="K281" s="328">
        <f>'d3'!K281-d3П!K276</f>
        <v>0</v>
      </c>
      <c r="L281" s="328">
        <f>'d3'!L281-d3П!L276</f>
        <v>0</v>
      </c>
      <c r="M281" s="328">
        <f>'d3'!M281-d3П!M276</f>
        <v>0</v>
      </c>
      <c r="N281" s="328">
        <f>'d3'!N281-d3П!N276</f>
        <v>0</v>
      </c>
      <c r="O281" s="328">
        <f>'d3'!O281-d3П!O276</f>
        <v>0</v>
      </c>
      <c r="P281" s="328">
        <f>'d3'!P281-d3П!P276</f>
        <v>77487</v>
      </c>
      <c r="Q281" s="20"/>
      <c r="R281" s="50"/>
    </row>
    <row r="282" spans="1:18" ht="47.25" hidden="1" thickTop="1" thickBot="1" x14ac:dyDescent="0.25">
      <c r="A282" s="136" t="s">
        <v>1231</v>
      </c>
      <c r="B282" s="136" t="s">
        <v>1186</v>
      </c>
      <c r="C282" s="136"/>
      <c r="D282" s="136" t="s">
        <v>1184</v>
      </c>
      <c r="E282" s="137">
        <f t="shared" ref="E282:P282" si="64">SUM(E283:E283)</f>
        <v>0</v>
      </c>
      <c r="F282" s="137">
        <f t="shared" si="64"/>
        <v>0</v>
      </c>
      <c r="G282" s="137">
        <f t="shared" si="64"/>
        <v>0</v>
      </c>
      <c r="H282" s="137">
        <f t="shared" si="64"/>
        <v>0</v>
      </c>
      <c r="I282" s="137">
        <f t="shared" si="64"/>
        <v>0</v>
      </c>
      <c r="J282" s="137">
        <f t="shared" si="64"/>
        <v>0</v>
      </c>
      <c r="K282" s="137">
        <f t="shared" si="64"/>
        <v>0</v>
      </c>
      <c r="L282" s="137">
        <f t="shared" si="64"/>
        <v>0</v>
      </c>
      <c r="M282" s="137">
        <f t="shared" si="64"/>
        <v>0</v>
      </c>
      <c r="N282" s="137">
        <f t="shared" si="64"/>
        <v>0</v>
      </c>
      <c r="O282" s="137">
        <f t="shared" si="64"/>
        <v>0</v>
      </c>
      <c r="P282" s="137">
        <f t="shared" si="64"/>
        <v>0</v>
      </c>
      <c r="Q282" s="20"/>
      <c r="R282" s="50"/>
    </row>
    <row r="283" spans="1:18" ht="48" hidden="1" thickTop="1" thickBot="1" x14ac:dyDescent="0.25">
      <c r="A283" s="128" t="s">
        <v>1232</v>
      </c>
      <c r="B283" s="128" t="s">
        <v>1213</v>
      </c>
      <c r="C283" s="128" t="s">
        <v>1188</v>
      </c>
      <c r="D283" s="128" t="s">
        <v>1214</v>
      </c>
      <c r="E283" s="127">
        <f>F283</f>
        <v>0</v>
      </c>
      <c r="F283" s="134"/>
      <c r="G283" s="134"/>
      <c r="H283" s="134"/>
      <c r="I283" s="134"/>
      <c r="J283" s="127">
        <f>L283+O283</f>
        <v>0</v>
      </c>
      <c r="K283" s="134"/>
      <c r="L283" s="134"/>
      <c r="M283" s="134"/>
      <c r="N283" s="134"/>
      <c r="O283" s="132">
        <f>K283</f>
        <v>0</v>
      </c>
      <c r="P283" s="127">
        <f>E283+J283</f>
        <v>0</v>
      </c>
      <c r="Q283" s="20"/>
      <c r="R283" s="50"/>
    </row>
    <row r="284" spans="1:18" ht="120" customHeight="1" thickTop="1" thickBot="1" x14ac:dyDescent="0.25">
      <c r="A284" s="661" t="s">
        <v>540</v>
      </c>
      <c r="B284" s="661"/>
      <c r="C284" s="661"/>
      <c r="D284" s="662" t="s">
        <v>559</v>
      </c>
      <c r="E284" s="663">
        <f>E285</f>
        <v>16482778</v>
      </c>
      <c r="F284" s="664">
        <f t="shared" ref="F284:G284" si="65">F285</f>
        <v>16482778</v>
      </c>
      <c r="G284" s="664">
        <f t="shared" si="65"/>
        <v>0</v>
      </c>
      <c r="H284" s="664">
        <f>H285</f>
        <v>0</v>
      </c>
      <c r="I284" s="664">
        <f t="shared" ref="I284" si="66">I285</f>
        <v>0</v>
      </c>
      <c r="J284" s="663">
        <f>J285</f>
        <v>4830744</v>
      </c>
      <c r="K284" s="664">
        <f>K285</f>
        <v>4830744</v>
      </c>
      <c r="L284" s="664">
        <f>L285</f>
        <v>0</v>
      </c>
      <c r="M284" s="664">
        <f t="shared" ref="M284" si="67">M285</f>
        <v>0</v>
      </c>
      <c r="N284" s="664">
        <f>N285</f>
        <v>0</v>
      </c>
      <c r="O284" s="663">
        <f>O285</f>
        <v>4830744</v>
      </c>
      <c r="P284" s="664">
        <f>P285</f>
        <v>21313522</v>
      </c>
      <c r="Q284" s="20"/>
      <c r="R284" s="50"/>
    </row>
    <row r="285" spans="1:18" ht="120" customHeight="1" thickTop="1" thickBot="1" x14ac:dyDescent="0.25">
      <c r="A285" s="658" t="s">
        <v>541</v>
      </c>
      <c r="B285" s="658"/>
      <c r="C285" s="658"/>
      <c r="D285" s="659" t="s">
        <v>560</v>
      </c>
      <c r="E285" s="660">
        <f>E286+E290+E298+E311+E316</f>
        <v>16482778</v>
      </c>
      <c r="F285" s="660">
        <f>F286+F290+F298+F311+F316</f>
        <v>16482778</v>
      </c>
      <c r="G285" s="660">
        <f>G286+G290+G298+G311+G316</f>
        <v>0</v>
      </c>
      <c r="H285" s="660">
        <f>H286+H290+H298+H311+H316</f>
        <v>0</v>
      </c>
      <c r="I285" s="660">
        <f>I286+I290+I298+I311+I316</f>
        <v>0</v>
      </c>
      <c r="J285" s="660">
        <f t="shared" ref="J285" si="68">L285+O285</f>
        <v>4830744</v>
      </c>
      <c r="K285" s="660">
        <f>K286+K290+K298+K311+K316</f>
        <v>4830744</v>
      </c>
      <c r="L285" s="660">
        <f>L286+L290+L298+L311+L316</f>
        <v>0</v>
      </c>
      <c r="M285" s="660">
        <f>M286+M290+M298+M311+M316</f>
        <v>0</v>
      </c>
      <c r="N285" s="660">
        <f>N286+N290+N298+N311+N316</f>
        <v>0</v>
      </c>
      <c r="O285" s="660">
        <f>O286+O290+O298+O311+O316</f>
        <v>4830744</v>
      </c>
      <c r="P285" s="660">
        <f>E285+J285</f>
        <v>21313522</v>
      </c>
      <c r="Q285" s="503" t="b">
        <f>P285=P287+P292+P293+P295+P296+P297+P300+P303+P305+P306+P313+P314</f>
        <v>1</v>
      </c>
      <c r="R285" s="45"/>
    </row>
    <row r="286" spans="1:18" ht="47.25" thickTop="1" thickBot="1" x14ac:dyDescent="0.25">
      <c r="A286" s="311" t="s">
        <v>798</v>
      </c>
      <c r="B286" s="311" t="s">
        <v>684</v>
      </c>
      <c r="C286" s="311"/>
      <c r="D286" s="311" t="s">
        <v>685</v>
      </c>
      <c r="E286" s="328">
        <f>'d3'!E286-d3П!E281</f>
        <v>0</v>
      </c>
      <c r="F286" s="328">
        <f>'d3'!F286-d3П!F281</f>
        <v>0</v>
      </c>
      <c r="G286" s="328">
        <f>'d3'!G286-d3П!G281</f>
        <v>0</v>
      </c>
      <c r="H286" s="328">
        <f>'d3'!H286-d3П!H281</f>
        <v>0</v>
      </c>
      <c r="I286" s="328">
        <f>'d3'!I286-d3П!I281</f>
        <v>0</v>
      </c>
      <c r="J286" s="328">
        <f>'d3'!J286-d3П!J281</f>
        <v>0</v>
      </c>
      <c r="K286" s="328">
        <f>'d3'!K286-d3П!K281</f>
        <v>0</v>
      </c>
      <c r="L286" s="328">
        <f>'d3'!L286-d3П!L281</f>
        <v>0</v>
      </c>
      <c r="M286" s="328">
        <f>'d3'!M286-d3П!M281</f>
        <v>0</v>
      </c>
      <c r="N286" s="328">
        <f>'d3'!N286-d3П!N281</f>
        <v>0</v>
      </c>
      <c r="O286" s="328">
        <f>'d3'!O286-d3П!O281</f>
        <v>0</v>
      </c>
      <c r="P286" s="328">
        <f>'d3'!P286-d3П!P281</f>
        <v>0</v>
      </c>
      <c r="Q286" s="47"/>
      <c r="R286" s="45"/>
    </row>
    <row r="287" spans="1:18" ht="93" thickTop="1" thickBot="1" x14ac:dyDescent="0.25">
      <c r="A287" s="103" t="s">
        <v>542</v>
      </c>
      <c r="B287" s="103" t="s">
        <v>236</v>
      </c>
      <c r="C287" s="103" t="s">
        <v>234</v>
      </c>
      <c r="D287" s="103" t="s">
        <v>235</v>
      </c>
      <c r="E287" s="328">
        <f>'d3'!E287-d3П!E282</f>
        <v>0</v>
      </c>
      <c r="F287" s="328">
        <f>'d3'!F287-d3П!F282</f>
        <v>0</v>
      </c>
      <c r="G287" s="328">
        <f>'d3'!G287-d3П!G282</f>
        <v>0</v>
      </c>
      <c r="H287" s="328">
        <f>'d3'!H287-d3П!H282</f>
        <v>0</v>
      </c>
      <c r="I287" s="328">
        <f>'d3'!I287-d3П!I282</f>
        <v>0</v>
      </c>
      <c r="J287" s="328">
        <f>'d3'!J287-d3П!J282</f>
        <v>0</v>
      </c>
      <c r="K287" s="328">
        <f>'d3'!K287-d3П!K282</f>
        <v>0</v>
      </c>
      <c r="L287" s="328">
        <f>'d3'!L287-d3П!L282</f>
        <v>0</v>
      </c>
      <c r="M287" s="328">
        <f>'d3'!M287-d3П!M282</f>
        <v>0</v>
      </c>
      <c r="N287" s="328">
        <f>'d3'!N287-d3П!N282</f>
        <v>0</v>
      </c>
      <c r="O287" s="328">
        <f>'d3'!O287-d3П!O282</f>
        <v>0</v>
      </c>
      <c r="P287" s="328">
        <f>'d3'!P287-d3П!P282</f>
        <v>0</v>
      </c>
      <c r="Q287" s="20"/>
      <c r="R287" s="45"/>
    </row>
    <row r="288" spans="1:18" ht="93" hidden="1" thickTop="1" thickBot="1" x14ac:dyDescent="0.25">
      <c r="A288" s="128" t="s">
        <v>629</v>
      </c>
      <c r="B288" s="128" t="s">
        <v>362</v>
      </c>
      <c r="C288" s="128" t="s">
        <v>625</v>
      </c>
      <c r="D288" s="128" t="s">
        <v>626</v>
      </c>
      <c r="E288" s="328">
        <f>'d3'!E288-d3П!E283</f>
        <v>0</v>
      </c>
      <c r="F288" s="328">
        <f>'d3'!F288-d3П!F283</f>
        <v>0</v>
      </c>
      <c r="G288" s="328">
        <f>'d3'!G288-d3П!G283</f>
        <v>0</v>
      </c>
      <c r="H288" s="328">
        <f>'d3'!H288-d3П!H283</f>
        <v>0</v>
      </c>
      <c r="I288" s="328">
        <f>'d3'!I288-d3П!I283</f>
        <v>0</v>
      </c>
      <c r="J288" s="328">
        <f>'d3'!J288-d3П!J283</f>
        <v>0</v>
      </c>
      <c r="K288" s="328">
        <f>'d3'!K288-d3П!K283</f>
        <v>0</v>
      </c>
      <c r="L288" s="328">
        <f>'d3'!L288-d3П!L283</f>
        <v>0</v>
      </c>
      <c r="M288" s="328">
        <f>'d3'!M288-d3П!M283</f>
        <v>0</v>
      </c>
      <c r="N288" s="328">
        <f>'d3'!N288-d3П!N283</f>
        <v>0</v>
      </c>
      <c r="O288" s="328">
        <f>'d3'!O288-d3П!O283</f>
        <v>0</v>
      </c>
      <c r="P288" s="328">
        <f>'d3'!P288-d3П!P283</f>
        <v>0</v>
      </c>
      <c r="Q288" s="20"/>
      <c r="R288" s="45"/>
    </row>
    <row r="289" spans="1:18" ht="47.25" hidden="1" thickTop="1" thickBot="1" x14ac:dyDescent="0.25">
      <c r="A289" s="128" t="s">
        <v>543</v>
      </c>
      <c r="B289" s="128" t="s">
        <v>43</v>
      </c>
      <c r="C289" s="128" t="s">
        <v>42</v>
      </c>
      <c r="D289" s="128" t="s">
        <v>248</v>
      </c>
      <c r="E289" s="328">
        <f>'d3'!E289-d3П!E284</f>
        <v>0</v>
      </c>
      <c r="F289" s="328">
        <f>'d3'!F289-d3П!F284</f>
        <v>0</v>
      </c>
      <c r="G289" s="328">
        <f>'d3'!G289-d3П!G284</f>
        <v>0</v>
      </c>
      <c r="H289" s="328">
        <f>'d3'!H289-d3П!H284</f>
        <v>0</v>
      </c>
      <c r="I289" s="328">
        <f>'d3'!I289-d3П!I284</f>
        <v>0</v>
      </c>
      <c r="J289" s="328">
        <f>'d3'!J289-d3П!J284</f>
        <v>0</v>
      </c>
      <c r="K289" s="328">
        <f>'d3'!K289-d3П!K284</f>
        <v>0</v>
      </c>
      <c r="L289" s="328">
        <f>'d3'!L289-d3П!L284</f>
        <v>0</v>
      </c>
      <c r="M289" s="328">
        <f>'d3'!M289-d3П!M284</f>
        <v>0</v>
      </c>
      <c r="N289" s="328">
        <f>'d3'!N289-d3П!N284</f>
        <v>0</v>
      </c>
      <c r="O289" s="328">
        <f>'d3'!O289-d3П!O284</f>
        <v>0</v>
      </c>
      <c r="P289" s="328">
        <f>'d3'!P289-d3П!P284</f>
        <v>0</v>
      </c>
      <c r="Q289" s="20"/>
      <c r="R289" s="50"/>
    </row>
    <row r="290" spans="1:18" ht="47.25" thickTop="1" thickBot="1" x14ac:dyDescent="0.25">
      <c r="A290" s="311" t="s">
        <v>799</v>
      </c>
      <c r="B290" s="311" t="s">
        <v>742</v>
      </c>
      <c r="C290" s="311"/>
      <c r="D290" s="347" t="s">
        <v>743</v>
      </c>
      <c r="E290" s="328">
        <f>'d3'!E290-d3П!E285</f>
        <v>28482778</v>
      </c>
      <c r="F290" s="328">
        <f>'d3'!F290-d3П!F285</f>
        <v>28482778</v>
      </c>
      <c r="G290" s="328">
        <f>'d3'!G290-d3П!G285</f>
        <v>0</v>
      </c>
      <c r="H290" s="328">
        <f>'d3'!H290-d3П!H285</f>
        <v>0</v>
      </c>
      <c r="I290" s="328">
        <f>'d3'!I290-d3П!I285</f>
        <v>0</v>
      </c>
      <c r="J290" s="328">
        <f>'d3'!J290-d3П!J285</f>
        <v>0</v>
      </c>
      <c r="K290" s="328">
        <f>'d3'!K290-d3П!K285</f>
        <v>0</v>
      </c>
      <c r="L290" s="328">
        <f>'d3'!L290-d3П!L285</f>
        <v>0</v>
      </c>
      <c r="M290" s="328">
        <f>'d3'!M290-d3П!M285</f>
        <v>0</v>
      </c>
      <c r="N290" s="328">
        <f>'d3'!N290-d3П!N285</f>
        <v>0</v>
      </c>
      <c r="O290" s="328">
        <f>'d3'!O290-d3П!O285</f>
        <v>0</v>
      </c>
      <c r="P290" s="328">
        <f>'d3'!P290-d3П!P285</f>
        <v>28482778</v>
      </c>
      <c r="Q290" s="20"/>
      <c r="R290" s="50"/>
    </row>
    <row r="291" spans="1:18" ht="93" thickTop="1" thickBot="1" x14ac:dyDescent="0.25">
      <c r="A291" s="329" t="s">
        <v>800</v>
      </c>
      <c r="B291" s="329" t="s">
        <v>791</v>
      </c>
      <c r="C291" s="329"/>
      <c r="D291" s="329" t="s">
        <v>792</v>
      </c>
      <c r="E291" s="328">
        <f>'d3'!E291-d3П!E286</f>
        <v>10000000</v>
      </c>
      <c r="F291" s="328">
        <f>'d3'!F291-d3П!F286</f>
        <v>10000000</v>
      </c>
      <c r="G291" s="328">
        <f>'d3'!G291-d3П!G286</f>
        <v>0</v>
      </c>
      <c r="H291" s="328">
        <f>'d3'!H291-d3П!H286</f>
        <v>0</v>
      </c>
      <c r="I291" s="328">
        <f>'d3'!I291-d3П!I286</f>
        <v>0</v>
      </c>
      <c r="J291" s="328">
        <f>'d3'!J291-d3П!J286</f>
        <v>0</v>
      </c>
      <c r="K291" s="328">
        <f>'d3'!K291-d3П!K286</f>
        <v>0</v>
      </c>
      <c r="L291" s="328">
        <f>'d3'!L291-d3П!L286</f>
        <v>0</v>
      </c>
      <c r="M291" s="328">
        <f>'d3'!M291-d3П!M286</f>
        <v>0</v>
      </c>
      <c r="N291" s="328">
        <f>'d3'!N291-d3П!N286</f>
        <v>0</v>
      </c>
      <c r="O291" s="328">
        <f>'d3'!O291-d3П!O286</f>
        <v>0</v>
      </c>
      <c r="P291" s="328">
        <f>'d3'!P291-d3П!P286</f>
        <v>10000000</v>
      </c>
      <c r="Q291" s="20"/>
      <c r="R291" s="50"/>
    </row>
    <row r="292" spans="1:18" ht="93" thickTop="1" thickBot="1" x14ac:dyDescent="0.25">
      <c r="A292" s="103" t="s">
        <v>544</v>
      </c>
      <c r="B292" s="103" t="s">
        <v>376</v>
      </c>
      <c r="C292" s="103" t="s">
        <v>283</v>
      </c>
      <c r="D292" s="103" t="s">
        <v>377</v>
      </c>
      <c r="E292" s="328">
        <f>'d3'!E292-d3П!E287</f>
        <v>10000000</v>
      </c>
      <c r="F292" s="328">
        <f>'d3'!F292-d3П!F287</f>
        <v>10000000</v>
      </c>
      <c r="G292" s="328">
        <f>'d3'!G292-d3П!G287</f>
        <v>0</v>
      </c>
      <c r="H292" s="328">
        <f>'d3'!H292-d3П!H287</f>
        <v>0</v>
      </c>
      <c r="I292" s="328">
        <f>'d3'!I292-d3П!I287</f>
        <v>0</v>
      </c>
      <c r="J292" s="328">
        <f>'d3'!J292-d3П!J287</f>
        <v>0</v>
      </c>
      <c r="K292" s="328">
        <f>'d3'!K292-d3П!K287</f>
        <v>0</v>
      </c>
      <c r="L292" s="328">
        <f>'d3'!L292-d3П!L287</f>
        <v>0</v>
      </c>
      <c r="M292" s="328">
        <f>'d3'!M292-d3П!M287</f>
        <v>0</v>
      </c>
      <c r="N292" s="328">
        <f>'d3'!N292-d3П!N287</f>
        <v>0</v>
      </c>
      <c r="O292" s="328">
        <f>'d3'!O292-d3П!O287</f>
        <v>0</v>
      </c>
      <c r="P292" s="328">
        <f>'d3'!P292-d3П!P287</f>
        <v>10000000</v>
      </c>
      <c r="Q292" s="20"/>
      <c r="R292" s="50"/>
    </row>
    <row r="293" spans="1:18" ht="47.25" thickTop="1" thickBot="1" x14ac:dyDescent="0.25">
      <c r="A293" s="103" t="s">
        <v>545</v>
      </c>
      <c r="B293" s="103" t="s">
        <v>286</v>
      </c>
      <c r="C293" s="103" t="s">
        <v>283</v>
      </c>
      <c r="D293" s="103" t="s">
        <v>287</v>
      </c>
      <c r="E293" s="328">
        <f>'d3'!E293-d3П!E288</f>
        <v>0</v>
      </c>
      <c r="F293" s="328">
        <f>'d3'!F293-d3П!F288</f>
        <v>0</v>
      </c>
      <c r="G293" s="328">
        <f>'d3'!G293-d3П!G288</f>
        <v>0</v>
      </c>
      <c r="H293" s="328">
        <f>'d3'!H293-d3П!H288</f>
        <v>0</v>
      </c>
      <c r="I293" s="328">
        <f>'d3'!I293-d3П!I288</f>
        <v>0</v>
      </c>
      <c r="J293" s="328">
        <f>'d3'!J293-d3П!J288</f>
        <v>0</v>
      </c>
      <c r="K293" s="328">
        <f>'d3'!K293-d3П!K288</f>
        <v>0</v>
      </c>
      <c r="L293" s="328">
        <f>'d3'!L293-d3П!L288</f>
        <v>0</v>
      </c>
      <c r="M293" s="328">
        <f>'d3'!M293-d3П!M288</f>
        <v>0</v>
      </c>
      <c r="N293" s="328">
        <f>'d3'!N293-d3П!N288</f>
        <v>0</v>
      </c>
      <c r="O293" s="328">
        <f>'d3'!O293-d3П!O288</f>
        <v>0</v>
      </c>
      <c r="P293" s="328">
        <f>'d3'!P293-d3П!P288</f>
        <v>0</v>
      </c>
      <c r="Q293" s="20"/>
      <c r="R293" s="50"/>
    </row>
    <row r="294" spans="1:18" ht="93" hidden="1" thickTop="1" thickBot="1" x14ac:dyDescent="0.25">
      <c r="A294" s="128" t="s">
        <v>1410</v>
      </c>
      <c r="B294" s="128" t="s">
        <v>1411</v>
      </c>
      <c r="C294" s="128" t="s">
        <v>283</v>
      </c>
      <c r="D294" s="128" t="s">
        <v>1412</v>
      </c>
      <c r="E294" s="328">
        <f>'d3'!E294-d3П!E289</f>
        <v>0</v>
      </c>
      <c r="F294" s="328">
        <f>'d3'!F294-d3П!F289</f>
        <v>0</v>
      </c>
      <c r="G294" s="328">
        <f>'d3'!G294-d3П!G289</f>
        <v>0</v>
      </c>
      <c r="H294" s="328">
        <f>'d3'!H294-d3П!H289</f>
        <v>0</v>
      </c>
      <c r="I294" s="328">
        <f>'d3'!I294-d3П!I289</f>
        <v>0</v>
      </c>
      <c r="J294" s="328">
        <f>'d3'!J294-d3П!J289</f>
        <v>0</v>
      </c>
      <c r="K294" s="328">
        <f>'d3'!K294-d3П!K289</f>
        <v>0</v>
      </c>
      <c r="L294" s="328">
        <f>'d3'!L294-d3П!L289</f>
        <v>0</v>
      </c>
      <c r="M294" s="328">
        <f>'d3'!M294-d3П!M289</f>
        <v>0</v>
      </c>
      <c r="N294" s="328">
        <f>'d3'!N294-d3П!N289</f>
        <v>0</v>
      </c>
      <c r="O294" s="328">
        <f>'d3'!O294-d3П!O289</f>
        <v>0</v>
      </c>
      <c r="P294" s="328">
        <f>'d3'!P294-d3П!P289</f>
        <v>0</v>
      </c>
      <c r="Q294" s="20"/>
      <c r="R294" s="50"/>
    </row>
    <row r="295" spans="1:18" ht="93" thickTop="1" thickBot="1" x14ac:dyDescent="0.25">
      <c r="A295" s="103" t="s">
        <v>546</v>
      </c>
      <c r="B295" s="103" t="s">
        <v>297</v>
      </c>
      <c r="C295" s="103" t="s">
        <v>283</v>
      </c>
      <c r="D295" s="103" t="s">
        <v>298</v>
      </c>
      <c r="E295" s="328">
        <f>'d3'!E295-d3П!E290</f>
        <v>1987600</v>
      </c>
      <c r="F295" s="328">
        <f>'d3'!F295-d3П!F290</f>
        <v>1987600</v>
      </c>
      <c r="G295" s="328">
        <f>'d3'!G295-d3П!G290</f>
        <v>0</v>
      </c>
      <c r="H295" s="328">
        <f>'d3'!H295-d3П!H290</f>
        <v>0</v>
      </c>
      <c r="I295" s="328">
        <f>'d3'!I295-d3П!I290</f>
        <v>0</v>
      </c>
      <c r="J295" s="328">
        <f>'d3'!J295-d3П!J290</f>
        <v>0</v>
      </c>
      <c r="K295" s="328">
        <f>'d3'!K295-d3П!K290</f>
        <v>0</v>
      </c>
      <c r="L295" s="328">
        <f>'d3'!L295-d3П!L290</f>
        <v>0</v>
      </c>
      <c r="M295" s="328">
        <f>'d3'!M295-d3П!M290</f>
        <v>0</v>
      </c>
      <c r="N295" s="328">
        <f>'d3'!N295-d3П!N290</f>
        <v>0</v>
      </c>
      <c r="O295" s="328">
        <f>'d3'!O295-d3П!O290</f>
        <v>0</v>
      </c>
      <c r="P295" s="328">
        <f>'d3'!P295-d3П!P290</f>
        <v>1987600</v>
      </c>
      <c r="Q295" s="20"/>
      <c r="R295" s="50"/>
    </row>
    <row r="296" spans="1:18" ht="47.25" thickTop="1" thickBot="1" x14ac:dyDescent="0.25">
      <c r="A296" s="103" t="s">
        <v>547</v>
      </c>
      <c r="B296" s="103" t="s">
        <v>289</v>
      </c>
      <c r="C296" s="103" t="s">
        <v>283</v>
      </c>
      <c r="D296" s="103" t="s">
        <v>290</v>
      </c>
      <c r="E296" s="328">
        <f>'d3'!E296-d3П!E291</f>
        <v>16495178</v>
      </c>
      <c r="F296" s="328">
        <f>'d3'!F296-d3П!F291</f>
        <v>16495178</v>
      </c>
      <c r="G296" s="328">
        <f>'d3'!G296-d3П!G291</f>
        <v>0</v>
      </c>
      <c r="H296" s="328">
        <f>'d3'!H296-d3П!H291</f>
        <v>0</v>
      </c>
      <c r="I296" s="328">
        <f>'d3'!I296-d3П!I291</f>
        <v>0</v>
      </c>
      <c r="J296" s="328">
        <f>'d3'!J296-d3П!J291</f>
        <v>0</v>
      </c>
      <c r="K296" s="328">
        <f>'d3'!K296-d3П!K291</f>
        <v>0</v>
      </c>
      <c r="L296" s="328">
        <f>'d3'!L296-d3П!L291</f>
        <v>0</v>
      </c>
      <c r="M296" s="328">
        <f>'d3'!M296-d3П!M291</f>
        <v>0</v>
      </c>
      <c r="N296" s="328">
        <f>'d3'!N296-d3П!N291</f>
        <v>0</v>
      </c>
      <c r="O296" s="328">
        <f>'d3'!O296-d3П!O291</f>
        <v>0</v>
      </c>
      <c r="P296" s="328">
        <f>'d3'!P296-d3П!P291</f>
        <v>16495178</v>
      </c>
      <c r="Q296" s="20"/>
      <c r="R296" s="45"/>
    </row>
    <row r="297" spans="1:18" ht="47.25" thickTop="1" thickBot="1" x14ac:dyDescent="0.25">
      <c r="A297" s="103" t="s">
        <v>1148</v>
      </c>
      <c r="B297" s="103" t="s">
        <v>1149</v>
      </c>
      <c r="C297" s="103" t="s">
        <v>1150</v>
      </c>
      <c r="D297" s="103" t="s">
        <v>1147</v>
      </c>
      <c r="E297" s="328">
        <f>'d3'!E297-d3П!E292</f>
        <v>0</v>
      </c>
      <c r="F297" s="328">
        <f>'d3'!F297-d3П!F292</f>
        <v>0</v>
      </c>
      <c r="G297" s="328">
        <f>'d3'!G297-d3П!G292</f>
        <v>0</v>
      </c>
      <c r="H297" s="328">
        <f>'d3'!H297-d3П!H292</f>
        <v>0</v>
      </c>
      <c r="I297" s="328">
        <f>'d3'!I297-d3П!I292</f>
        <v>0</v>
      </c>
      <c r="J297" s="328">
        <f>'d3'!J297-d3П!J292</f>
        <v>0</v>
      </c>
      <c r="K297" s="328">
        <f>'d3'!K297-d3П!K292</f>
        <v>0</v>
      </c>
      <c r="L297" s="328">
        <f>'d3'!L297-d3П!L292</f>
        <v>0</v>
      </c>
      <c r="M297" s="328">
        <f>'d3'!M297-d3П!M292</f>
        <v>0</v>
      </c>
      <c r="N297" s="328">
        <f>'d3'!N297-d3П!N292</f>
        <v>0</v>
      </c>
      <c r="O297" s="328">
        <f>'d3'!O297-d3П!O292</f>
        <v>0</v>
      </c>
      <c r="P297" s="328">
        <f>'d3'!P297-d3П!P292</f>
        <v>0</v>
      </c>
      <c r="Q297" s="20"/>
      <c r="R297" s="45"/>
    </row>
    <row r="298" spans="1:18" ht="47.25" thickTop="1" thickBot="1" x14ac:dyDescent="0.25">
      <c r="A298" s="311" t="s">
        <v>801</v>
      </c>
      <c r="B298" s="311" t="s">
        <v>748</v>
      </c>
      <c r="C298" s="311"/>
      <c r="D298" s="311" t="s">
        <v>749</v>
      </c>
      <c r="E298" s="328">
        <f>'d3'!E298-d3П!E293</f>
        <v>-12000000</v>
      </c>
      <c r="F298" s="328">
        <f>'d3'!F298-d3П!F293</f>
        <v>-12000000</v>
      </c>
      <c r="G298" s="328">
        <f>'d3'!G298-d3П!G293</f>
        <v>0</v>
      </c>
      <c r="H298" s="328">
        <f>'d3'!H298-d3П!H293</f>
        <v>0</v>
      </c>
      <c r="I298" s="328">
        <f>'d3'!I298-d3П!I293</f>
        <v>0</v>
      </c>
      <c r="J298" s="328">
        <f>'d3'!J298-d3П!J293</f>
        <v>4830744</v>
      </c>
      <c r="K298" s="328">
        <f>'d3'!K298-d3П!K293</f>
        <v>4830744</v>
      </c>
      <c r="L298" s="328">
        <f>'d3'!L298-d3П!L293</f>
        <v>0</v>
      </c>
      <c r="M298" s="328">
        <f>'d3'!M298-d3П!M293</f>
        <v>0</v>
      </c>
      <c r="N298" s="328">
        <f>'d3'!N298-d3П!N293</f>
        <v>0</v>
      </c>
      <c r="O298" s="328">
        <f>'d3'!O298-d3П!O293</f>
        <v>4830744</v>
      </c>
      <c r="P298" s="328">
        <f>'d3'!P298-d3П!P293</f>
        <v>-7169256</v>
      </c>
      <c r="Q298" s="20"/>
      <c r="R298" s="50"/>
    </row>
    <row r="299" spans="1:18" ht="47.25" thickTop="1" thickBot="1" x14ac:dyDescent="0.25">
      <c r="A299" s="698" t="s">
        <v>802</v>
      </c>
      <c r="B299" s="698" t="s">
        <v>803</v>
      </c>
      <c r="C299" s="698"/>
      <c r="D299" s="698" t="s">
        <v>804</v>
      </c>
      <c r="E299" s="328">
        <f>'d3'!E299-d3П!E294</f>
        <v>0</v>
      </c>
      <c r="F299" s="328">
        <f>'d3'!F299-d3П!F294</f>
        <v>0</v>
      </c>
      <c r="G299" s="328">
        <f>'d3'!G299-d3П!G294</f>
        <v>0</v>
      </c>
      <c r="H299" s="328">
        <f>'d3'!H299-d3П!H294</f>
        <v>0</v>
      </c>
      <c r="I299" s="328">
        <f>'d3'!I299-d3П!I294</f>
        <v>0</v>
      </c>
      <c r="J299" s="328">
        <f>'d3'!J299-d3П!J294</f>
        <v>1200000</v>
      </c>
      <c r="K299" s="328">
        <f>'d3'!K299-d3П!K294</f>
        <v>1200000</v>
      </c>
      <c r="L299" s="328">
        <f>'d3'!L299-d3П!L294</f>
        <v>0</v>
      </c>
      <c r="M299" s="328">
        <f>'d3'!M299-d3П!M294</f>
        <v>0</v>
      </c>
      <c r="N299" s="328">
        <f>'d3'!N299-d3П!N294</f>
        <v>0</v>
      </c>
      <c r="O299" s="328">
        <f>'d3'!O299-d3П!O294</f>
        <v>1200000</v>
      </c>
      <c r="P299" s="328">
        <f>'d3'!P299-d3П!P294</f>
        <v>1200000</v>
      </c>
      <c r="Q299" s="20"/>
      <c r="R299" s="50"/>
    </row>
    <row r="300" spans="1:18" ht="54" thickTop="1" thickBot="1" x14ac:dyDescent="0.25">
      <c r="A300" s="695" t="s">
        <v>548</v>
      </c>
      <c r="B300" s="695" t="s">
        <v>305</v>
      </c>
      <c r="C300" s="695" t="s">
        <v>304</v>
      </c>
      <c r="D300" s="695" t="s">
        <v>1502</v>
      </c>
      <c r="E300" s="328">
        <f>'d3'!E300-d3П!E295</f>
        <v>0</v>
      </c>
      <c r="F300" s="328">
        <f>'d3'!F300-d3П!F295</f>
        <v>0</v>
      </c>
      <c r="G300" s="328">
        <f>'d3'!G300-d3П!G295</f>
        <v>0</v>
      </c>
      <c r="H300" s="328">
        <f>'d3'!H300-d3П!H295</f>
        <v>0</v>
      </c>
      <c r="I300" s="328">
        <f>'d3'!I300-d3П!I295</f>
        <v>0</v>
      </c>
      <c r="J300" s="328">
        <f>'d3'!J300-d3П!J295</f>
        <v>1200000</v>
      </c>
      <c r="K300" s="328">
        <f>'d3'!K300-d3П!K295</f>
        <v>1200000</v>
      </c>
      <c r="L300" s="328">
        <f>'d3'!L300-d3П!L295</f>
        <v>0</v>
      </c>
      <c r="M300" s="328">
        <f>'d3'!M300-d3П!M295</f>
        <v>0</v>
      </c>
      <c r="N300" s="328">
        <f>'d3'!N300-d3П!N295</f>
        <v>0</v>
      </c>
      <c r="O300" s="328">
        <f>'d3'!O300-d3П!O295</f>
        <v>1200000</v>
      </c>
      <c r="P300" s="328">
        <f>'d3'!P300-d3П!P295</f>
        <v>1200000</v>
      </c>
      <c r="Q300" s="20"/>
      <c r="R300" s="45"/>
    </row>
    <row r="301" spans="1:18" ht="47.25" thickTop="1" thickBot="1" x14ac:dyDescent="0.25">
      <c r="A301" s="313" t="s">
        <v>805</v>
      </c>
      <c r="B301" s="313" t="s">
        <v>806</v>
      </c>
      <c r="C301" s="313"/>
      <c r="D301" s="313" t="s">
        <v>807</v>
      </c>
      <c r="E301" s="328">
        <f>'d3'!E301-d3П!E296</f>
        <v>-12000000</v>
      </c>
      <c r="F301" s="328">
        <f>'d3'!F301-d3П!F296</f>
        <v>-12000000</v>
      </c>
      <c r="G301" s="328">
        <f>'d3'!G301-d3П!G296</f>
        <v>0</v>
      </c>
      <c r="H301" s="328">
        <f>'d3'!H301-d3П!H296</f>
        <v>0</v>
      </c>
      <c r="I301" s="328">
        <f>'d3'!I301-d3П!I296</f>
        <v>0</v>
      </c>
      <c r="J301" s="328">
        <f>'d3'!J301-d3П!J296</f>
        <v>0</v>
      </c>
      <c r="K301" s="328">
        <f>'d3'!K301-d3П!K296</f>
        <v>0</v>
      </c>
      <c r="L301" s="328">
        <f>'d3'!L301-d3П!L296</f>
        <v>0</v>
      </c>
      <c r="M301" s="328">
        <f>'d3'!M301-d3П!M296</f>
        <v>0</v>
      </c>
      <c r="N301" s="328">
        <f>'d3'!N301-d3П!N296</f>
        <v>0</v>
      </c>
      <c r="O301" s="328">
        <f>'d3'!O301-d3П!O296</f>
        <v>0</v>
      </c>
      <c r="P301" s="328">
        <f>'d3'!P301-d3П!P296</f>
        <v>-12000000</v>
      </c>
      <c r="Q301" s="20"/>
      <c r="R301" s="50"/>
    </row>
    <row r="302" spans="1:18" ht="47.25" thickTop="1" thickBot="1" x14ac:dyDescent="0.25">
      <c r="A302" s="103" t="s">
        <v>957</v>
      </c>
      <c r="B302" s="329" t="s">
        <v>958</v>
      </c>
      <c r="C302" s="313"/>
      <c r="D302" s="329" t="s">
        <v>959</v>
      </c>
      <c r="E302" s="328">
        <f>'d3'!E302-d3П!E297</f>
        <v>-12000000</v>
      </c>
      <c r="F302" s="328">
        <f>'d3'!F302-d3П!F297</f>
        <v>-12000000</v>
      </c>
      <c r="G302" s="328">
        <f>'d3'!G302-d3П!G297</f>
        <v>0</v>
      </c>
      <c r="H302" s="328">
        <f>'d3'!H302-d3П!H297</f>
        <v>0</v>
      </c>
      <c r="I302" s="328">
        <f>'d3'!I302-d3П!I297</f>
        <v>0</v>
      </c>
      <c r="J302" s="328">
        <f>'d3'!J302-d3П!J297</f>
        <v>0</v>
      </c>
      <c r="K302" s="328">
        <f>'d3'!K302-d3П!K297</f>
        <v>0</v>
      </c>
      <c r="L302" s="328">
        <f>'d3'!L302-d3П!L297</f>
        <v>0</v>
      </c>
      <c r="M302" s="328">
        <f>'d3'!M302-d3П!M297</f>
        <v>0</v>
      </c>
      <c r="N302" s="328">
        <f>'d3'!N302-d3П!N297</f>
        <v>0</v>
      </c>
      <c r="O302" s="328">
        <f>'d3'!O302-d3П!O297</f>
        <v>0</v>
      </c>
      <c r="P302" s="328">
        <f>'d3'!P302-d3П!P297</f>
        <v>-12000000</v>
      </c>
      <c r="Q302" s="20"/>
      <c r="R302" s="50"/>
    </row>
    <row r="303" spans="1:18" ht="93" thickTop="1" thickBot="1" x14ac:dyDescent="0.25">
      <c r="A303" s="103" t="s">
        <v>549</v>
      </c>
      <c r="B303" s="103" t="s">
        <v>293</v>
      </c>
      <c r="C303" s="103" t="s">
        <v>295</v>
      </c>
      <c r="D303" s="103" t="s">
        <v>294</v>
      </c>
      <c r="E303" s="328">
        <f>'d3'!E303-d3П!E298</f>
        <v>-12000000</v>
      </c>
      <c r="F303" s="328">
        <f>'d3'!F303-d3П!F298</f>
        <v>-12000000</v>
      </c>
      <c r="G303" s="328">
        <f>'d3'!G303-d3П!G298</f>
        <v>0</v>
      </c>
      <c r="H303" s="328">
        <f>'d3'!H303-d3П!H298</f>
        <v>0</v>
      </c>
      <c r="I303" s="328">
        <f>'d3'!I303-d3П!I298</f>
        <v>0</v>
      </c>
      <c r="J303" s="328">
        <f>'d3'!J303-d3П!J298</f>
        <v>0</v>
      </c>
      <c r="K303" s="328">
        <f>'d3'!K303-d3П!K298</f>
        <v>0</v>
      </c>
      <c r="L303" s="328">
        <f>'d3'!L303-d3П!L298</f>
        <v>0</v>
      </c>
      <c r="M303" s="328">
        <f>'d3'!M303-d3П!M298</f>
        <v>0</v>
      </c>
      <c r="N303" s="328">
        <f>'d3'!N303-d3П!N298</f>
        <v>0</v>
      </c>
      <c r="O303" s="328">
        <f>'d3'!O303-d3П!O298</f>
        <v>0</v>
      </c>
      <c r="P303" s="328">
        <f>'d3'!P303-d3П!P298</f>
        <v>-12000000</v>
      </c>
      <c r="Q303" s="20"/>
      <c r="R303" s="45"/>
    </row>
    <row r="304" spans="1:18" ht="47.25" thickTop="1" thickBot="1" x14ac:dyDescent="0.25">
      <c r="A304" s="313" t="s">
        <v>808</v>
      </c>
      <c r="B304" s="313" t="s">
        <v>691</v>
      </c>
      <c r="C304" s="313"/>
      <c r="D304" s="313" t="s">
        <v>689</v>
      </c>
      <c r="E304" s="328">
        <f>'d3'!E304-d3П!E299</f>
        <v>0</v>
      </c>
      <c r="F304" s="328">
        <f>'d3'!F304-d3П!F299</f>
        <v>0</v>
      </c>
      <c r="G304" s="328">
        <f>'d3'!G304-d3П!G299</f>
        <v>0</v>
      </c>
      <c r="H304" s="328">
        <f>'d3'!H304-d3П!H299</f>
        <v>0</v>
      </c>
      <c r="I304" s="328">
        <f>'d3'!I304-d3П!I299</f>
        <v>0</v>
      </c>
      <c r="J304" s="328">
        <f>'d3'!J304-d3П!J299</f>
        <v>3630744</v>
      </c>
      <c r="K304" s="328">
        <f>'d3'!K304-d3П!K299</f>
        <v>3630744</v>
      </c>
      <c r="L304" s="328">
        <f>'d3'!L304-d3П!L299</f>
        <v>0</v>
      </c>
      <c r="M304" s="328">
        <f>'d3'!M304-d3П!M299</f>
        <v>0</v>
      </c>
      <c r="N304" s="328">
        <f>'d3'!N304-d3П!N299</f>
        <v>0</v>
      </c>
      <c r="O304" s="328">
        <f>'d3'!O304-d3П!O299</f>
        <v>3630744</v>
      </c>
      <c r="P304" s="328">
        <f>'d3'!P304-d3П!P299</f>
        <v>3630744</v>
      </c>
      <c r="Q304" s="20"/>
      <c r="R304" s="45"/>
    </row>
    <row r="305" spans="1:18" ht="47.25" thickTop="1" thickBot="1" x14ac:dyDescent="0.25">
      <c r="A305" s="103" t="s">
        <v>550</v>
      </c>
      <c r="B305" s="103" t="s">
        <v>212</v>
      </c>
      <c r="C305" s="103" t="s">
        <v>213</v>
      </c>
      <c r="D305" s="103" t="s">
        <v>41</v>
      </c>
      <c r="E305" s="328">
        <f>'d3'!E305-d3П!E300</f>
        <v>0</v>
      </c>
      <c r="F305" s="328">
        <f>'d3'!F305-d3П!F300</f>
        <v>0</v>
      </c>
      <c r="G305" s="328">
        <f>'d3'!G305-d3П!G300</f>
        <v>0</v>
      </c>
      <c r="H305" s="328">
        <f>'d3'!H305-d3П!H300</f>
        <v>0</v>
      </c>
      <c r="I305" s="328">
        <f>'d3'!I305-d3П!I300</f>
        <v>0</v>
      </c>
      <c r="J305" s="328">
        <f>'d3'!J305-d3П!J300</f>
        <v>0</v>
      </c>
      <c r="K305" s="328">
        <f>'d3'!K305-d3П!K300</f>
        <v>0</v>
      </c>
      <c r="L305" s="328">
        <f>'d3'!L305-d3П!L300</f>
        <v>0</v>
      </c>
      <c r="M305" s="328">
        <f>'d3'!M305-d3П!M300</f>
        <v>0</v>
      </c>
      <c r="N305" s="328">
        <f>'d3'!N305-d3П!N300</f>
        <v>0</v>
      </c>
      <c r="O305" s="328">
        <f>'d3'!O305-d3П!O300</f>
        <v>0</v>
      </c>
      <c r="P305" s="328">
        <f>'d3'!P305-d3П!P300</f>
        <v>0</v>
      </c>
      <c r="Q305" s="20"/>
      <c r="R305" s="45"/>
    </row>
    <row r="306" spans="1:18" ht="47.25" thickTop="1" thickBot="1" x14ac:dyDescent="0.25">
      <c r="A306" s="103" t="s">
        <v>551</v>
      </c>
      <c r="B306" s="103" t="s">
        <v>197</v>
      </c>
      <c r="C306" s="103" t="s">
        <v>170</v>
      </c>
      <c r="D306" s="103" t="s">
        <v>34</v>
      </c>
      <c r="E306" s="328">
        <f>'d3'!E306-d3П!E301</f>
        <v>0</v>
      </c>
      <c r="F306" s="328">
        <f>'d3'!F306-d3П!F301</f>
        <v>0</v>
      </c>
      <c r="G306" s="328">
        <f>'d3'!G306-d3П!G301</f>
        <v>0</v>
      </c>
      <c r="H306" s="328">
        <f>'d3'!H306-d3П!H301</f>
        <v>0</v>
      </c>
      <c r="I306" s="328">
        <f>'d3'!I306-d3П!I301</f>
        <v>0</v>
      </c>
      <c r="J306" s="328">
        <f>'d3'!J306-d3П!J301</f>
        <v>3630744</v>
      </c>
      <c r="K306" s="328">
        <f>'d3'!K306-d3П!K301</f>
        <v>3630744</v>
      </c>
      <c r="L306" s="328">
        <f>'d3'!L306-d3П!L301</f>
        <v>0</v>
      </c>
      <c r="M306" s="328">
        <f>'d3'!M306-d3П!M301</f>
        <v>0</v>
      </c>
      <c r="N306" s="328">
        <f>'d3'!N306-d3П!N301</f>
        <v>0</v>
      </c>
      <c r="O306" s="328">
        <f>'d3'!O306-d3П!O301</f>
        <v>3630744</v>
      </c>
      <c r="P306" s="328">
        <f>'d3'!P306-d3П!P301</f>
        <v>3630744</v>
      </c>
      <c r="Q306" s="20"/>
      <c r="R306" s="45"/>
    </row>
    <row r="307" spans="1:18" ht="48" hidden="1" customHeight="1" thickTop="1" thickBot="1" x14ac:dyDescent="0.25">
      <c r="A307" s="329" t="s">
        <v>809</v>
      </c>
      <c r="B307" s="329" t="s">
        <v>694</v>
      </c>
      <c r="C307" s="140"/>
      <c r="D307" s="140" t="s">
        <v>797</v>
      </c>
      <c r="E307" s="328">
        <f>'d3'!E307-d3П!E302</f>
        <v>0</v>
      </c>
      <c r="F307" s="328">
        <f>'d3'!F307-d3П!F302</f>
        <v>0</v>
      </c>
      <c r="G307" s="328">
        <f>'d3'!G307-d3П!G302</f>
        <v>0</v>
      </c>
      <c r="H307" s="328">
        <f>'d3'!H307-d3П!H302</f>
        <v>0</v>
      </c>
      <c r="I307" s="328">
        <f>'d3'!I307-d3П!I302</f>
        <v>0</v>
      </c>
      <c r="J307" s="328">
        <f>'d3'!J307-d3П!J302</f>
        <v>0</v>
      </c>
      <c r="K307" s="328">
        <f>'d3'!K307-d3П!K302</f>
        <v>0</v>
      </c>
      <c r="L307" s="328">
        <f>'d3'!L307-d3П!L302</f>
        <v>0</v>
      </c>
      <c r="M307" s="328">
        <f>'d3'!M307-d3П!M302</f>
        <v>0</v>
      </c>
      <c r="N307" s="328">
        <f>'d3'!N307-d3П!N302</f>
        <v>0</v>
      </c>
      <c r="O307" s="328">
        <f>'d3'!O307-d3П!O302</f>
        <v>0</v>
      </c>
      <c r="P307" s="328">
        <f>'d3'!P307-d3П!P302</f>
        <v>0</v>
      </c>
      <c r="Q307" s="20"/>
      <c r="R307" s="50"/>
    </row>
    <row r="308" spans="1:18" ht="211.5" hidden="1" customHeight="1" thickTop="1" thickBot="1" x14ac:dyDescent="0.7">
      <c r="A308" s="796" t="s">
        <v>552</v>
      </c>
      <c r="B308" s="796" t="s">
        <v>338</v>
      </c>
      <c r="C308" s="797" t="s">
        <v>170</v>
      </c>
      <c r="D308" s="155" t="s">
        <v>440</v>
      </c>
      <c r="E308" s="328">
        <f>'d3'!E308-d3П!E303</f>
        <v>0</v>
      </c>
      <c r="F308" s="328">
        <f>'d3'!F308-d3П!F303</f>
        <v>0</v>
      </c>
      <c r="G308" s="328">
        <f>'d3'!G308-d3П!G303</f>
        <v>0</v>
      </c>
      <c r="H308" s="328">
        <f>'d3'!H308-d3П!H303</f>
        <v>0</v>
      </c>
      <c r="I308" s="328">
        <f>'d3'!I308-d3П!I303</f>
        <v>0</v>
      </c>
      <c r="J308" s="328">
        <f>'d3'!J308-d3П!J303</f>
        <v>0</v>
      </c>
      <c r="K308" s="328">
        <f>'d3'!K308-d3П!K303</f>
        <v>0</v>
      </c>
      <c r="L308" s="328">
        <f>'d3'!L308-d3П!L303</f>
        <v>0</v>
      </c>
      <c r="M308" s="328">
        <f>'d3'!M308-d3П!M303</f>
        <v>0</v>
      </c>
      <c r="N308" s="328">
        <f>'d3'!N308-d3П!N303</f>
        <v>0</v>
      </c>
      <c r="O308" s="328">
        <f>'d3'!O308-d3П!O303</f>
        <v>0</v>
      </c>
      <c r="P308" s="328">
        <f>'d3'!P308-d3П!P303</f>
        <v>0</v>
      </c>
      <c r="Q308" s="20"/>
      <c r="R308" s="50"/>
    </row>
    <row r="309" spans="1:18" ht="130.5" hidden="1" customHeight="1" thickTop="1" thickBot="1" x14ac:dyDescent="0.25">
      <c r="A309" s="796"/>
      <c r="B309" s="796"/>
      <c r="C309" s="797"/>
      <c r="D309" s="156" t="s">
        <v>441</v>
      </c>
      <c r="E309" s="328">
        <f>'d3'!E309-d3П!E304</f>
        <v>0</v>
      </c>
      <c r="F309" s="328">
        <f>'d3'!F309-d3П!F304</f>
        <v>0</v>
      </c>
      <c r="G309" s="328">
        <f>'d3'!G309-d3П!G304</f>
        <v>0</v>
      </c>
      <c r="H309" s="328">
        <f>'d3'!H309-d3П!H304</f>
        <v>0</v>
      </c>
      <c r="I309" s="328">
        <f>'d3'!I309-d3П!I304</f>
        <v>0</v>
      </c>
      <c r="J309" s="328">
        <f>'d3'!J309-d3П!J304</f>
        <v>0</v>
      </c>
      <c r="K309" s="328">
        <f>'d3'!K309-d3П!K304</f>
        <v>0</v>
      </c>
      <c r="L309" s="328">
        <f>'d3'!L309-d3П!L304</f>
        <v>0</v>
      </c>
      <c r="M309" s="328">
        <f>'d3'!M309-d3П!M304</f>
        <v>0</v>
      </c>
      <c r="N309" s="328">
        <f>'d3'!N309-d3П!N304</f>
        <v>0</v>
      </c>
      <c r="O309" s="328">
        <f>'d3'!O309-d3П!O304</f>
        <v>0</v>
      </c>
      <c r="P309" s="328">
        <f>'d3'!P309-d3П!P304</f>
        <v>0</v>
      </c>
      <c r="Q309" s="20"/>
      <c r="R309" s="50"/>
    </row>
    <row r="310" spans="1:18" ht="39" hidden="1" customHeight="1" thickTop="1" thickBot="1" x14ac:dyDescent="0.25">
      <c r="A310" s="103" t="s">
        <v>1183</v>
      </c>
      <c r="B310" s="103" t="s">
        <v>257</v>
      </c>
      <c r="C310" s="128" t="s">
        <v>170</v>
      </c>
      <c r="D310" s="156" t="s">
        <v>255</v>
      </c>
      <c r="E310" s="328">
        <f>'d3'!E310-d3П!E305</f>
        <v>0</v>
      </c>
      <c r="F310" s="328">
        <f>'d3'!F310-d3П!F305</f>
        <v>0</v>
      </c>
      <c r="G310" s="328">
        <f>'d3'!G310-d3П!G305</f>
        <v>0</v>
      </c>
      <c r="H310" s="328">
        <f>'d3'!H310-d3П!H305</f>
        <v>0</v>
      </c>
      <c r="I310" s="328">
        <f>'d3'!I310-d3П!I305</f>
        <v>0</v>
      </c>
      <c r="J310" s="328">
        <f>'d3'!J310-d3П!J305</f>
        <v>0</v>
      </c>
      <c r="K310" s="328">
        <f>'d3'!K310-d3П!K305</f>
        <v>0</v>
      </c>
      <c r="L310" s="328">
        <f>'d3'!L310-d3П!L305</f>
        <v>0</v>
      </c>
      <c r="M310" s="328">
        <f>'d3'!M310-d3П!M305</f>
        <v>0</v>
      </c>
      <c r="N310" s="328">
        <f>'d3'!N310-d3П!N305</f>
        <v>0</v>
      </c>
      <c r="O310" s="328">
        <f>'d3'!O310-d3П!O305</f>
        <v>0</v>
      </c>
      <c r="P310" s="328">
        <f>'d3'!P310-d3П!P305</f>
        <v>0</v>
      </c>
      <c r="Q310" s="20"/>
      <c r="R310" s="50"/>
    </row>
    <row r="311" spans="1:18" ht="47.25" thickTop="1" thickBot="1" x14ac:dyDescent="0.25">
      <c r="A311" s="311" t="s">
        <v>810</v>
      </c>
      <c r="B311" s="311" t="s">
        <v>696</v>
      </c>
      <c r="C311" s="311"/>
      <c r="D311" s="471" t="s">
        <v>697</v>
      </c>
      <c r="E311" s="328">
        <f>'d3'!E311-d3П!E306</f>
        <v>0</v>
      </c>
      <c r="F311" s="328">
        <f>'d3'!F311-d3П!F306</f>
        <v>0</v>
      </c>
      <c r="G311" s="328">
        <f>'d3'!G311-d3П!G306</f>
        <v>0</v>
      </c>
      <c r="H311" s="328">
        <f>'d3'!H311-d3П!H306</f>
        <v>0</v>
      </c>
      <c r="I311" s="328">
        <f>'d3'!I311-d3П!I306</f>
        <v>0</v>
      </c>
      <c r="J311" s="328">
        <f>'d3'!J311-d3П!J306</f>
        <v>0</v>
      </c>
      <c r="K311" s="328">
        <f>'d3'!K311-d3П!K306</f>
        <v>0</v>
      </c>
      <c r="L311" s="328">
        <f>'d3'!L311-d3П!L306</f>
        <v>0</v>
      </c>
      <c r="M311" s="328">
        <f>'d3'!M311-d3П!M306</f>
        <v>0</v>
      </c>
      <c r="N311" s="328">
        <f>'d3'!N311-d3П!N306</f>
        <v>0</v>
      </c>
      <c r="O311" s="328">
        <f>'d3'!O311-d3П!O306</f>
        <v>0</v>
      </c>
      <c r="P311" s="328">
        <f>'d3'!P311-d3П!P306</f>
        <v>0</v>
      </c>
      <c r="Q311" s="20"/>
      <c r="R311" s="50"/>
    </row>
    <row r="312" spans="1:18" ht="47.25" thickTop="1" thickBot="1" x14ac:dyDescent="0.25">
      <c r="A312" s="313" t="s">
        <v>811</v>
      </c>
      <c r="B312" s="313" t="s">
        <v>812</v>
      </c>
      <c r="C312" s="313"/>
      <c r="D312" s="356" t="s">
        <v>1281</v>
      </c>
      <c r="E312" s="328">
        <f>'d3'!E312-d3П!E307</f>
        <v>0</v>
      </c>
      <c r="F312" s="328">
        <f>'d3'!F312-d3П!F307</f>
        <v>0</v>
      </c>
      <c r="G312" s="328">
        <f>'d3'!G312-d3П!G307</f>
        <v>0</v>
      </c>
      <c r="H312" s="328">
        <f>'d3'!H312-d3П!H307</f>
        <v>0</v>
      </c>
      <c r="I312" s="328">
        <f>'d3'!I312-d3П!I307</f>
        <v>0</v>
      </c>
      <c r="J312" s="328">
        <f>'d3'!J312-d3П!J307</f>
        <v>0</v>
      </c>
      <c r="K312" s="328">
        <f>'d3'!K312-d3П!K307</f>
        <v>0</v>
      </c>
      <c r="L312" s="328">
        <f>'d3'!L312-d3П!L307</f>
        <v>0</v>
      </c>
      <c r="M312" s="328">
        <f>'d3'!M312-d3П!M307</f>
        <v>0</v>
      </c>
      <c r="N312" s="328">
        <f>'d3'!N312-d3П!N307</f>
        <v>0</v>
      </c>
      <c r="O312" s="328">
        <f>'d3'!O312-d3П!O307</f>
        <v>0</v>
      </c>
      <c r="P312" s="328">
        <f>'d3'!P312-d3П!P307</f>
        <v>0</v>
      </c>
      <c r="Q312" s="20"/>
      <c r="R312" s="50"/>
    </row>
    <row r="313" spans="1:18" ht="93" thickTop="1" thickBot="1" x14ac:dyDescent="0.25">
      <c r="A313" s="103" t="s">
        <v>553</v>
      </c>
      <c r="B313" s="103" t="s">
        <v>518</v>
      </c>
      <c r="C313" s="103" t="s">
        <v>251</v>
      </c>
      <c r="D313" s="103" t="s">
        <v>519</v>
      </c>
      <c r="E313" s="328">
        <f>'d3'!E313-d3П!E308</f>
        <v>0</v>
      </c>
      <c r="F313" s="328">
        <f>'d3'!F313-d3П!F308</f>
        <v>0</v>
      </c>
      <c r="G313" s="328">
        <f>'d3'!G313-d3П!G308</f>
        <v>0</v>
      </c>
      <c r="H313" s="328">
        <f>'d3'!H313-d3П!H308</f>
        <v>0</v>
      </c>
      <c r="I313" s="328">
        <f>'d3'!I313-d3П!I308</f>
        <v>0</v>
      </c>
      <c r="J313" s="328">
        <f>'d3'!J313-d3П!J308</f>
        <v>0</v>
      </c>
      <c r="K313" s="328">
        <f>'d3'!K313-d3П!K308</f>
        <v>0</v>
      </c>
      <c r="L313" s="328">
        <f>'d3'!L313-d3П!L308</f>
        <v>0</v>
      </c>
      <c r="M313" s="328">
        <f>'d3'!M313-d3П!M308</f>
        <v>0</v>
      </c>
      <c r="N313" s="328">
        <f>'d3'!N313-d3П!N308</f>
        <v>0</v>
      </c>
      <c r="O313" s="328">
        <f>'d3'!O313-d3П!O308</f>
        <v>0</v>
      </c>
      <c r="P313" s="328">
        <f>'d3'!P313-d3П!P308</f>
        <v>0</v>
      </c>
      <c r="Q313" s="20"/>
      <c r="R313" s="50"/>
    </row>
    <row r="314" spans="1:18" ht="47.25" thickTop="1" thickBot="1" x14ac:dyDescent="0.25">
      <c r="A314" s="103" t="s">
        <v>554</v>
      </c>
      <c r="B314" s="103" t="s">
        <v>250</v>
      </c>
      <c r="C314" s="103" t="s">
        <v>251</v>
      </c>
      <c r="D314" s="103" t="s">
        <v>249</v>
      </c>
      <c r="E314" s="328">
        <f>'d3'!E314-d3П!E309</f>
        <v>0</v>
      </c>
      <c r="F314" s="328">
        <f>'d3'!F314-d3П!F309</f>
        <v>0</v>
      </c>
      <c r="G314" s="328">
        <f>'d3'!G314-d3П!G309</f>
        <v>0</v>
      </c>
      <c r="H314" s="328">
        <f>'d3'!H314-d3П!H309</f>
        <v>0</v>
      </c>
      <c r="I314" s="328">
        <f>'d3'!I314-d3П!I309</f>
        <v>0</v>
      </c>
      <c r="J314" s="328">
        <f>'d3'!J314-d3П!J309</f>
        <v>0</v>
      </c>
      <c r="K314" s="328">
        <f>'d3'!K314-d3П!K309</f>
        <v>0</v>
      </c>
      <c r="L314" s="328">
        <f>'d3'!L314-d3П!L309</f>
        <v>0</v>
      </c>
      <c r="M314" s="328">
        <f>'d3'!M314-d3П!M309</f>
        <v>0</v>
      </c>
      <c r="N314" s="328">
        <f>'d3'!N314-d3П!N309</f>
        <v>0</v>
      </c>
      <c r="O314" s="328">
        <f>'d3'!O314-d3П!O309</f>
        <v>0</v>
      </c>
      <c r="P314" s="328">
        <f>'d3'!P314-d3П!P309</f>
        <v>0</v>
      </c>
      <c r="Q314" s="20"/>
      <c r="R314" s="46"/>
    </row>
    <row r="315" spans="1:18" ht="48" hidden="1" thickTop="1" thickBot="1" x14ac:dyDescent="0.25">
      <c r="A315" s="41" t="s">
        <v>555</v>
      </c>
      <c r="B315" s="41" t="s">
        <v>556</v>
      </c>
      <c r="C315" s="41" t="s">
        <v>251</v>
      </c>
      <c r="D315" s="41" t="s">
        <v>557</v>
      </c>
      <c r="E315" s="160">
        <f t="shared" ref="E315" si="69">F315</f>
        <v>0</v>
      </c>
      <c r="F315" s="161">
        <f>(1219000)-1219000</f>
        <v>0</v>
      </c>
      <c r="G315" s="161">
        <f>(354000+540000)-894000</f>
        <v>0</v>
      </c>
      <c r="H315" s="161">
        <f>(6000+3000)-9000</f>
        <v>0</v>
      </c>
      <c r="I315" s="161"/>
      <c r="J315" s="42">
        <f>L315+O315</f>
        <v>0</v>
      </c>
      <c r="K315" s="43"/>
      <c r="L315" s="161"/>
      <c r="M315" s="161"/>
      <c r="N315" s="161"/>
      <c r="O315" s="44">
        <f>K315</f>
        <v>0</v>
      </c>
      <c r="P315" s="42">
        <f>E315+J315</f>
        <v>0</v>
      </c>
      <c r="Q315" s="20"/>
      <c r="R315" s="50"/>
    </row>
    <row r="316" spans="1:18" ht="47.25" hidden="1" thickTop="1" thickBot="1" x14ac:dyDescent="0.25">
      <c r="A316" s="125" t="s">
        <v>1483</v>
      </c>
      <c r="B316" s="125" t="s">
        <v>702</v>
      </c>
      <c r="C316" s="125"/>
      <c r="D316" s="125" t="s">
        <v>703</v>
      </c>
      <c r="E316" s="127">
        <f>E317</f>
        <v>0</v>
      </c>
      <c r="F316" s="127">
        <f t="shared" ref="F316:P317" si="70">F317</f>
        <v>0</v>
      </c>
      <c r="G316" s="127">
        <f t="shared" si="70"/>
        <v>0</v>
      </c>
      <c r="H316" s="127">
        <f t="shared" si="70"/>
        <v>0</v>
      </c>
      <c r="I316" s="127">
        <f t="shared" si="70"/>
        <v>0</v>
      </c>
      <c r="J316" s="127">
        <f t="shared" si="70"/>
        <v>0</v>
      </c>
      <c r="K316" s="127">
        <f t="shared" si="70"/>
        <v>0</v>
      </c>
      <c r="L316" s="127">
        <f t="shared" si="70"/>
        <v>0</v>
      </c>
      <c r="M316" s="127">
        <f t="shared" si="70"/>
        <v>0</v>
      </c>
      <c r="N316" s="127">
        <f t="shared" si="70"/>
        <v>0</v>
      </c>
      <c r="O316" s="127">
        <f t="shared" si="70"/>
        <v>0</v>
      </c>
      <c r="P316" s="127">
        <f t="shared" si="70"/>
        <v>0</v>
      </c>
      <c r="Q316" s="20"/>
      <c r="R316" s="50"/>
    </row>
    <row r="317" spans="1:18" ht="91.5" hidden="1" thickTop="1" thickBot="1" x14ac:dyDescent="0.25">
      <c r="A317" s="136" t="s">
        <v>1484</v>
      </c>
      <c r="B317" s="136" t="s">
        <v>705</v>
      </c>
      <c r="C317" s="136"/>
      <c r="D317" s="136" t="s">
        <v>706</v>
      </c>
      <c r="E317" s="137">
        <f>E318</f>
        <v>0</v>
      </c>
      <c r="F317" s="137">
        <f t="shared" si="70"/>
        <v>0</v>
      </c>
      <c r="G317" s="137">
        <f t="shared" si="70"/>
        <v>0</v>
      </c>
      <c r="H317" s="137">
        <f t="shared" si="70"/>
        <v>0</v>
      </c>
      <c r="I317" s="137">
        <f t="shared" si="70"/>
        <v>0</v>
      </c>
      <c r="J317" s="137">
        <f t="shared" si="70"/>
        <v>0</v>
      </c>
      <c r="K317" s="137">
        <f t="shared" si="70"/>
        <v>0</v>
      </c>
      <c r="L317" s="137">
        <f t="shared" si="70"/>
        <v>0</v>
      </c>
      <c r="M317" s="137">
        <f t="shared" si="70"/>
        <v>0</v>
      </c>
      <c r="N317" s="137">
        <f t="shared" si="70"/>
        <v>0</v>
      </c>
      <c r="O317" s="137">
        <f t="shared" si="70"/>
        <v>0</v>
      </c>
      <c r="P317" s="137">
        <f t="shared" si="70"/>
        <v>0</v>
      </c>
      <c r="Q317" s="20"/>
      <c r="R317" s="50"/>
    </row>
    <row r="318" spans="1:18" ht="48" hidden="1" thickTop="1" thickBot="1" x14ac:dyDescent="0.25">
      <c r="A318" s="128" t="s">
        <v>1485</v>
      </c>
      <c r="B318" s="128" t="s">
        <v>363</v>
      </c>
      <c r="C318" s="128" t="s">
        <v>43</v>
      </c>
      <c r="D318" s="128" t="s">
        <v>364</v>
      </c>
      <c r="E318" s="127">
        <f t="shared" ref="E318" si="71">F318</f>
        <v>0</v>
      </c>
      <c r="F318" s="134"/>
      <c r="G318" s="134"/>
      <c r="H318" s="134"/>
      <c r="I318" s="134"/>
      <c r="J318" s="127">
        <f>L318+O318</f>
        <v>0</v>
      </c>
      <c r="K318" s="134">
        <v>0</v>
      </c>
      <c r="L318" s="134"/>
      <c r="M318" s="134"/>
      <c r="N318" s="134"/>
      <c r="O318" s="132">
        <f>K318</f>
        <v>0</v>
      </c>
      <c r="P318" s="127">
        <f>E318+J318</f>
        <v>0</v>
      </c>
      <c r="Q318" s="20"/>
      <c r="R318" s="50"/>
    </row>
    <row r="319" spans="1:18" ht="120" customHeight="1" thickTop="1" thickBot="1" x14ac:dyDescent="0.25">
      <c r="A319" s="661" t="s">
        <v>25</v>
      </c>
      <c r="B319" s="661"/>
      <c r="C319" s="661"/>
      <c r="D319" s="662" t="s">
        <v>1347</v>
      </c>
      <c r="E319" s="663">
        <f>E320</f>
        <v>0</v>
      </c>
      <c r="F319" s="664">
        <f t="shared" ref="F319:G319" si="72">F320</f>
        <v>0</v>
      </c>
      <c r="G319" s="664">
        <f t="shared" si="72"/>
        <v>0</v>
      </c>
      <c r="H319" s="664">
        <f>H320</f>
        <v>0</v>
      </c>
      <c r="I319" s="664">
        <f t="shared" ref="I319" si="73">I320</f>
        <v>0</v>
      </c>
      <c r="J319" s="663">
        <f>J320</f>
        <v>18778642</v>
      </c>
      <c r="K319" s="664">
        <f>K320</f>
        <v>18778642</v>
      </c>
      <c r="L319" s="664">
        <f>L320</f>
        <v>0</v>
      </c>
      <c r="M319" s="664">
        <f t="shared" ref="M319" si="74">M320</f>
        <v>0</v>
      </c>
      <c r="N319" s="664">
        <f>N320</f>
        <v>0</v>
      </c>
      <c r="O319" s="663">
        <f>O320</f>
        <v>18778642</v>
      </c>
      <c r="P319" s="664">
        <f t="shared" ref="P319" si="75">P320</f>
        <v>18778642</v>
      </c>
      <c r="Q319" s="20"/>
    </row>
    <row r="320" spans="1:18" ht="120" customHeight="1" thickTop="1" thickBot="1" x14ac:dyDescent="0.25">
      <c r="A320" s="658" t="s">
        <v>26</v>
      </c>
      <c r="B320" s="658"/>
      <c r="C320" s="658"/>
      <c r="D320" s="659" t="s">
        <v>892</v>
      </c>
      <c r="E320" s="660">
        <f>E321+E327+E330+E325</f>
        <v>0</v>
      </c>
      <c r="F320" s="660">
        <f>F321+F327+F330+F325</f>
        <v>0</v>
      </c>
      <c r="G320" s="660">
        <f>G321+G327+G330+G325</f>
        <v>0</v>
      </c>
      <c r="H320" s="660">
        <f>H321+H327+H330+H325</f>
        <v>0</v>
      </c>
      <c r="I320" s="660">
        <f>I321+I327+I330+I325</f>
        <v>0</v>
      </c>
      <c r="J320" s="660">
        <f>L320+O320</f>
        <v>18778642</v>
      </c>
      <c r="K320" s="660">
        <f>K321+K327+K330+K325</f>
        <v>18778642</v>
      </c>
      <c r="L320" s="660">
        <f>L321+L327+L330+L325</f>
        <v>0</v>
      </c>
      <c r="M320" s="660">
        <f>M321+M327+M330+M325</f>
        <v>0</v>
      </c>
      <c r="N320" s="660">
        <f>N321+N327+N330+N325</f>
        <v>0</v>
      </c>
      <c r="O320" s="660">
        <f>O321+O327+O330+O325</f>
        <v>18778642</v>
      </c>
      <c r="P320" s="660">
        <f>E320+J320</f>
        <v>18778642</v>
      </c>
      <c r="Q320" s="503" t="b">
        <f>P320=P322+P334+P337+P326</f>
        <v>0</v>
      </c>
      <c r="R320" s="46"/>
    </row>
    <row r="321" spans="1:18" ht="47.25" thickTop="1" thickBot="1" x14ac:dyDescent="0.25">
      <c r="A321" s="311" t="s">
        <v>813</v>
      </c>
      <c r="B321" s="311" t="s">
        <v>684</v>
      </c>
      <c r="C321" s="311"/>
      <c r="D321" s="311" t="s">
        <v>685</v>
      </c>
      <c r="E321" s="328">
        <f>'d3'!E321-d3П!E316</f>
        <v>0</v>
      </c>
      <c r="F321" s="328">
        <f>'d3'!F321-d3П!F316</f>
        <v>0</v>
      </c>
      <c r="G321" s="328">
        <f>'d3'!G321-d3П!G316</f>
        <v>0</v>
      </c>
      <c r="H321" s="328">
        <f>'d3'!H321-d3П!H316</f>
        <v>0</v>
      </c>
      <c r="I321" s="328">
        <f>'d3'!I321-d3П!I316</f>
        <v>0</v>
      </c>
      <c r="J321" s="328">
        <f>'d3'!J321-d3П!J316</f>
        <v>0</v>
      </c>
      <c r="K321" s="328">
        <f>'d3'!K321-d3П!K316</f>
        <v>0</v>
      </c>
      <c r="L321" s="328">
        <f>'d3'!L321-d3П!L316</f>
        <v>0</v>
      </c>
      <c r="M321" s="328">
        <f>'d3'!M321-d3П!M316</f>
        <v>0</v>
      </c>
      <c r="N321" s="328">
        <f>'d3'!N321-d3П!N316</f>
        <v>0</v>
      </c>
      <c r="O321" s="328">
        <f>'d3'!O321-d3П!O316</f>
        <v>0</v>
      </c>
      <c r="P321" s="328">
        <f>'d3'!P321-d3П!P316</f>
        <v>0</v>
      </c>
      <c r="Q321" s="47"/>
      <c r="R321" s="46"/>
    </row>
    <row r="322" spans="1:18" ht="93" thickTop="1" thickBot="1" x14ac:dyDescent="0.25">
      <c r="A322" s="103" t="s">
        <v>417</v>
      </c>
      <c r="B322" s="103" t="s">
        <v>236</v>
      </c>
      <c r="C322" s="103" t="s">
        <v>234</v>
      </c>
      <c r="D322" s="103" t="s">
        <v>235</v>
      </c>
      <c r="E322" s="328">
        <f>'d3'!E322-d3П!E317</f>
        <v>0</v>
      </c>
      <c r="F322" s="328">
        <f>'d3'!F322-d3П!F317</f>
        <v>0</v>
      </c>
      <c r="G322" s="328">
        <f>'d3'!G322-d3П!G317</f>
        <v>0</v>
      </c>
      <c r="H322" s="328">
        <f>'d3'!H322-d3П!H317</f>
        <v>0</v>
      </c>
      <c r="I322" s="328">
        <f>'d3'!I322-d3П!I317</f>
        <v>0</v>
      </c>
      <c r="J322" s="328">
        <f>'d3'!J322-d3П!J317</f>
        <v>0</v>
      </c>
      <c r="K322" s="328">
        <f>'d3'!K322-d3П!K317</f>
        <v>0</v>
      </c>
      <c r="L322" s="328">
        <f>'d3'!L322-d3П!L317</f>
        <v>0</v>
      </c>
      <c r="M322" s="328">
        <f>'d3'!M322-d3П!M317</f>
        <v>0</v>
      </c>
      <c r="N322" s="328">
        <f>'d3'!N322-d3П!N317</f>
        <v>0</v>
      </c>
      <c r="O322" s="328">
        <f>'d3'!O322-d3П!O317</f>
        <v>0</v>
      </c>
      <c r="P322" s="328">
        <f>'d3'!P322-d3П!P317</f>
        <v>0</v>
      </c>
      <c r="Q322" s="47"/>
      <c r="R322" s="50"/>
    </row>
    <row r="323" spans="1:18" ht="93" hidden="1" thickTop="1" thickBot="1" x14ac:dyDescent="0.25">
      <c r="A323" s="128" t="s">
        <v>630</v>
      </c>
      <c r="B323" s="128" t="s">
        <v>362</v>
      </c>
      <c r="C323" s="128" t="s">
        <v>625</v>
      </c>
      <c r="D323" s="128" t="s">
        <v>626</v>
      </c>
      <c r="E323" s="328">
        <f>'d3'!E323-d3П!E318</f>
        <v>0</v>
      </c>
      <c r="F323" s="328">
        <f>'d3'!F323-d3П!F318</f>
        <v>0</v>
      </c>
      <c r="G323" s="328">
        <f>'d3'!G323-d3П!G318</f>
        <v>0</v>
      </c>
      <c r="H323" s="328">
        <f>'d3'!H323-d3П!H318</f>
        <v>0</v>
      </c>
      <c r="I323" s="328">
        <f>'d3'!I323-d3П!I318</f>
        <v>0</v>
      </c>
      <c r="J323" s="328">
        <f>'d3'!J323-d3П!J318</f>
        <v>0</v>
      </c>
      <c r="K323" s="328">
        <f>'d3'!K323-d3П!K318</f>
        <v>0</v>
      </c>
      <c r="L323" s="328">
        <f>'d3'!L323-d3П!L318</f>
        <v>0</v>
      </c>
      <c r="M323" s="328">
        <f>'d3'!M323-d3П!M318</f>
        <v>0</v>
      </c>
      <c r="N323" s="328">
        <f>'d3'!N323-d3П!N318</f>
        <v>0</v>
      </c>
      <c r="O323" s="328">
        <f>'d3'!O323-d3П!O318</f>
        <v>0</v>
      </c>
      <c r="P323" s="328">
        <f>'d3'!P323-d3П!P318</f>
        <v>0</v>
      </c>
      <c r="Q323" s="47"/>
      <c r="R323" s="50"/>
    </row>
    <row r="324" spans="1:18" ht="47.25" hidden="1" thickTop="1" thickBot="1" x14ac:dyDescent="0.25">
      <c r="A324" s="128" t="s">
        <v>928</v>
      </c>
      <c r="B324" s="128" t="s">
        <v>43</v>
      </c>
      <c r="C324" s="128" t="s">
        <v>42</v>
      </c>
      <c r="D324" s="128" t="s">
        <v>248</v>
      </c>
      <c r="E324" s="328">
        <f>'d3'!E324-d3П!E319</f>
        <v>0</v>
      </c>
      <c r="F324" s="328">
        <f>'d3'!F324-d3П!F319</f>
        <v>0</v>
      </c>
      <c r="G324" s="328">
        <f>'d3'!G324-d3П!G319</f>
        <v>0</v>
      </c>
      <c r="H324" s="328">
        <f>'d3'!H324-d3П!H319</f>
        <v>0</v>
      </c>
      <c r="I324" s="328">
        <f>'d3'!I324-d3П!I319</f>
        <v>0</v>
      </c>
      <c r="J324" s="328">
        <f>'d3'!J324-d3П!J319</f>
        <v>0</v>
      </c>
      <c r="K324" s="328">
        <f>'d3'!K324-d3П!K319</f>
        <v>0</v>
      </c>
      <c r="L324" s="328">
        <f>'d3'!L324-d3П!L319</f>
        <v>0</v>
      </c>
      <c r="M324" s="328">
        <f>'d3'!M324-d3П!M319</f>
        <v>0</v>
      </c>
      <c r="N324" s="328">
        <f>'d3'!N324-d3П!N319</f>
        <v>0</v>
      </c>
      <c r="O324" s="328">
        <f>'d3'!O324-d3П!O319</f>
        <v>0</v>
      </c>
      <c r="P324" s="328">
        <f>'d3'!P324-d3П!P319</f>
        <v>0</v>
      </c>
      <c r="Q324" s="47"/>
      <c r="R324" s="50"/>
    </row>
    <row r="325" spans="1:18" ht="47.25" thickTop="1" thickBot="1" x14ac:dyDescent="0.25">
      <c r="A325" s="311" t="s">
        <v>1235</v>
      </c>
      <c r="B325" s="311" t="s">
        <v>711</v>
      </c>
      <c r="C325" s="311"/>
      <c r="D325" s="311" t="s">
        <v>712</v>
      </c>
      <c r="E325" s="328">
        <f>'d3'!E325-d3П!E320</f>
        <v>0</v>
      </c>
      <c r="F325" s="328">
        <f>'d3'!F325-d3П!F320</f>
        <v>0</v>
      </c>
      <c r="G325" s="328">
        <f>'d3'!G325-d3П!G320</f>
        <v>0</v>
      </c>
      <c r="H325" s="328">
        <f>'d3'!H325-d3П!H320</f>
        <v>0</v>
      </c>
      <c r="I325" s="328">
        <f>'d3'!I325-d3П!I320</f>
        <v>0</v>
      </c>
      <c r="J325" s="328">
        <f>'d3'!J325-d3П!J320</f>
        <v>6152064</v>
      </c>
      <c r="K325" s="328">
        <f>'d3'!K325-d3П!K320</f>
        <v>6152064</v>
      </c>
      <c r="L325" s="328">
        <f>'d3'!L325-d3П!L320</f>
        <v>0</v>
      </c>
      <c r="M325" s="328">
        <f>'d3'!M325-d3П!M320</f>
        <v>0</v>
      </c>
      <c r="N325" s="328">
        <f>'d3'!N325-d3П!N320</f>
        <v>0</v>
      </c>
      <c r="O325" s="328">
        <f>'d3'!O325-d3П!O320</f>
        <v>6152064</v>
      </c>
      <c r="P325" s="328">
        <f>'d3'!P325-d3П!P320</f>
        <v>6152064</v>
      </c>
      <c r="Q325" s="47"/>
      <c r="R325" s="50"/>
    </row>
    <row r="326" spans="1:18" ht="93" thickTop="1" thickBot="1" x14ac:dyDescent="0.25">
      <c r="A326" s="103" t="s">
        <v>1236</v>
      </c>
      <c r="B326" s="103" t="s">
        <v>1200</v>
      </c>
      <c r="C326" s="103" t="s">
        <v>206</v>
      </c>
      <c r="D326" s="470" t="s">
        <v>1201</v>
      </c>
      <c r="E326" s="328">
        <f>'d3'!E326-d3П!E321</f>
        <v>0</v>
      </c>
      <c r="F326" s="328">
        <f>'d3'!F326-d3П!F321</f>
        <v>0</v>
      </c>
      <c r="G326" s="328">
        <f>'d3'!G326-d3П!G321</f>
        <v>0</v>
      </c>
      <c r="H326" s="328">
        <f>'d3'!H326-d3П!H321</f>
        <v>0</v>
      </c>
      <c r="I326" s="328">
        <f>'d3'!I326-d3П!I321</f>
        <v>0</v>
      </c>
      <c r="J326" s="328">
        <f>'d3'!J326-d3П!J321</f>
        <v>6152064</v>
      </c>
      <c r="K326" s="328">
        <f>'d3'!K326-d3П!K321</f>
        <v>6152064</v>
      </c>
      <c r="L326" s="328">
        <f>'d3'!L326-d3П!L321</f>
        <v>0</v>
      </c>
      <c r="M326" s="328">
        <f>'d3'!M326-d3П!M321</f>
        <v>0</v>
      </c>
      <c r="N326" s="328">
        <f>'d3'!N326-d3П!N321</f>
        <v>0</v>
      </c>
      <c r="O326" s="328">
        <f>'d3'!O326-d3П!O321</f>
        <v>6152064</v>
      </c>
      <c r="P326" s="328">
        <f>'d3'!P326-d3П!P321</f>
        <v>6152064</v>
      </c>
      <c r="Q326" s="47"/>
      <c r="R326" s="50"/>
    </row>
    <row r="327" spans="1:18" ht="47.25" hidden="1" thickTop="1" thickBot="1" x14ac:dyDescent="0.25">
      <c r="A327" s="125" t="s">
        <v>814</v>
      </c>
      <c r="B327" s="125" t="s">
        <v>770</v>
      </c>
      <c r="C327" s="128"/>
      <c r="D327" s="125" t="s">
        <v>771</v>
      </c>
      <c r="E327" s="328">
        <f>'d3'!E327-d3П!E322</f>
        <v>0</v>
      </c>
      <c r="F327" s="328">
        <f>'d3'!F327-d3П!F322</f>
        <v>0</v>
      </c>
      <c r="G327" s="328">
        <f>'d3'!G327-d3П!G322</f>
        <v>0</v>
      </c>
      <c r="H327" s="328">
        <f>'d3'!H327-d3П!H322</f>
        <v>0</v>
      </c>
      <c r="I327" s="328">
        <f>'d3'!I327-d3П!I322</f>
        <v>0</v>
      </c>
      <c r="J327" s="328">
        <f>'d3'!J327-d3П!J322</f>
        <v>0</v>
      </c>
      <c r="K327" s="328">
        <f>'d3'!K327-d3П!K322</f>
        <v>0</v>
      </c>
      <c r="L327" s="328">
        <f>'d3'!L327-d3П!L322</f>
        <v>0</v>
      </c>
      <c r="M327" s="328">
        <f>'d3'!M327-d3П!M322</f>
        <v>0</v>
      </c>
      <c r="N327" s="328">
        <f>'d3'!N327-d3П!N322</f>
        <v>0</v>
      </c>
      <c r="O327" s="328">
        <f>'d3'!O327-d3П!O322</f>
        <v>0</v>
      </c>
      <c r="P327" s="328">
        <f>'d3'!P327-d3П!P322</f>
        <v>0</v>
      </c>
      <c r="Q327" s="47"/>
      <c r="R327" s="50"/>
    </row>
    <row r="328" spans="1:18" ht="47.25" hidden="1" thickTop="1" thickBot="1" x14ac:dyDescent="0.25">
      <c r="A328" s="140" t="s">
        <v>815</v>
      </c>
      <c r="B328" s="140" t="s">
        <v>816</v>
      </c>
      <c r="C328" s="140"/>
      <c r="D328" s="140" t="s">
        <v>817</v>
      </c>
      <c r="E328" s="328">
        <f>'d3'!E328-d3П!E323</f>
        <v>0</v>
      </c>
      <c r="F328" s="328">
        <f>'d3'!F328-d3П!F323</f>
        <v>0</v>
      </c>
      <c r="G328" s="328">
        <f>'d3'!G328-d3П!G323</f>
        <v>0</v>
      </c>
      <c r="H328" s="328">
        <f>'d3'!H328-d3П!H323</f>
        <v>0</v>
      </c>
      <c r="I328" s="328">
        <f>'d3'!I328-d3П!I323</f>
        <v>0</v>
      </c>
      <c r="J328" s="328">
        <f>'d3'!J328-d3П!J323</f>
        <v>0</v>
      </c>
      <c r="K328" s="328">
        <f>'d3'!K328-d3П!K323</f>
        <v>0</v>
      </c>
      <c r="L328" s="328">
        <f>'d3'!L328-d3П!L323</f>
        <v>0</v>
      </c>
      <c r="M328" s="328">
        <f>'d3'!M328-d3П!M323</f>
        <v>0</v>
      </c>
      <c r="N328" s="328">
        <f>'d3'!N328-d3П!N323</f>
        <v>0</v>
      </c>
      <c r="O328" s="328">
        <f>'d3'!O328-d3П!O323</f>
        <v>0</v>
      </c>
      <c r="P328" s="328">
        <f>'d3'!P328-d3П!P323</f>
        <v>0</v>
      </c>
      <c r="Q328" s="47"/>
      <c r="R328" s="50"/>
    </row>
    <row r="329" spans="1:18" ht="138.75" hidden="1" thickTop="1" thickBot="1" x14ac:dyDescent="0.25">
      <c r="A329" s="128" t="s">
        <v>433</v>
      </c>
      <c r="B329" s="128" t="s">
        <v>434</v>
      </c>
      <c r="C329" s="128" t="s">
        <v>195</v>
      </c>
      <c r="D329" s="128" t="s">
        <v>1178</v>
      </c>
      <c r="E329" s="328">
        <f>'d3'!E329-d3П!E324</f>
        <v>0</v>
      </c>
      <c r="F329" s="328">
        <f>'d3'!F329-d3П!F324</f>
        <v>0</v>
      </c>
      <c r="G329" s="328">
        <f>'d3'!G329-d3П!G324</f>
        <v>0</v>
      </c>
      <c r="H329" s="328">
        <f>'d3'!H329-d3П!H324</f>
        <v>0</v>
      </c>
      <c r="I329" s="328">
        <f>'d3'!I329-d3П!I324</f>
        <v>0</v>
      </c>
      <c r="J329" s="328">
        <f>'d3'!J329-d3П!J324</f>
        <v>0</v>
      </c>
      <c r="K329" s="328">
        <f>'d3'!K329-d3П!K324</f>
        <v>0</v>
      </c>
      <c r="L329" s="328">
        <f>'d3'!L329-d3П!L324</f>
        <v>0</v>
      </c>
      <c r="M329" s="328">
        <f>'d3'!M329-d3П!M324</f>
        <v>0</v>
      </c>
      <c r="N329" s="328">
        <f>'d3'!N329-d3П!N324</f>
        <v>0</v>
      </c>
      <c r="O329" s="328">
        <f>'d3'!O329-d3П!O324</f>
        <v>0</v>
      </c>
      <c r="P329" s="328">
        <f>'d3'!P329-d3П!P324</f>
        <v>0</v>
      </c>
      <c r="Q329" s="47"/>
      <c r="R329" s="46"/>
    </row>
    <row r="330" spans="1:18" ht="47.25" thickTop="1" thickBot="1" x14ac:dyDescent="0.25">
      <c r="A330" s="311" t="s">
        <v>818</v>
      </c>
      <c r="B330" s="311" t="s">
        <v>748</v>
      </c>
      <c r="C330" s="103"/>
      <c r="D330" s="311" t="s">
        <v>794</v>
      </c>
      <c r="E330" s="328">
        <f>'d3'!E330-d3П!E325</f>
        <v>0</v>
      </c>
      <c r="F330" s="328">
        <f>'d3'!F330-d3П!F325</f>
        <v>0</v>
      </c>
      <c r="G330" s="328">
        <f>'d3'!G330-d3П!G325</f>
        <v>0</v>
      </c>
      <c r="H330" s="328">
        <f>'d3'!H330-d3П!H325</f>
        <v>0</v>
      </c>
      <c r="I330" s="328">
        <f>'d3'!I330-d3П!I325</f>
        <v>0</v>
      </c>
      <c r="J330" s="328">
        <f>'d3'!J330-d3П!J325</f>
        <v>12626578</v>
      </c>
      <c r="K330" s="328">
        <f>'d3'!K330-d3П!K325</f>
        <v>12626578</v>
      </c>
      <c r="L330" s="328">
        <f>'d3'!L330-d3П!L325</f>
        <v>0</v>
      </c>
      <c r="M330" s="328">
        <f>'d3'!M330-d3П!M325</f>
        <v>0</v>
      </c>
      <c r="N330" s="328">
        <f>'d3'!N330-d3П!N325</f>
        <v>0</v>
      </c>
      <c r="O330" s="328">
        <f>'d3'!O330-d3П!O325</f>
        <v>12626578</v>
      </c>
      <c r="P330" s="328">
        <f>'d3'!P330-d3П!P325</f>
        <v>12626578</v>
      </c>
      <c r="Q330" s="45"/>
      <c r="R330" s="46"/>
    </row>
    <row r="331" spans="1:18" ht="47.25" thickTop="1" thickBot="1" x14ac:dyDescent="0.25">
      <c r="A331" s="313" t="s">
        <v>819</v>
      </c>
      <c r="B331" s="313" t="s">
        <v>803</v>
      </c>
      <c r="C331" s="313"/>
      <c r="D331" s="313" t="s">
        <v>804</v>
      </c>
      <c r="E331" s="328">
        <f>'d3'!E331-d3П!E326</f>
        <v>0</v>
      </c>
      <c r="F331" s="328">
        <f>'d3'!F331-d3П!F326</f>
        <v>0</v>
      </c>
      <c r="G331" s="328">
        <f>'d3'!G331-d3П!G326</f>
        <v>0</v>
      </c>
      <c r="H331" s="328">
        <f>'d3'!H331-d3П!H326</f>
        <v>0</v>
      </c>
      <c r="I331" s="328">
        <f>'d3'!I331-d3П!I326</f>
        <v>0</v>
      </c>
      <c r="J331" s="328">
        <f>'d3'!J331-d3П!J326</f>
        <v>12626578</v>
      </c>
      <c r="K331" s="328">
        <f>'d3'!K331-d3П!K326</f>
        <v>12626578</v>
      </c>
      <c r="L331" s="328">
        <f>'d3'!L331-d3П!L326</f>
        <v>0</v>
      </c>
      <c r="M331" s="328">
        <f>'d3'!M331-d3П!M326</f>
        <v>0</v>
      </c>
      <c r="N331" s="328">
        <f>'d3'!N331-d3П!N326</f>
        <v>0</v>
      </c>
      <c r="O331" s="328">
        <f>'d3'!O331-d3П!O326</f>
        <v>12626578</v>
      </c>
      <c r="P331" s="328">
        <f>'d3'!P331-d3П!P326</f>
        <v>12626578</v>
      </c>
      <c r="Q331" s="45"/>
      <c r="R331" s="46"/>
    </row>
    <row r="332" spans="1:18" ht="54" hidden="1" thickTop="1" thickBot="1" x14ac:dyDescent="0.25">
      <c r="A332" s="103" t="s">
        <v>927</v>
      </c>
      <c r="B332" s="103" t="s">
        <v>305</v>
      </c>
      <c r="C332" s="103" t="s">
        <v>304</v>
      </c>
      <c r="D332" s="103" t="s">
        <v>1502</v>
      </c>
      <c r="E332" s="328">
        <f>'d3'!E332-d3П!E327</f>
        <v>0</v>
      </c>
      <c r="F332" s="328">
        <f>'d3'!F332-d3П!F327</f>
        <v>0</v>
      </c>
      <c r="G332" s="328">
        <f>'d3'!G332-d3П!G327</f>
        <v>0</v>
      </c>
      <c r="H332" s="328">
        <f>'d3'!H332-d3П!H327</f>
        <v>0</v>
      </c>
      <c r="I332" s="328">
        <f>'d3'!I332-d3П!I327</f>
        <v>0</v>
      </c>
      <c r="J332" s="328">
        <f>'d3'!J332-d3П!J327</f>
        <v>0</v>
      </c>
      <c r="K332" s="328">
        <f>'d3'!K332-d3П!K327</f>
        <v>0</v>
      </c>
      <c r="L332" s="328">
        <f>'d3'!L332-d3П!L327</f>
        <v>0</v>
      </c>
      <c r="M332" s="328">
        <f>'d3'!M332-d3П!M327</f>
        <v>0</v>
      </c>
      <c r="N332" s="328">
        <f>'d3'!N332-d3П!N327</f>
        <v>0</v>
      </c>
      <c r="O332" s="328">
        <f>'d3'!O332-d3П!O327</f>
        <v>0</v>
      </c>
      <c r="P332" s="328">
        <f>'d3'!P332-d3П!P327</f>
        <v>0</v>
      </c>
      <c r="Q332" s="45"/>
      <c r="R332" s="46"/>
    </row>
    <row r="333" spans="1:18" ht="54.75" thickTop="1" thickBot="1" x14ac:dyDescent="0.25">
      <c r="A333" s="329" t="s">
        <v>820</v>
      </c>
      <c r="B333" s="329" t="s">
        <v>821</v>
      </c>
      <c r="C333" s="329"/>
      <c r="D333" s="329" t="s">
        <v>1508</v>
      </c>
      <c r="E333" s="328">
        <f>'d3'!E333-d3П!E328</f>
        <v>0</v>
      </c>
      <c r="F333" s="328">
        <f>'d3'!F333-d3П!F328</f>
        <v>0</v>
      </c>
      <c r="G333" s="328">
        <f>'d3'!G333-d3П!G328</f>
        <v>0</v>
      </c>
      <c r="H333" s="328">
        <f>'d3'!H333-d3П!H328</f>
        <v>0</v>
      </c>
      <c r="I333" s="328">
        <f>'d3'!I333-d3П!I328</f>
        <v>0</v>
      </c>
      <c r="J333" s="328">
        <f>'d3'!J333-d3П!J328</f>
        <v>10000000</v>
      </c>
      <c r="K333" s="328">
        <f>'d3'!K333-d3П!K328</f>
        <v>10000000</v>
      </c>
      <c r="L333" s="328">
        <f>'d3'!L333-d3П!L328</f>
        <v>0</v>
      </c>
      <c r="M333" s="328">
        <f>'d3'!M333-d3П!M328</f>
        <v>0</v>
      </c>
      <c r="N333" s="328">
        <f>'d3'!N333-d3П!N328</f>
        <v>0</v>
      </c>
      <c r="O333" s="328">
        <f>'d3'!O333-d3П!O328</f>
        <v>10000000</v>
      </c>
      <c r="P333" s="328">
        <f>'d3'!P333-d3П!P328</f>
        <v>10000000</v>
      </c>
      <c r="Q333" s="45"/>
      <c r="R333" s="46"/>
    </row>
    <row r="334" spans="1:18" ht="54" thickTop="1" thickBot="1" x14ac:dyDescent="0.25">
      <c r="A334" s="103" t="s">
        <v>310</v>
      </c>
      <c r="B334" s="103" t="s">
        <v>311</v>
      </c>
      <c r="C334" s="103" t="s">
        <v>304</v>
      </c>
      <c r="D334" s="103" t="s">
        <v>1504</v>
      </c>
      <c r="E334" s="328">
        <f>'d3'!E334-d3П!E329</f>
        <v>0</v>
      </c>
      <c r="F334" s="328">
        <f>'d3'!F334-d3П!F329</f>
        <v>0</v>
      </c>
      <c r="G334" s="328">
        <f>'d3'!G334-d3П!G329</f>
        <v>0</v>
      </c>
      <c r="H334" s="328">
        <f>'d3'!H334-d3П!H329</f>
        <v>0</v>
      </c>
      <c r="I334" s="328">
        <f>'d3'!I334-d3П!I329</f>
        <v>0</v>
      </c>
      <c r="J334" s="328">
        <f>'d3'!J334-d3П!J329</f>
        <v>9000000</v>
      </c>
      <c r="K334" s="328">
        <f>'d3'!K334-d3П!K329</f>
        <v>9000000</v>
      </c>
      <c r="L334" s="328">
        <f>'d3'!L334-d3П!L329</f>
        <v>0</v>
      </c>
      <c r="M334" s="328">
        <f>'d3'!M334-d3П!M329</f>
        <v>0</v>
      </c>
      <c r="N334" s="328">
        <f>'d3'!N334-d3П!N329</f>
        <v>0</v>
      </c>
      <c r="O334" s="328">
        <f>'d3'!O334-d3П!O329</f>
        <v>9000000</v>
      </c>
      <c r="P334" s="328">
        <f>'d3'!P334-d3П!P329</f>
        <v>9000000</v>
      </c>
      <c r="Q334" s="477"/>
      <c r="R334" s="46"/>
    </row>
    <row r="335" spans="1:18" ht="54" thickTop="1" thickBot="1" x14ac:dyDescent="0.25">
      <c r="A335" s="103" t="s">
        <v>516</v>
      </c>
      <c r="B335" s="103" t="s">
        <v>517</v>
      </c>
      <c r="C335" s="103" t="s">
        <v>304</v>
      </c>
      <c r="D335" s="103" t="s">
        <v>1509</v>
      </c>
      <c r="E335" s="328">
        <f>'d3'!E335-d3П!E330</f>
        <v>0</v>
      </c>
      <c r="F335" s="328">
        <f>'d3'!F335-d3П!F330</f>
        <v>0</v>
      </c>
      <c r="G335" s="328">
        <f>'d3'!G335-d3П!G330</f>
        <v>0</v>
      </c>
      <c r="H335" s="328">
        <f>'d3'!H335-d3П!H330</f>
        <v>0</v>
      </c>
      <c r="I335" s="328">
        <f>'d3'!I335-d3П!I330</f>
        <v>0</v>
      </c>
      <c r="J335" s="328">
        <f>'d3'!J335-d3П!J330</f>
        <v>1000000</v>
      </c>
      <c r="K335" s="328">
        <f>'d3'!K335-d3П!K330</f>
        <v>1000000</v>
      </c>
      <c r="L335" s="328">
        <f>'d3'!L335-d3П!L330</f>
        <v>0</v>
      </c>
      <c r="M335" s="328">
        <f>'d3'!M335-d3П!M330</f>
        <v>0</v>
      </c>
      <c r="N335" s="328">
        <f>'d3'!N335-d3П!N330</f>
        <v>0</v>
      </c>
      <c r="O335" s="328">
        <f>'d3'!O335-d3П!O330</f>
        <v>1000000</v>
      </c>
      <c r="P335" s="328">
        <f>'d3'!P335-d3П!P330</f>
        <v>1000000</v>
      </c>
      <c r="Q335" s="126"/>
      <c r="R335" s="46"/>
    </row>
    <row r="336" spans="1:18" ht="54" hidden="1" thickTop="1" thickBot="1" x14ac:dyDescent="0.25">
      <c r="A336" s="103" t="s">
        <v>312</v>
      </c>
      <c r="B336" s="103" t="s">
        <v>313</v>
      </c>
      <c r="C336" s="103" t="s">
        <v>304</v>
      </c>
      <c r="D336" s="103" t="s">
        <v>1510</v>
      </c>
      <c r="E336" s="328">
        <f>'d3'!E336-d3П!E331</f>
        <v>0</v>
      </c>
      <c r="F336" s="328">
        <f>'d3'!F336-d3П!F331</f>
        <v>0</v>
      </c>
      <c r="G336" s="328">
        <f>'d3'!G336-d3П!G331</f>
        <v>0</v>
      </c>
      <c r="H336" s="328">
        <f>'d3'!H336-d3П!H331</f>
        <v>0</v>
      </c>
      <c r="I336" s="328">
        <f>'d3'!I336-d3П!I331</f>
        <v>0</v>
      </c>
      <c r="J336" s="328">
        <f>'d3'!J336-d3П!J331</f>
        <v>0</v>
      </c>
      <c r="K336" s="328">
        <f>'d3'!K336-d3П!K331</f>
        <v>0</v>
      </c>
      <c r="L336" s="328">
        <f>'d3'!L336-d3П!L331</f>
        <v>0</v>
      </c>
      <c r="M336" s="328">
        <f>'d3'!M336-d3П!M331</f>
        <v>0</v>
      </c>
      <c r="N336" s="328">
        <f>'d3'!N336-d3П!N331</f>
        <v>0</v>
      </c>
      <c r="O336" s="328">
        <f>'d3'!O336-d3П!O331</f>
        <v>0</v>
      </c>
      <c r="P336" s="328">
        <f>'d3'!P336-d3П!P331</f>
        <v>0</v>
      </c>
      <c r="Q336" s="126"/>
    </row>
    <row r="337" spans="1:18" ht="54" thickTop="1" thickBot="1" x14ac:dyDescent="0.3">
      <c r="A337" s="103" t="s">
        <v>314</v>
      </c>
      <c r="B337" s="103" t="s">
        <v>315</v>
      </c>
      <c r="C337" s="103" t="s">
        <v>304</v>
      </c>
      <c r="D337" s="103" t="s">
        <v>1505</v>
      </c>
      <c r="E337" s="328">
        <f>'d3'!E337-d3П!E332</f>
        <v>0</v>
      </c>
      <c r="F337" s="328">
        <f>'d3'!F337-d3П!F332</f>
        <v>0</v>
      </c>
      <c r="G337" s="328">
        <f>'d3'!G337-d3П!G332</f>
        <v>0</v>
      </c>
      <c r="H337" s="328">
        <f>'d3'!H337-d3П!H332</f>
        <v>0</v>
      </c>
      <c r="I337" s="328">
        <f>'d3'!I337-d3П!I332</f>
        <v>0</v>
      </c>
      <c r="J337" s="328">
        <f>'d3'!J337-d3П!J332</f>
        <v>2626578</v>
      </c>
      <c r="K337" s="328">
        <f>'d3'!K337-d3П!K332</f>
        <v>2626578</v>
      </c>
      <c r="L337" s="328">
        <f>'d3'!L337-d3П!L332</f>
        <v>0</v>
      </c>
      <c r="M337" s="328">
        <f>'d3'!M337-d3П!M332</f>
        <v>0</v>
      </c>
      <c r="N337" s="328">
        <f>'d3'!N337-d3П!N332</f>
        <v>0</v>
      </c>
      <c r="O337" s="328">
        <f>'d3'!O337-d3П!O332</f>
        <v>2626578</v>
      </c>
      <c r="P337" s="328">
        <f>'d3'!P337-d3П!P332</f>
        <v>2626578</v>
      </c>
      <c r="Q337" s="162"/>
      <c r="R337" s="46"/>
    </row>
    <row r="338" spans="1:18" ht="48" hidden="1" thickTop="1" thickBot="1" x14ac:dyDescent="0.25">
      <c r="A338" s="41" t="s">
        <v>437</v>
      </c>
      <c r="B338" s="41" t="s">
        <v>350</v>
      </c>
      <c r="C338" s="41" t="s">
        <v>170</v>
      </c>
      <c r="D338" s="41" t="s">
        <v>262</v>
      </c>
      <c r="E338" s="42">
        <f>F338</f>
        <v>0</v>
      </c>
      <c r="F338" s="43"/>
      <c r="G338" s="43"/>
      <c r="H338" s="43"/>
      <c r="I338" s="43"/>
      <c r="J338" s="42">
        <f t="shared" ref="J338" si="76">L338+O338</f>
        <v>0</v>
      </c>
      <c r="K338" s="43">
        <v>0</v>
      </c>
      <c r="L338" s="43"/>
      <c r="M338" s="43"/>
      <c r="N338" s="43"/>
      <c r="O338" s="44">
        <f>K338</f>
        <v>0</v>
      </c>
      <c r="P338" s="42">
        <f t="shared" ref="P338" si="77">E338+J338</f>
        <v>0</v>
      </c>
      <c r="Q338" s="20"/>
      <c r="R338" s="46"/>
    </row>
    <row r="339" spans="1:18" ht="47.25" hidden="1" thickTop="1" thickBot="1" x14ac:dyDescent="0.25">
      <c r="A339" s="136" t="s">
        <v>988</v>
      </c>
      <c r="B339" s="136" t="s">
        <v>691</v>
      </c>
      <c r="C339" s="136"/>
      <c r="D339" s="136" t="s">
        <v>689</v>
      </c>
      <c r="E339" s="159">
        <f>E340</f>
        <v>0</v>
      </c>
      <c r="F339" s="159">
        <f>F340</f>
        <v>0</v>
      </c>
      <c r="G339" s="159">
        <f>G340</f>
        <v>0</v>
      </c>
      <c r="H339" s="159">
        <f>H340</f>
        <v>0</v>
      </c>
      <c r="I339" s="159">
        <f>I340</f>
        <v>0</v>
      </c>
      <c r="J339" s="159">
        <f t="shared" ref="J339:O339" si="78">J340</f>
        <v>0</v>
      </c>
      <c r="K339" s="159">
        <f t="shared" si="78"/>
        <v>0</v>
      </c>
      <c r="L339" s="159">
        <f t="shared" si="78"/>
        <v>0</v>
      </c>
      <c r="M339" s="159">
        <f t="shared" si="78"/>
        <v>0</v>
      </c>
      <c r="N339" s="159">
        <f t="shared" si="78"/>
        <v>0</v>
      </c>
      <c r="O339" s="159">
        <f t="shared" si="78"/>
        <v>0</v>
      </c>
      <c r="P339" s="159">
        <f>P340</f>
        <v>0</v>
      </c>
      <c r="Q339" s="20"/>
      <c r="R339" s="46"/>
    </row>
    <row r="340" spans="1:18" ht="48" hidden="1" thickTop="1" thickBot="1" x14ac:dyDescent="0.25">
      <c r="A340" s="140" t="s">
        <v>989</v>
      </c>
      <c r="B340" s="140" t="s">
        <v>694</v>
      </c>
      <c r="C340" s="140"/>
      <c r="D340" s="140" t="s">
        <v>797</v>
      </c>
      <c r="E340" s="158">
        <f>E341+E343</f>
        <v>0</v>
      </c>
      <c r="F340" s="158">
        <f t="shared" ref="F340:P340" si="79">F341+F343</f>
        <v>0</v>
      </c>
      <c r="G340" s="158">
        <f t="shared" si="79"/>
        <v>0</v>
      </c>
      <c r="H340" s="158">
        <f t="shared" si="79"/>
        <v>0</v>
      </c>
      <c r="I340" s="158">
        <f t="shared" si="79"/>
        <v>0</v>
      </c>
      <c r="J340" s="158">
        <f t="shared" si="79"/>
        <v>0</v>
      </c>
      <c r="K340" s="158">
        <f t="shared" si="79"/>
        <v>0</v>
      </c>
      <c r="L340" s="158">
        <f t="shared" si="79"/>
        <v>0</v>
      </c>
      <c r="M340" s="158">
        <f t="shared" si="79"/>
        <v>0</v>
      </c>
      <c r="N340" s="158">
        <f t="shared" si="79"/>
        <v>0</v>
      </c>
      <c r="O340" s="158">
        <f t="shared" si="79"/>
        <v>0</v>
      </c>
      <c r="P340" s="158">
        <f t="shared" si="79"/>
        <v>0</v>
      </c>
      <c r="Q340" s="20"/>
      <c r="R340" s="46"/>
    </row>
    <row r="341" spans="1:18" ht="138.75" hidden="1" thickTop="1" thickBot="1" x14ac:dyDescent="0.7">
      <c r="A341" s="793" t="s">
        <v>990</v>
      </c>
      <c r="B341" s="793" t="s">
        <v>338</v>
      </c>
      <c r="C341" s="793" t="s">
        <v>170</v>
      </c>
      <c r="D341" s="163" t="s">
        <v>440</v>
      </c>
      <c r="E341" s="794">
        <f t="shared" ref="E341" si="80">F341</f>
        <v>0</v>
      </c>
      <c r="F341" s="795"/>
      <c r="G341" s="795"/>
      <c r="H341" s="795"/>
      <c r="I341" s="795"/>
      <c r="J341" s="794">
        <f t="shared" ref="J341" si="81">L341+O341</f>
        <v>0</v>
      </c>
      <c r="K341" s="795"/>
      <c r="L341" s="795"/>
      <c r="M341" s="795"/>
      <c r="N341" s="795"/>
      <c r="O341" s="799">
        <f>K341</f>
        <v>0</v>
      </c>
      <c r="P341" s="792">
        <f>E341+J341</f>
        <v>0</v>
      </c>
      <c r="Q341" s="20"/>
      <c r="R341" s="46"/>
    </row>
    <row r="342" spans="1:18" ht="93" hidden="1" thickTop="1" thickBot="1" x14ac:dyDescent="0.25">
      <c r="A342" s="793"/>
      <c r="B342" s="793"/>
      <c r="C342" s="793"/>
      <c r="D342" s="164" t="s">
        <v>441</v>
      </c>
      <c r="E342" s="794"/>
      <c r="F342" s="795"/>
      <c r="G342" s="795"/>
      <c r="H342" s="795"/>
      <c r="I342" s="795"/>
      <c r="J342" s="794"/>
      <c r="K342" s="795"/>
      <c r="L342" s="795"/>
      <c r="M342" s="795"/>
      <c r="N342" s="795"/>
      <c r="O342" s="799"/>
      <c r="P342" s="792"/>
      <c r="Q342" s="20"/>
      <c r="R342" s="46"/>
    </row>
    <row r="343" spans="1:18" ht="48" hidden="1" thickTop="1" thickBot="1" x14ac:dyDescent="0.25">
      <c r="A343" s="128" t="s">
        <v>1193</v>
      </c>
      <c r="B343" s="128" t="s">
        <v>257</v>
      </c>
      <c r="C343" s="128" t="s">
        <v>170</v>
      </c>
      <c r="D343" s="156" t="s">
        <v>255</v>
      </c>
      <c r="E343" s="127">
        <f>F343</f>
        <v>0</v>
      </c>
      <c r="F343" s="134"/>
      <c r="G343" s="134"/>
      <c r="H343" s="134"/>
      <c r="I343" s="134"/>
      <c r="J343" s="127">
        <f t="shared" ref="J343" si="82">L343+O343</f>
        <v>0</v>
      </c>
      <c r="K343" s="134"/>
      <c r="L343" s="134"/>
      <c r="M343" s="134"/>
      <c r="N343" s="134"/>
      <c r="O343" s="132">
        <f>K343</f>
        <v>0</v>
      </c>
      <c r="P343" s="127">
        <f t="shared" ref="P343" si="83">E343+J343</f>
        <v>0</v>
      </c>
      <c r="Q343" s="20"/>
      <c r="R343" s="46"/>
    </row>
    <row r="344" spans="1:18" ht="120" customHeight="1" thickTop="1" thickBot="1" x14ac:dyDescent="0.25">
      <c r="A344" s="661" t="s">
        <v>160</v>
      </c>
      <c r="B344" s="661"/>
      <c r="C344" s="661"/>
      <c r="D344" s="662" t="s">
        <v>893</v>
      </c>
      <c r="E344" s="663">
        <f>E345</f>
        <v>99900</v>
      </c>
      <c r="F344" s="664">
        <f t="shared" ref="F344:G344" si="84">F345</f>
        <v>99900</v>
      </c>
      <c r="G344" s="664">
        <f t="shared" si="84"/>
        <v>0</v>
      </c>
      <c r="H344" s="664">
        <f>H345</f>
        <v>0</v>
      </c>
      <c r="I344" s="664">
        <f t="shared" ref="I344" si="85">I345</f>
        <v>0</v>
      </c>
      <c r="J344" s="663">
        <f>J345</f>
        <v>0</v>
      </c>
      <c r="K344" s="664">
        <f>K345</f>
        <v>0</v>
      </c>
      <c r="L344" s="664">
        <f>L345</f>
        <v>0</v>
      </c>
      <c r="M344" s="664">
        <f t="shared" ref="M344" si="86">M345</f>
        <v>0</v>
      </c>
      <c r="N344" s="664">
        <f>N345</f>
        <v>0</v>
      </c>
      <c r="O344" s="663">
        <f>O345</f>
        <v>0</v>
      </c>
      <c r="P344" s="664">
        <f t="shared" ref="P344" si="87">P345</f>
        <v>99900</v>
      </c>
      <c r="Q344" s="20"/>
    </row>
    <row r="345" spans="1:18" ht="120" customHeight="1" thickTop="1" thickBot="1" x14ac:dyDescent="0.25">
      <c r="A345" s="658" t="s">
        <v>161</v>
      </c>
      <c r="B345" s="658"/>
      <c r="C345" s="658"/>
      <c r="D345" s="659" t="s">
        <v>894</v>
      </c>
      <c r="E345" s="660">
        <f>E346+E350</f>
        <v>99900</v>
      </c>
      <c r="F345" s="660">
        <f>F346+F350</f>
        <v>99900</v>
      </c>
      <c r="G345" s="660">
        <f>G346+G350</f>
        <v>0</v>
      </c>
      <c r="H345" s="660">
        <f>H346+H350</f>
        <v>0</v>
      </c>
      <c r="I345" s="660">
        <f>I346+I350</f>
        <v>0</v>
      </c>
      <c r="J345" s="660">
        <f>L345+O345</f>
        <v>0</v>
      </c>
      <c r="K345" s="660">
        <f>K346+K350</f>
        <v>0</v>
      </c>
      <c r="L345" s="660">
        <f>L346+L350</f>
        <v>0</v>
      </c>
      <c r="M345" s="660">
        <f>M346+M350</f>
        <v>0</v>
      </c>
      <c r="N345" s="660">
        <f>N346+N350</f>
        <v>0</v>
      </c>
      <c r="O345" s="660">
        <f>O346+O350</f>
        <v>0</v>
      </c>
      <c r="P345" s="660">
        <f>E345+J345</f>
        <v>99900</v>
      </c>
      <c r="Q345" s="503" t="b">
        <f>P345=P347+P349</f>
        <v>1</v>
      </c>
      <c r="R345" s="46"/>
    </row>
    <row r="346" spans="1:18" ht="47.25" thickTop="1" thickBot="1" x14ac:dyDescent="0.25">
      <c r="A346" s="311" t="s">
        <v>822</v>
      </c>
      <c r="B346" s="311" t="s">
        <v>684</v>
      </c>
      <c r="C346" s="311"/>
      <c r="D346" s="311" t="s">
        <v>685</v>
      </c>
      <c r="E346" s="328">
        <f>'d3'!E346-d3П!E341</f>
        <v>99900</v>
      </c>
      <c r="F346" s="328">
        <f>'d3'!F346-d3П!F341</f>
        <v>99900</v>
      </c>
      <c r="G346" s="328">
        <f>'d3'!G346-d3П!G341</f>
        <v>0</v>
      </c>
      <c r="H346" s="328">
        <f>'d3'!H346-d3П!H341</f>
        <v>0</v>
      </c>
      <c r="I346" s="328">
        <f>'d3'!I346-d3П!I341</f>
        <v>0</v>
      </c>
      <c r="J346" s="328">
        <f>'d3'!J346-d3П!J341</f>
        <v>0</v>
      </c>
      <c r="K346" s="328">
        <f>'d3'!K346-d3П!K341</f>
        <v>0</v>
      </c>
      <c r="L346" s="328">
        <f>'d3'!L346-d3П!L341</f>
        <v>0</v>
      </c>
      <c r="M346" s="328">
        <f>'d3'!M346-d3П!M341</f>
        <v>0</v>
      </c>
      <c r="N346" s="328">
        <f>'d3'!N346-d3П!N341</f>
        <v>0</v>
      </c>
      <c r="O346" s="328">
        <f>'d3'!O346-d3П!O341</f>
        <v>0</v>
      </c>
      <c r="P346" s="328">
        <f>'d3'!P346-d3П!P341</f>
        <v>99900</v>
      </c>
      <c r="Q346" s="47"/>
      <c r="R346" s="46"/>
    </row>
    <row r="347" spans="1:18" ht="93" thickTop="1" thickBot="1" x14ac:dyDescent="0.25">
      <c r="A347" s="103" t="s">
        <v>419</v>
      </c>
      <c r="B347" s="103" t="s">
        <v>236</v>
      </c>
      <c r="C347" s="103" t="s">
        <v>234</v>
      </c>
      <c r="D347" s="103" t="s">
        <v>235</v>
      </c>
      <c r="E347" s="328">
        <f>'d3'!E347-d3П!E342</f>
        <v>0</v>
      </c>
      <c r="F347" s="328">
        <f>'d3'!F347-d3П!F342</f>
        <v>0</v>
      </c>
      <c r="G347" s="328">
        <f>'d3'!G347-d3П!G342</f>
        <v>0</v>
      </c>
      <c r="H347" s="328">
        <f>'d3'!H347-d3П!H342</f>
        <v>0</v>
      </c>
      <c r="I347" s="328">
        <f>'d3'!I347-d3П!I342</f>
        <v>0</v>
      </c>
      <c r="J347" s="328">
        <f>'d3'!J347-d3П!J342</f>
        <v>0</v>
      </c>
      <c r="K347" s="328">
        <f>'d3'!K347-d3П!K342</f>
        <v>0</v>
      </c>
      <c r="L347" s="328">
        <f>'d3'!L347-d3П!L342</f>
        <v>0</v>
      </c>
      <c r="M347" s="328">
        <f>'d3'!M347-d3П!M342</f>
        <v>0</v>
      </c>
      <c r="N347" s="328">
        <f>'d3'!N347-d3П!N342</f>
        <v>0</v>
      </c>
      <c r="O347" s="328">
        <f>'d3'!O347-d3П!O342</f>
        <v>0</v>
      </c>
      <c r="P347" s="328">
        <f>'d3'!P347-d3П!P342</f>
        <v>0</v>
      </c>
      <c r="Q347" s="47"/>
      <c r="R347" s="46"/>
    </row>
    <row r="348" spans="1:18" ht="93" hidden="1" thickTop="1" thickBot="1" x14ac:dyDescent="0.25">
      <c r="A348" s="128" t="s">
        <v>631</v>
      </c>
      <c r="B348" s="128" t="s">
        <v>362</v>
      </c>
      <c r="C348" s="128" t="s">
        <v>625</v>
      </c>
      <c r="D348" s="128" t="s">
        <v>626</v>
      </c>
      <c r="E348" s="328">
        <f>'d3'!E348-d3П!E343</f>
        <v>0</v>
      </c>
      <c r="F348" s="328">
        <f>'d3'!F348-d3П!F343</f>
        <v>0</v>
      </c>
      <c r="G348" s="328">
        <f>'d3'!G348-d3П!G343</f>
        <v>0</v>
      </c>
      <c r="H348" s="328">
        <f>'d3'!H348-d3П!H343</f>
        <v>0</v>
      </c>
      <c r="I348" s="328">
        <f>'d3'!I348-d3П!I343</f>
        <v>0</v>
      </c>
      <c r="J348" s="328">
        <f>'d3'!J348-d3П!J343</f>
        <v>0</v>
      </c>
      <c r="K348" s="328">
        <f>'d3'!K348-d3П!K343</f>
        <v>0</v>
      </c>
      <c r="L348" s="328">
        <f>'d3'!L348-d3П!L343</f>
        <v>0</v>
      </c>
      <c r="M348" s="328">
        <f>'d3'!M348-d3П!M343</f>
        <v>0</v>
      </c>
      <c r="N348" s="328">
        <f>'d3'!N348-d3П!N343</f>
        <v>0</v>
      </c>
      <c r="O348" s="328">
        <f>'d3'!O348-d3П!O343</f>
        <v>0</v>
      </c>
      <c r="P348" s="328">
        <f>'d3'!P348-d3П!P343</f>
        <v>0</v>
      </c>
      <c r="Q348" s="47"/>
      <c r="R348" s="46"/>
    </row>
    <row r="349" spans="1:18" ht="69.75" customHeight="1" thickTop="1" thickBot="1" x14ac:dyDescent="0.25">
      <c r="A349" s="695" t="s">
        <v>1260</v>
      </c>
      <c r="B349" s="695" t="s">
        <v>43</v>
      </c>
      <c r="C349" s="695" t="s">
        <v>42</v>
      </c>
      <c r="D349" s="695" t="s">
        <v>248</v>
      </c>
      <c r="E349" s="328">
        <f>'d3'!E349-d3П!E344</f>
        <v>99900</v>
      </c>
      <c r="F349" s="328">
        <f>'d3'!F349-d3П!F344</f>
        <v>99900</v>
      </c>
      <c r="G349" s="328">
        <f>'d3'!G349-d3П!G344</f>
        <v>0</v>
      </c>
      <c r="H349" s="328">
        <f>'d3'!H349-d3П!H344</f>
        <v>0</v>
      </c>
      <c r="I349" s="328">
        <f>'d3'!I349-d3П!I344</f>
        <v>0</v>
      </c>
      <c r="J349" s="328">
        <f>'d3'!J349-d3П!J344</f>
        <v>0</v>
      </c>
      <c r="K349" s="328">
        <f>'d3'!K349-d3П!K344</f>
        <v>0</v>
      </c>
      <c r="L349" s="328">
        <f>'d3'!L349-d3П!L344</f>
        <v>0</v>
      </c>
      <c r="M349" s="328">
        <f>'d3'!M349-d3П!M344</f>
        <v>0</v>
      </c>
      <c r="N349" s="328">
        <f>'d3'!N349-d3П!N344</f>
        <v>0</v>
      </c>
      <c r="O349" s="328">
        <f>'d3'!O349-d3П!O344</f>
        <v>0</v>
      </c>
      <c r="P349" s="328">
        <f>'d3'!P349-d3П!P344</f>
        <v>99900</v>
      </c>
      <c r="Q349" s="47"/>
      <c r="R349" s="46"/>
    </row>
    <row r="350" spans="1:18" ht="47.25" hidden="1" thickTop="1" thickBot="1" x14ac:dyDescent="0.25">
      <c r="A350" s="125" t="s">
        <v>909</v>
      </c>
      <c r="B350" s="125" t="s">
        <v>748</v>
      </c>
      <c r="C350" s="128"/>
      <c r="D350" s="125" t="s">
        <v>794</v>
      </c>
      <c r="E350" s="127">
        <f>E351</f>
        <v>0</v>
      </c>
      <c r="F350" s="127">
        <f t="shared" ref="F350:P351" si="88">F351</f>
        <v>0</v>
      </c>
      <c r="G350" s="127">
        <f t="shared" si="88"/>
        <v>0</v>
      </c>
      <c r="H350" s="127">
        <f t="shared" si="88"/>
        <v>0</v>
      </c>
      <c r="I350" s="127">
        <f t="shared" si="88"/>
        <v>0</v>
      </c>
      <c r="J350" s="127">
        <f t="shared" si="88"/>
        <v>0</v>
      </c>
      <c r="K350" s="127">
        <f t="shared" si="88"/>
        <v>0</v>
      </c>
      <c r="L350" s="127">
        <f t="shared" si="88"/>
        <v>0</v>
      </c>
      <c r="M350" s="127">
        <f t="shared" si="88"/>
        <v>0</v>
      </c>
      <c r="N350" s="127">
        <f t="shared" si="88"/>
        <v>0</v>
      </c>
      <c r="O350" s="127">
        <f t="shared" si="88"/>
        <v>0</v>
      </c>
      <c r="P350" s="127">
        <f t="shared" si="88"/>
        <v>0</v>
      </c>
      <c r="Q350" s="47"/>
      <c r="R350" s="46"/>
    </row>
    <row r="351" spans="1:18" ht="47.25" hidden="1" thickTop="1" thickBot="1" x14ac:dyDescent="0.25">
      <c r="A351" s="136" t="s">
        <v>910</v>
      </c>
      <c r="B351" s="136" t="s">
        <v>803</v>
      </c>
      <c r="C351" s="136"/>
      <c r="D351" s="136" t="s">
        <v>804</v>
      </c>
      <c r="E351" s="137">
        <f>E352</f>
        <v>0</v>
      </c>
      <c r="F351" s="137">
        <f t="shared" si="88"/>
        <v>0</v>
      </c>
      <c r="G351" s="137">
        <f t="shared" si="88"/>
        <v>0</v>
      </c>
      <c r="H351" s="137">
        <f t="shared" si="88"/>
        <v>0</v>
      </c>
      <c r="I351" s="137">
        <f t="shared" si="88"/>
        <v>0</v>
      </c>
      <c r="J351" s="137">
        <f t="shared" si="88"/>
        <v>0</v>
      </c>
      <c r="K351" s="137">
        <f t="shared" si="88"/>
        <v>0</v>
      </c>
      <c r="L351" s="137">
        <f t="shared" si="88"/>
        <v>0</v>
      </c>
      <c r="M351" s="137">
        <f t="shared" si="88"/>
        <v>0</v>
      </c>
      <c r="N351" s="137">
        <f t="shared" si="88"/>
        <v>0</v>
      </c>
      <c r="O351" s="137">
        <f t="shared" si="88"/>
        <v>0</v>
      </c>
      <c r="P351" s="137">
        <f t="shared" si="88"/>
        <v>0</v>
      </c>
      <c r="Q351" s="47"/>
      <c r="R351" s="46"/>
    </row>
    <row r="352" spans="1:18" ht="48" hidden="1" thickTop="1" thickBot="1" x14ac:dyDescent="0.25">
      <c r="A352" s="128" t="s">
        <v>911</v>
      </c>
      <c r="B352" s="128" t="s">
        <v>912</v>
      </c>
      <c r="C352" s="128" t="s">
        <v>304</v>
      </c>
      <c r="D352" s="128" t="s">
        <v>913</v>
      </c>
      <c r="E352" s="152">
        <f>F352</f>
        <v>0</v>
      </c>
      <c r="F352" s="129"/>
      <c r="G352" s="129"/>
      <c r="H352" s="129"/>
      <c r="I352" s="129"/>
      <c r="J352" s="127">
        <f t="shared" ref="J352" si="89">L352+O352</f>
        <v>0</v>
      </c>
      <c r="K352" s="129">
        <v>0</v>
      </c>
      <c r="L352" s="130"/>
      <c r="M352" s="130"/>
      <c r="N352" s="130"/>
      <c r="O352" s="132">
        <f t="shared" ref="O352" si="90">K352</f>
        <v>0</v>
      </c>
      <c r="P352" s="127">
        <f t="shared" ref="P352" si="91">+J352+E352</f>
        <v>0</v>
      </c>
      <c r="Q352" s="47"/>
      <c r="R352" s="46"/>
    </row>
    <row r="353" spans="1:18" ht="120" customHeight="1" thickTop="1" thickBot="1" x14ac:dyDescent="0.25">
      <c r="A353" s="661" t="s">
        <v>444</v>
      </c>
      <c r="B353" s="661"/>
      <c r="C353" s="661"/>
      <c r="D353" s="662" t="s">
        <v>446</v>
      </c>
      <c r="E353" s="663">
        <f>E354</f>
        <v>0</v>
      </c>
      <c r="F353" s="664">
        <f t="shared" ref="F353:G353" si="92">F354</f>
        <v>0</v>
      </c>
      <c r="G353" s="664">
        <f t="shared" si="92"/>
        <v>0</v>
      </c>
      <c r="H353" s="664">
        <f>H354</f>
        <v>0</v>
      </c>
      <c r="I353" s="664">
        <f t="shared" ref="I353" si="93">I354</f>
        <v>0</v>
      </c>
      <c r="J353" s="663">
        <f>J354</f>
        <v>156500</v>
      </c>
      <c r="K353" s="664">
        <f>K354</f>
        <v>156500</v>
      </c>
      <c r="L353" s="664">
        <f>L354</f>
        <v>0</v>
      </c>
      <c r="M353" s="664">
        <f t="shared" ref="M353" si="94">M354</f>
        <v>0</v>
      </c>
      <c r="N353" s="664">
        <f>N354</f>
        <v>0</v>
      </c>
      <c r="O353" s="663">
        <f>O354</f>
        <v>156500</v>
      </c>
      <c r="P353" s="664">
        <f t="shared" ref="P353" si="95">P354</f>
        <v>156500</v>
      </c>
      <c r="Q353" s="20"/>
    </row>
    <row r="354" spans="1:18" ht="120" customHeight="1" thickTop="1" thickBot="1" x14ac:dyDescent="0.25">
      <c r="A354" s="658" t="s">
        <v>445</v>
      </c>
      <c r="B354" s="658"/>
      <c r="C354" s="658"/>
      <c r="D354" s="659" t="s">
        <v>447</v>
      </c>
      <c r="E354" s="660">
        <f t="shared" ref="E354:O354" si="96">E355+E358+E367+E370</f>
        <v>0</v>
      </c>
      <c r="F354" s="660">
        <f t="shared" si="96"/>
        <v>0</v>
      </c>
      <c r="G354" s="660">
        <f t="shared" si="96"/>
        <v>0</v>
      </c>
      <c r="H354" s="660">
        <f t="shared" si="96"/>
        <v>0</v>
      </c>
      <c r="I354" s="660">
        <f t="shared" si="96"/>
        <v>0</v>
      </c>
      <c r="J354" s="660">
        <f t="shared" si="96"/>
        <v>156500</v>
      </c>
      <c r="K354" s="660">
        <f t="shared" si="96"/>
        <v>156500</v>
      </c>
      <c r="L354" s="660">
        <f t="shared" si="96"/>
        <v>0</v>
      </c>
      <c r="M354" s="660">
        <f t="shared" si="96"/>
        <v>0</v>
      </c>
      <c r="N354" s="660">
        <f t="shared" si="96"/>
        <v>0</v>
      </c>
      <c r="O354" s="660">
        <f t="shared" si="96"/>
        <v>156500</v>
      </c>
      <c r="P354" s="660">
        <f>E354+J354</f>
        <v>156500</v>
      </c>
      <c r="Q354" s="503" t="b">
        <f>P354=P356+P361+P363+P369+P366</f>
        <v>1</v>
      </c>
      <c r="R354" s="46"/>
    </row>
    <row r="355" spans="1:18" ht="47.25" thickTop="1" thickBot="1" x14ac:dyDescent="0.25">
      <c r="A355" s="311" t="s">
        <v>823</v>
      </c>
      <c r="B355" s="311" t="s">
        <v>684</v>
      </c>
      <c r="C355" s="311"/>
      <c r="D355" s="311" t="s">
        <v>685</v>
      </c>
      <c r="E355" s="328">
        <f>'d3'!E355-d3П!E350</f>
        <v>0</v>
      </c>
      <c r="F355" s="328">
        <f>'d3'!F355-d3П!F350</f>
        <v>0</v>
      </c>
      <c r="G355" s="328">
        <f>'d3'!G355-d3П!G350</f>
        <v>0</v>
      </c>
      <c r="H355" s="328">
        <f>'d3'!H355-d3П!H350</f>
        <v>0</v>
      </c>
      <c r="I355" s="328">
        <f>'d3'!I355-d3П!I350</f>
        <v>0</v>
      </c>
      <c r="J355" s="328">
        <f>'d3'!J355-d3П!J350</f>
        <v>0</v>
      </c>
      <c r="K355" s="328">
        <f>'d3'!K355-d3П!K350</f>
        <v>0</v>
      </c>
      <c r="L355" s="328">
        <f>'d3'!L355-d3П!L350</f>
        <v>0</v>
      </c>
      <c r="M355" s="328">
        <f>'d3'!M355-d3П!M350</f>
        <v>0</v>
      </c>
      <c r="N355" s="328">
        <f>'d3'!N355-d3П!N350</f>
        <v>0</v>
      </c>
      <c r="O355" s="328">
        <f>'d3'!O355-d3П!O350</f>
        <v>0</v>
      </c>
      <c r="P355" s="328">
        <f>'d3'!P355-d3П!P350</f>
        <v>0</v>
      </c>
      <c r="Q355" s="47"/>
      <c r="R355" s="46"/>
    </row>
    <row r="356" spans="1:18" ht="93" thickTop="1" thickBot="1" x14ac:dyDescent="0.25">
      <c r="A356" s="103" t="s">
        <v>448</v>
      </c>
      <c r="B356" s="103" t="s">
        <v>236</v>
      </c>
      <c r="C356" s="103" t="s">
        <v>234</v>
      </c>
      <c r="D356" s="103" t="s">
        <v>235</v>
      </c>
      <c r="E356" s="328">
        <f>'d3'!E356-d3П!E351</f>
        <v>0</v>
      </c>
      <c r="F356" s="328">
        <f>'d3'!F356-d3П!F351</f>
        <v>0</v>
      </c>
      <c r="G356" s="328">
        <f>'d3'!G356-d3П!G351</f>
        <v>0</v>
      </c>
      <c r="H356" s="328">
        <f>'d3'!H356-d3П!H351</f>
        <v>0</v>
      </c>
      <c r="I356" s="328">
        <f>'d3'!I356-d3П!I351</f>
        <v>0</v>
      </c>
      <c r="J356" s="328">
        <f>'d3'!J356-d3П!J351</f>
        <v>0</v>
      </c>
      <c r="K356" s="328">
        <f>'d3'!K356-d3П!K351</f>
        <v>0</v>
      </c>
      <c r="L356" s="328">
        <f>'d3'!L356-d3П!L351</f>
        <v>0</v>
      </c>
      <c r="M356" s="328">
        <f>'d3'!M356-d3П!M351</f>
        <v>0</v>
      </c>
      <c r="N356" s="328">
        <f>'d3'!N356-d3П!N351</f>
        <v>0</v>
      </c>
      <c r="O356" s="328">
        <f>'d3'!O356-d3П!O351</f>
        <v>0</v>
      </c>
      <c r="P356" s="328">
        <f>'d3'!P356-d3П!P351</f>
        <v>0</v>
      </c>
      <c r="Q356" s="47"/>
      <c r="R356" s="46"/>
    </row>
    <row r="357" spans="1:18" ht="93" hidden="1" thickTop="1" thickBot="1" x14ac:dyDescent="0.25">
      <c r="A357" s="128" t="s">
        <v>632</v>
      </c>
      <c r="B357" s="128" t="s">
        <v>362</v>
      </c>
      <c r="C357" s="128" t="s">
        <v>625</v>
      </c>
      <c r="D357" s="128" t="s">
        <v>626</v>
      </c>
      <c r="E357" s="328">
        <f>'d3'!E357-d3П!E352</f>
        <v>0</v>
      </c>
      <c r="F357" s="328">
        <f>'d3'!F357-d3П!F352</f>
        <v>0</v>
      </c>
      <c r="G357" s="328">
        <f>'d3'!G357-d3П!G352</f>
        <v>0</v>
      </c>
      <c r="H357" s="328">
        <f>'d3'!H357-d3П!H352</f>
        <v>0</v>
      </c>
      <c r="I357" s="328">
        <f>'d3'!I357-d3П!I352</f>
        <v>0</v>
      </c>
      <c r="J357" s="328">
        <f>'d3'!J357-d3П!J352</f>
        <v>0</v>
      </c>
      <c r="K357" s="328">
        <f>'d3'!K357-d3П!K352</f>
        <v>0</v>
      </c>
      <c r="L357" s="328">
        <f>'d3'!L357-d3П!L352</f>
        <v>0</v>
      </c>
      <c r="M357" s="328">
        <f>'d3'!M357-d3П!M352</f>
        <v>0</v>
      </c>
      <c r="N357" s="328">
        <f>'d3'!N357-d3П!N352</f>
        <v>0</v>
      </c>
      <c r="O357" s="328">
        <f>'d3'!O357-d3П!O352</f>
        <v>0</v>
      </c>
      <c r="P357" s="328">
        <f>'d3'!P357-d3П!P352</f>
        <v>0</v>
      </c>
      <c r="Q357" s="47"/>
      <c r="R357" s="46"/>
    </row>
    <row r="358" spans="1:18" ht="47.25" thickTop="1" thickBot="1" x14ac:dyDescent="0.25">
      <c r="A358" s="311" t="s">
        <v>824</v>
      </c>
      <c r="B358" s="311" t="s">
        <v>748</v>
      </c>
      <c r="C358" s="103"/>
      <c r="D358" s="311" t="s">
        <v>794</v>
      </c>
      <c r="E358" s="328">
        <f>'d3'!E358-d3П!E353</f>
        <v>0</v>
      </c>
      <c r="F358" s="328">
        <f>'d3'!F358-d3П!F353</f>
        <v>0</v>
      </c>
      <c r="G358" s="328">
        <f>'d3'!G358-d3П!G353</f>
        <v>0</v>
      </c>
      <c r="H358" s="328">
        <f>'d3'!H358-d3П!H353</f>
        <v>0</v>
      </c>
      <c r="I358" s="328">
        <f>'d3'!I358-d3П!I353</f>
        <v>0</v>
      </c>
      <c r="J358" s="328">
        <f>'d3'!J358-d3П!J353</f>
        <v>156500</v>
      </c>
      <c r="K358" s="328">
        <f>'d3'!K358-d3П!K353</f>
        <v>156500</v>
      </c>
      <c r="L358" s="328">
        <f>'d3'!L358-d3П!L353</f>
        <v>0</v>
      </c>
      <c r="M358" s="328">
        <f>'d3'!M358-d3П!M353</f>
        <v>0</v>
      </c>
      <c r="N358" s="328">
        <f>'d3'!N358-d3П!N353</f>
        <v>0</v>
      </c>
      <c r="O358" s="328">
        <f>'d3'!O358-d3П!O353</f>
        <v>156500</v>
      </c>
      <c r="P358" s="328">
        <f>'d3'!P358-d3П!P353</f>
        <v>156500</v>
      </c>
      <c r="Q358" s="47"/>
      <c r="R358" s="50"/>
    </row>
    <row r="359" spans="1:18" ht="47.25" thickTop="1" thickBot="1" x14ac:dyDescent="0.25">
      <c r="A359" s="313" t="s">
        <v>825</v>
      </c>
      <c r="B359" s="313" t="s">
        <v>806</v>
      </c>
      <c r="C359" s="313"/>
      <c r="D359" s="313" t="s">
        <v>807</v>
      </c>
      <c r="E359" s="328">
        <f>'d3'!E359-d3П!E354</f>
        <v>0</v>
      </c>
      <c r="F359" s="328">
        <f>'d3'!F359-d3П!F354</f>
        <v>0</v>
      </c>
      <c r="G359" s="328">
        <f>'d3'!G359-d3П!G354</f>
        <v>0</v>
      </c>
      <c r="H359" s="328">
        <f>'d3'!H359-d3П!H354</f>
        <v>0</v>
      </c>
      <c r="I359" s="328">
        <f>'d3'!I359-d3П!I354</f>
        <v>0</v>
      </c>
      <c r="J359" s="328">
        <f>'d3'!J359-d3П!J354</f>
        <v>0</v>
      </c>
      <c r="K359" s="328">
        <f>'d3'!K359-d3П!K354</f>
        <v>0</v>
      </c>
      <c r="L359" s="328">
        <f>'d3'!L359-d3П!L354</f>
        <v>0</v>
      </c>
      <c r="M359" s="328">
        <f>'d3'!M359-d3П!M354</f>
        <v>0</v>
      </c>
      <c r="N359" s="328">
        <f>'d3'!N359-d3П!N354</f>
        <v>0</v>
      </c>
      <c r="O359" s="328">
        <f>'d3'!O359-d3П!O354</f>
        <v>0</v>
      </c>
      <c r="P359" s="328">
        <f>'d3'!P359-d3П!P354</f>
        <v>0</v>
      </c>
      <c r="Q359" s="47"/>
      <c r="R359" s="50"/>
    </row>
    <row r="360" spans="1:18" ht="93" thickTop="1" thickBot="1" x14ac:dyDescent="0.25">
      <c r="A360" s="329" t="s">
        <v>1014</v>
      </c>
      <c r="B360" s="329" t="s">
        <v>1015</v>
      </c>
      <c r="C360" s="329"/>
      <c r="D360" s="329" t="s">
        <v>1013</v>
      </c>
      <c r="E360" s="328">
        <f>'d3'!E360-d3П!E355</f>
        <v>0</v>
      </c>
      <c r="F360" s="328">
        <f>'d3'!F360-d3П!F355</f>
        <v>0</v>
      </c>
      <c r="G360" s="328">
        <f>'d3'!G360-d3П!G355</f>
        <v>0</v>
      </c>
      <c r="H360" s="328">
        <f>'d3'!H360-d3П!H355</f>
        <v>0</v>
      </c>
      <c r="I360" s="328">
        <f>'d3'!I360-d3П!I355</f>
        <v>0</v>
      </c>
      <c r="J360" s="328">
        <f>'d3'!J360-d3П!J355</f>
        <v>0</v>
      </c>
      <c r="K360" s="328">
        <f>'d3'!K360-d3П!K355</f>
        <v>0</v>
      </c>
      <c r="L360" s="328">
        <f>'d3'!L360-d3П!L355</f>
        <v>0</v>
      </c>
      <c r="M360" s="328">
        <f>'d3'!M360-d3П!M355</f>
        <v>0</v>
      </c>
      <c r="N360" s="328">
        <f>'d3'!N360-d3П!N355</f>
        <v>0</v>
      </c>
      <c r="O360" s="328">
        <f>'d3'!O360-d3П!O355</f>
        <v>0</v>
      </c>
      <c r="P360" s="328">
        <f>'d3'!P360-d3П!P355</f>
        <v>0</v>
      </c>
      <c r="Q360" s="47"/>
      <c r="R360" s="50"/>
    </row>
    <row r="361" spans="1:18" ht="47.25" thickTop="1" thickBot="1" x14ac:dyDescent="0.25">
      <c r="A361" s="103" t="s">
        <v>467</v>
      </c>
      <c r="B361" s="103" t="s">
        <v>412</v>
      </c>
      <c r="C361" s="103" t="s">
        <v>413</v>
      </c>
      <c r="D361" s="103" t="s">
        <v>414</v>
      </c>
      <c r="E361" s="328">
        <f>'d3'!E361-d3П!E356</f>
        <v>0</v>
      </c>
      <c r="F361" s="328">
        <f>'d3'!F361-d3П!F356</f>
        <v>0</v>
      </c>
      <c r="G361" s="328">
        <f>'d3'!G361-d3П!G356</f>
        <v>0</v>
      </c>
      <c r="H361" s="328">
        <f>'d3'!H361-d3П!H356</f>
        <v>0</v>
      </c>
      <c r="I361" s="328">
        <f>'d3'!I361-d3П!I356</f>
        <v>0</v>
      </c>
      <c r="J361" s="328">
        <f>'d3'!J361-d3П!J356</f>
        <v>0</v>
      </c>
      <c r="K361" s="328">
        <f>'d3'!K361-d3П!K356</f>
        <v>0</v>
      </c>
      <c r="L361" s="328">
        <f>'d3'!L361-d3П!L356</f>
        <v>0</v>
      </c>
      <c r="M361" s="328">
        <f>'d3'!M361-d3П!M356</f>
        <v>0</v>
      </c>
      <c r="N361" s="328">
        <f>'d3'!N361-d3П!N356</f>
        <v>0</v>
      </c>
      <c r="O361" s="328">
        <f>'d3'!O361-d3П!O356</f>
        <v>0</v>
      </c>
      <c r="P361" s="328">
        <f>'d3'!P361-d3П!P356</f>
        <v>0</v>
      </c>
      <c r="Q361" s="47"/>
      <c r="R361" s="50"/>
    </row>
    <row r="362" spans="1:18" ht="47.25" thickTop="1" thickBot="1" x14ac:dyDescent="0.25">
      <c r="A362" s="329" t="s">
        <v>826</v>
      </c>
      <c r="B362" s="329" t="s">
        <v>827</v>
      </c>
      <c r="C362" s="329"/>
      <c r="D362" s="329" t="s">
        <v>828</v>
      </c>
      <c r="E362" s="328">
        <f>'d3'!E362-d3П!E357</f>
        <v>0</v>
      </c>
      <c r="F362" s="328">
        <f>'d3'!F362-d3П!F357</f>
        <v>0</v>
      </c>
      <c r="G362" s="328">
        <f>'d3'!G362-d3П!G357</f>
        <v>0</v>
      </c>
      <c r="H362" s="328">
        <f>'d3'!H362-d3П!H357</f>
        <v>0</v>
      </c>
      <c r="I362" s="328">
        <f>'d3'!I362-d3П!I357</f>
        <v>0</v>
      </c>
      <c r="J362" s="328">
        <f>'d3'!J362-d3П!J357</f>
        <v>0</v>
      </c>
      <c r="K362" s="328">
        <f>'d3'!K362-d3П!K357</f>
        <v>0</v>
      </c>
      <c r="L362" s="328">
        <f>'d3'!L362-d3П!L357</f>
        <v>0</v>
      </c>
      <c r="M362" s="328">
        <f>'d3'!M362-d3П!M357</f>
        <v>0</v>
      </c>
      <c r="N362" s="328">
        <f>'d3'!N362-d3П!N357</f>
        <v>0</v>
      </c>
      <c r="O362" s="328">
        <f>'d3'!O362-d3П!O357</f>
        <v>0</v>
      </c>
      <c r="P362" s="328">
        <f>'d3'!P362-d3П!P357</f>
        <v>0</v>
      </c>
      <c r="Q362" s="47"/>
      <c r="R362" s="50"/>
    </row>
    <row r="363" spans="1:18" ht="47.25" thickTop="1" thickBot="1" x14ac:dyDescent="0.25">
      <c r="A363" s="103" t="s">
        <v>468</v>
      </c>
      <c r="B363" s="103" t="s">
        <v>291</v>
      </c>
      <c r="C363" s="103" t="s">
        <v>1367</v>
      </c>
      <c r="D363" s="103" t="s">
        <v>292</v>
      </c>
      <c r="E363" s="328">
        <f>'d3'!E363-d3П!E358</f>
        <v>0</v>
      </c>
      <c r="F363" s="328">
        <f>'d3'!F363-d3П!F358</f>
        <v>0</v>
      </c>
      <c r="G363" s="328">
        <f>'d3'!G363-d3П!G358</f>
        <v>0</v>
      </c>
      <c r="H363" s="328">
        <f>'d3'!H363-d3П!H358</f>
        <v>0</v>
      </c>
      <c r="I363" s="328">
        <f>'d3'!I363-d3П!I358</f>
        <v>0</v>
      </c>
      <c r="J363" s="328">
        <f>'d3'!J363-d3П!J358</f>
        <v>0</v>
      </c>
      <c r="K363" s="328">
        <f>'d3'!K363-d3П!K358</f>
        <v>0</v>
      </c>
      <c r="L363" s="328">
        <f>'d3'!L363-d3П!L358</f>
        <v>0</v>
      </c>
      <c r="M363" s="328">
        <f>'d3'!M363-d3П!M358</f>
        <v>0</v>
      </c>
      <c r="N363" s="328">
        <f>'d3'!N363-d3П!N358</f>
        <v>0</v>
      </c>
      <c r="O363" s="328">
        <f>'d3'!O363-d3П!O358</f>
        <v>0</v>
      </c>
      <c r="P363" s="328">
        <f>'d3'!P363-d3П!P358</f>
        <v>0</v>
      </c>
      <c r="Q363" s="47"/>
      <c r="R363" s="50"/>
    </row>
    <row r="364" spans="1:18" ht="48" hidden="1" thickTop="1" thickBot="1" x14ac:dyDescent="0.25">
      <c r="A364" s="128" t="s">
        <v>1097</v>
      </c>
      <c r="B364" s="128" t="s">
        <v>1098</v>
      </c>
      <c r="C364" s="128" t="s">
        <v>295</v>
      </c>
      <c r="D364" s="128" t="s">
        <v>1096</v>
      </c>
      <c r="E364" s="127"/>
      <c r="F364" s="134"/>
      <c r="G364" s="134"/>
      <c r="H364" s="134"/>
      <c r="I364" s="134"/>
      <c r="J364" s="127"/>
      <c r="K364" s="134"/>
      <c r="L364" s="134"/>
      <c r="M364" s="134"/>
      <c r="N364" s="134"/>
      <c r="O364" s="132"/>
      <c r="P364" s="127"/>
      <c r="Q364" s="47"/>
      <c r="R364" s="50"/>
    </row>
    <row r="365" spans="1:18" ht="47.25" thickTop="1" thickBot="1" x14ac:dyDescent="0.25">
      <c r="A365" s="698" t="s">
        <v>1173</v>
      </c>
      <c r="B365" s="698" t="s">
        <v>691</v>
      </c>
      <c r="C365" s="698"/>
      <c r="D365" s="698" t="s">
        <v>689</v>
      </c>
      <c r="E365" s="328">
        <f>'d3'!E365-d3П!E360</f>
        <v>0</v>
      </c>
      <c r="F365" s="328">
        <f>'d3'!F365-d3П!F360</f>
        <v>0</v>
      </c>
      <c r="G365" s="328">
        <f>'d3'!G365-d3П!G360</f>
        <v>0</v>
      </c>
      <c r="H365" s="328">
        <f>'d3'!H365-d3П!H360</f>
        <v>0</v>
      </c>
      <c r="I365" s="328">
        <f>'d3'!I365-d3П!I360</f>
        <v>0</v>
      </c>
      <c r="J365" s="328">
        <f>'d3'!J365-d3П!J360</f>
        <v>156500</v>
      </c>
      <c r="K365" s="328">
        <f>'d3'!K365-d3П!K360</f>
        <v>156500</v>
      </c>
      <c r="L365" s="328">
        <f>'d3'!L365-d3П!L360</f>
        <v>0</v>
      </c>
      <c r="M365" s="328">
        <f>'d3'!M365-d3П!M360</f>
        <v>0</v>
      </c>
      <c r="N365" s="328">
        <f>'d3'!N365-d3П!N360</f>
        <v>0</v>
      </c>
      <c r="O365" s="328">
        <f>'d3'!O365-d3П!O360</f>
        <v>156500</v>
      </c>
      <c r="P365" s="328">
        <f>'d3'!P365-d3П!P360</f>
        <v>156500</v>
      </c>
      <c r="Q365" s="47"/>
      <c r="R365" s="50"/>
    </row>
    <row r="366" spans="1:18" ht="47.25" thickTop="1" thickBot="1" x14ac:dyDescent="0.25">
      <c r="A366" s="695" t="s">
        <v>1174</v>
      </c>
      <c r="B366" s="695" t="s">
        <v>197</v>
      </c>
      <c r="C366" s="695" t="s">
        <v>170</v>
      </c>
      <c r="D366" s="695" t="s">
        <v>1175</v>
      </c>
      <c r="E366" s="328">
        <f>'d3'!E366-d3П!E361</f>
        <v>0</v>
      </c>
      <c r="F366" s="328">
        <f>'d3'!F366-d3П!F361</f>
        <v>0</v>
      </c>
      <c r="G366" s="328">
        <f>'d3'!G366-d3П!G361</f>
        <v>0</v>
      </c>
      <c r="H366" s="328">
        <f>'d3'!H366-d3П!H361</f>
        <v>0</v>
      </c>
      <c r="I366" s="328">
        <f>'d3'!I366-d3П!I361</f>
        <v>0</v>
      </c>
      <c r="J366" s="328">
        <f>'d3'!J366-d3П!J361</f>
        <v>156500</v>
      </c>
      <c r="K366" s="328">
        <f>'d3'!K366-d3П!K361</f>
        <v>156500</v>
      </c>
      <c r="L366" s="328">
        <f>'d3'!L366-d3П!L361</f>
        <v>0</v>
      </c>
      <c r="M366" s="328">
        <f>'d3'!M366-d3П!M361</f>
        <v>0</v>
      </c>
      <c r="N366" s="328">
        <f>'d3'!N366-d3П!N361</f>
        <v>0</v>
      </c>
      <c r="O366" s="328">
        <f>'d3'!O366-d3П!O361</f>
        <v>156500</v>
      </c>
      <c r="P366" s="328">
        <f>'d3'!P366-d3П!P361</f>
        <v>156500</v>
      </c>
      <c r="Q366" s="47"/>
      <c r="R366" s="50"/>
    </row>
    <row r="367" spans="1:18" ht="47.25" thickTop="1" thickBot="1" x14ac:dyDescent="0.25">
      <c r="A367" s="311" t="s">
        <v>1219</v>
      </c>
      <c r="B367" s="311" t="s">
        <v>696</v>
      </c>
      <c r="C367" s="311"/>
      <c r="D367" s="311" t="s">
        <v>697</v>
      </c>
      <c r="E367" s="328">
        <f>'d3'!E367-d3П!E362</f>
        <v>0</v>
      </c>
      <c r="F367" s="328">
        <f>'d3'!F367-d3П!F362</f>
        <v>0</v>
      </c>
      <c r="G367" s="328">
        <f>'d3'!G367-d3П!G362</f>
        <v>0</v>
      </c>
      <c r="H367" s="328">
        <f>'d3'!H367-d3П!H362</f>
        <v>0</v>
      </c>
      <c r="I367" s="328">
        <f>'d3'!I367-d3П!I362</f>
        <v>0</v>
      </c>
      <c r="J367" s="328">
        <f>'d3'!J367-d3П!J362</f>
        <v>0</v>
      </c>
      <c r="K367" s="328">
        <f>'d3'!K367-d3П!K362</f>
        <v>0</v>
      </c>
      <c r="L367" s="328">
        <f>'d3'!L367-d3П!L362</f>
        <v>0</v>
      </c>
      <c r="M367" s="328">
        <f>'d3'!M367-d3П!M362</f>
        <v>0</v>
      </c>
      <c r="N367" s="328">
        <f>'d3'!N367-d3П!N362</f>
        <v>0</v>
      </c>
      <c r="O367" s="328">
        <f>'d3'!O367-d3П!O362</f>
        <v>0</v>
      </c>
      <c r="P367" s="328">
        <f>'d3'!P367-d3П!P362</f>
        <v>0</v>
      </c>
      <c r="Q367" s="47"/>
      <c r="R367" s="50"/>
    </row>
    <row r="368" spans="1:18" ht="47.25" thickTop="1" thickBot="1" x14ac:dyDescent="0.25">
      <c r="A368" s="313" t="s">
        <v>1220</v>
      </c>
      <c r="B368" s="313" t="s">
        <v>1186</v>
      </c>
      <c r="C368" s="313"/>
      <c r="D368" s="313" t="s">
        <v>1184</v>
      </c>
      <c r="E368" s="328">
        <f>'d3'!E368-d3П!E363</f>
        <v>0</v>
      </c>
      <c r="F368" s="328">
        <f>'d3'!F368-d3П!F363</f>
        <v>0</v>
      </c>
      <c r="G368" s="328">
        <f>'d3'!G368-d3П!G363</f>
        <v>0</v>
      </c>
      <c r="H368" s="328">
        <f>'d3'!H368-d3П!H363</f>
        <v>0</v>
      </c>
      <c r="I368" s="328">
        <f>'d3'!I368-d3П!I363</f>
        <v>0</v>
      </c>
      <c r="J368" s="328">
        <f>'d3'!J368-d3П!J363</f>
        <v>0</v>
      </c>
      <c r="K368" s="328">
        <f>'d3'!K368-d3П!K363</f>
        <v>0</v>
      </c>
      <c r="L368" s="328">
        <f>'d3'!L368-d3П!L363</f>
        <v>0</v>
      </c>
      <c r="M368" s="328">
        <f>'d3'!M368-d3П!M363</f>
        <v>0</v>
      </c>
      <c r="N368" s="328">
        <f>'d3'!N368-d3П!N363</f>
        <v>0</v>
      </c>
      <c r="O368" s="328">
        <f>'d3'!O368-d3П!O363</f>
        <v>0</v>
      </c>
      <c r="P368" s="328">
        <f>'d3'!P368-d3П!P363</f>
        <v>0</v>
      </c>
      <c r="Q368" s="47"/>
      <c r="R368" s="50"/>
    </row>
    <row r="369" spans="1:18" ht="47.25" thickTop="1" thickBot="1" x14ac:dyDescent="0.25">
      <c r="A369" s="103" t="s">
        <v>1221</v>
      </c>
      <c r="B369" s="103" t="s">
        <v>1222</v>
      </c>
      <c r="C369" s="103" t="s">
        <v>1188</v>
      </c>
      <c r="D369" s="103" t="s">
        <v>1223</v>
      </c>
      <c r="E369" s="328">
        <f>'d3'!E369-d3П!E364</f>
        <v>0</v>
      </c>
      <c r="F369" s="328">
        <f>'d3'!F369-d3П!F364</f>
        <v>0</v>
      </c>
      <c r="G369" s="328">
        <f>'d3'!G369-d3П!G364</f>
        <v>0</v>
      </c>
      <c r="H369" s="328">
        <f>'d3'!H369-d3П!H364</f>
        <v>0</v>
      </c>
      <c r="I369" s="328">
        <f>'d3'!I369-d3П!I364</f>
        <v>0</v>
      </c>
      <c r="J369" s="328">
        <f>'d3'!J369-d3П!J364</f>
        <v>0</v>
      </c>
      <c r="K369" s="328">
        <f>'d3'!K369-d3П!K364</f>
        <v>0</v>
      </c>
      <c r="L369" s="328">
        <f>'d3'!L369-d3П!L364</f>
        <v>0</v>
      </c>
      <c r="M369" s="328">
        <f>'d3'!M369-d3П!M364</f>
        <v>0</v>
      </c>
      <c r="N369" s="328">
        <f>'d3'!N369-d3П!N364</f>
        <v>0</v>
      </c>
      <c r="O369" s="328">
        <f>'d3'!O369-d3П!O364</f>
        <v>0</v>
      </c>
      <c r="P369" s="328">
        <f>'d3'!P369-d3П!P364</f>
        <v>0</v>
      </c>
      <c r="Q369" s="47"/>
      <c r="R369" s="50"/>
    </row>
    <row r="370" spans="1:18" ht="47.25" hidden="1" thickTop="1" thickBot="1" x14ac:dyDescent="0.25">
      <c r="A370" s="125" t="s">
        <v>1334</v>
      </c>
      <c r="B370" s="125" t="s">
        <v>702</v>
      </c>
      <c r="C370" s="125"/>
      <c r="D370" s="125" t="s">
        <v>703</v>
      </c>
      <c r="E370" s="127">
        <f t="shared" ref="E370:P370" si="97">E371</f>
        <v>0</v>
      </c>
      <c r="F370" s="127">
        <f t="shared" si="97"/>
        <v>0</v>
      </c>
      <c r="G370" s="127">
        <f t="shared" si="97"/>
        <v>0</v>
      </c>
      <c r="H370" s="127">
        <f t="shared" si="97"/>
        <v>0</v>
      </c>
      <c r="I370" s="127">
        <f t="shared" si="97"/>
        <v>0</v>
      </c>
      <c r="J370" s="127">
        <f t="shared" si="97"/>
        <v>0</v>
      </c>
      <c r="K370" s="127">
        <f t="shared" si="97"/>
        <v>0</v>
      </c>
      <c r="L370" s="127">
        <f t="shared" si="97"/>
        <v>0</v>
      </c>
      <c r="M370" s="127">
        <f t="shared" si="97"/>
        <v>0</v>
      </c>
      <c r="N370" s="127">
        <f t="shared" si="97"/>
        <v>0</v>
      </c>
      <c r="O370" s="127">
        <f t="shared" si="97"/>
        <v>0</v>
      </c>
      <c r="P370" s="127">
        <f t="shared" si="97"/>
        <v>0</v>
      </c>
      <c r="Q370" s="47"/>
      <c r="R370" s="50"/>
    </row>
    <row r="371" spans="1:18" ht="91.5" hidden="1" thickTop="1" thickBot="1" x14ac:dyDescent="0.25">
      <c r="A371" s="136" t="s">
        <v>1335</v>
      </c>
      <c r="B371" s="136" t="s">
        <v>514</v>
      </c>
      <c r="C371" s="136" t="s">
        <v>43</v>
      </c>
      <c r="D371" s="136" t="s">
        <v>515</v>
      </c>
      <c r="E371" s="137">
        <f t="shared" ref="E371" si="98">F371</f>
        <v>0</v>
      </c>
      <c r="F371" s="137">
        <v>0</v>
      </c>
      <c r="G371" s="137"/>
      <c r="H371" s="137"/>
      <c r="I371" s="137"/>
      <c r="J371" s="137">
        <f>L371+O371</f>
        <v>0</v>
      </c>
      <c r="K371" s="134"/>
      <c r="L371" s="137"/>
      <c r="M371" s="137"/>
      <c r="N371" s="137"/>
      <c r="O371" s="137">
        <f>(K371+0)</f>
        <v>0</v>
      </c>
      <c r="P371" s="137">
        <f>E371+J371</f>
        <v>0</v>
      </c>
      <c r="Q371" s="47"/>
      <c r="R371" s="50"/>
    </row>
    <row r="372" spans="1:18" ht="120" customHeight="1" thickTop="1" thickBot="1" x14ac:dyDescent="0.25">
      <c r="A372" s="661" t="s">
        <v>166</v>
      </c>
      <c r="B372" s="661"/>
      <c r="C372" s="661"/>
      <c r="D372" s="662" t="s">
        <v>354</v>
      </c>
      <c r="E372" s="663">
        <f>E373</f>
        <v>220842</v>
      </c>
      <c r="F372" s="664">
        <f t="shared" ref="F372:G372" si="99">F373</f>
        <v>220842</v>
      </c>
      <c r="G372" s="664">
        <f t="shared" si="99"/>
        <v>0</v>
      </c>
      <c r="H372" s="664">
        <f>H373</f>
        <v>0</v>
      </c>
      <c r="I372" s="664">
        <f t="shared" ref="I372" si="100">I373</f>
        <v>0</v>
      </c>
      <c r="J372" s="663">
        <f>J373</f>
        <v>3669958</v>
      </c>
      <c r="K372" s="664">
        <f>K373</f>
        <v>3669958</v>
      </c>
      <c r="L372" s="664">
        <f>L373</f>
        <v>0</v>
      </c>
      <c r="M372" s="664">
        <f t="shared" ref="M372" si="101">M373</f>
        <v>0</v>
      </c>
      <c r="N372" s="664">
        <f>N373</f>
        <v>0</v>
      </c>
      <c r="O372" s="663">
        <f>O373</f>
        <v>3669958</v>
      </c>
      <c r="P372" s="664">
        <f t="shared" ref="P372" si="102">P373</f>
        <v>3890800</v>
      </c>
      <c r="Q372" s="20"/>
    </row>
    <row r="373" spans="1:18" ht="120" customHeight="1" thickTop="1" thickBot="1" x14ac:dyDescent="0.25">
      <c r="A373" s="658" t="s">
        <v>167</v>
      </c>
      <c r="B373" s="658"/>
      <c r="C373" s="658"/>
      <c r="D373" s="659" t="s">
        <v>355</v>
      </c>
      <c r="E373" s="660">
        <f>E377+E389+E386+E374</f>
        <v>220842</v>
      </c>
      <c r="F373" s="660">
        <f>F377+F389+F386+F374</f>
        <v>220842</v>
      </c>
      <c r="G373" s="660">
        <f>G377+G389+G386+G374</f>
        <v>0</v>
      </c>
      <c r="H373" s="660">
        <f>H377+H389+H386+H374</f>
        <v>0</v>
      </c>
      <c r="I373" s="660">
        <f>I377+I389+I386+I374</f>
        <v>0</v>
      </c>
      <c r="J373" s="660">
        <f>L373+O373</f>
        <v>3669958</v>
      </c>
      <c r="K373" s="660">
        <f>K377+K389+K386+K374</f>
        <v>3669958</v>
      </c>
      <c r="L373" s="660">
        <f>L377+L389+L386+L374</f>
        <v>0</v>
      </c>
      <c r="M373" s="660">
        <f>M377+M389+M386+M374</f>
        <v>0</v>
      </c>
      <c r="N373" s="660">
        <f>N377+N389+N386+N374</f>
        <v>0</v>
      </c>
      <c r="O373" s="660">
        <f>O377+O389+O386+O374</f>
        <v>3669958</v>
      </c>
      <c r="P373" s="660">
        <f>E373+J373</f>
        <v>3890800</v>
      </c>
      <c r="Q373" s="503" t="b">
        <f>P373=P379+P381+P382+P383+P375+P388+P376</f>
        <v>1</v>
      </c>
      <c r="R373" s="46"/>
    </row>
    <row r="374" spans="1:18" ht="47.25" thickTop="1" thickBot="1" x14ac:dyDescent="0.25">
      <c r="A374" s="311" t="s">
        <v>1308</v>
      </c>
      <c r="B374" s="311" t="s">
        <v>711</v>
      </c>
      <c r="C374" s="311"/>
      <c r="D374" s="311" t="s">
        <v>712</v>
      </c>
      <c r="E374" s="328">
        <f>'d3'!E374-d3П!E369</f>
        <v>504802</v>
      </c>
      <c r="F374" s="328">
        <f>'d3'!F374-d3П!F369</f>
        <v>504802</v>
      </c>
      <c r="G374" s="328">
        <f>'d3'!G374-d3П!G369</f>
        <v>0</v>
      </c>
      <c r="H374" s="328">
        <f>'d3'!H374-d3П!H369</f>
        <v>0</v>
      </c>
      <c r="I374" s="328">
        <f>'d3'!I374-d3П!I369</f>
        <v>0</v>
      </c>
      <c r="J374" s="328">
        <f>'d3'!J374-d3П!J369</f>
        <v>-4002</v>
      </c>
      <c r="K374" s="328">
        <f>'d3'!K374-d3П!K369</f>
        <v>-4002</v>
      </c>
      <c r="L374" s="328">
        <f>'d3'!L374-d3П!L369</f>
        <v>0</v>
      </c>
      <c r="M374" s="328">
        <f>'d3'!M374-d3П!M369</f>
        <v>0</v>
      </c>
      <c r="N374" s="328">
        <f>'d3'!N374-d3П!N369</f>
        <v>0</v>
      </c>
      <c r="O374" s="328">
        <f>'d3'!O374-d3П!O369</f>
        <v>-4002</v>
      </c>
      <c r="P374" s="328">
        <f>'d3'!P374-d3П!P369</f>
        <v>500800</v>
      </c>
      <c r="Q374" s="47"/>
      <c r="R374" s="46"/>
    </row>
    <row r="375" spans="1:18" ht="93" thickTop="1" thickBot="1" x14ac:dyDescent="0.25">
      <c r="A375" s="103" t="s">
        <v>1309</v>
      </c>
      <c r="B375" s="103" t="s">
        <v>1200</v>
      </c>
      <c r="C375" s="103" t="s">
        <v>206</v>
      </c>
      <c r="D375" s="470" t="s">
        <v>1201</v>
      </c>
      <c r="E375" s="328">
        <f>'d3'!E375-d3П!E370</f>
        <v>-123498</v>
      </c>
      <c r="F375" s="328">
        <f>'d3'!F375-d3П!F370</f>
        <v>-123498</v>
      </c>
      <c r="G375" s="328">
        <f>'d3'!G375-d3П!G370</f>
        <v>0</v>
      </c>
      <c r="H375" s="328">
        <f>'d3'!H375-d3П!H370</f>
        <v>0</v>
      </c>
      <c r="I375" s="328">
        <f>'d3'!I375-d3П!I370</f>
        <v>0</v>
      </c>
      <c r="J375" s="328">
        <f>'d3'!J375-d3П!J370</f>
        <v>-227502</v>
      </c>
      <c r="K375" s="328">
        <f>'d3'!K375-d3П!K370</f>
        <v>-227502</v>
      </c>
      <c r="L375" s="328">
        <f>'d3'!L375-d3П!L370</f>
        <v>0</v>
      </c>
      <c r="M375" s="328">
        <f>'d3'!M375-d3П!M370</f>
        <v>0</v>
      </c>
      <c r="N375" s="328">
        <f>'d3'!N375-d3П!N370</f>
        <v>0</v>
      </c>
      <c r="O375" s="328">
        <f>'d3'!O375-d3П!O370</f>
        <v>-227502</v>
      </c>
      <c r="P375" s="328">
        <f>'d3'!P375-d3П!P370</f>
        <v>-351000</v>
      </c>
      <c r="Q375" s="47"/>
      <c r="R375" s="46"/>
    </row>
    <row r="376" spans="1:18" ht="54" customHeight="1" thickTop="1" thickBot="1" x14ac:dyDescent="0.25">
      <c r="A376" s="695" t="s">
        <v>1621</v>
      </c>
      <c r="B376" s="695" t="s">
        <v>330</v>
      </c>
      <c r="C376" s="695" t="s">
        <v>191</v>
      </c>
      <c r="D376" s="696" t="s">
        <v>332</v>
      </c>
      <c r="E376" s="328">
        <f>'d3'!E376-0</f>
        <v>628300</v>
      </c>
      <c r="F376" s="328">
        <f>'d3'!F376-0</f>
        <v>628300</v>
      </c>
      <c r="G376" s="328">
        <f>'d3'!G376-0</f>
        <v>0</v>
      </c>
      <c r="H376" s="328">
        <f>'d3'!H376-0</f>
        <v>0</v>
      </c>
      <c r="I376" s="328">
        <f>'d3'!I376-0</f>
        <v>0</v>
      </c>
      <c r="J376" s="328">
        <f>'d3'!J376-0</f>
        <v>223500</v>
      </c>
      <c r="K376" s="328">
        <f>'d3'!K376-0</f>
        <v>223500</v>
      </c>
      <c r="L376" s="328">
        <f>'d3'!L376-0</f>
        <v>0</v>
      </c>
      <c r="M376" s="328">
        <f>'d3'!M376-0</f>
        <v>0</v>
      </c>
      <c r="N376" s="328">
        <f>'d3'!N376-0</f>
        <v>0</v>
      </c>
      <c r="O376" s="328">
        <f>'d3'!O376-0</f>
        <v>223500</v>
      </c>
      <c r="P376" s="328">
        <f>'d3'!P376-0</f>
        <v>851800</v>
      </c>
      <c r="Q376" s="47"/>
      <c r="R376" s="46"/>
    </row>
    <row r="377" spans="1:18" ht="44.25" customHeight="1" thickTop="1" thickBot="1" x14ac:dyDescent="0.25">
      <c r="A377" s="311" t="s">
        <v>829</v>
      </c>
      <c r="B377" s="311" t="s">
        <v>748</v>
      </c>
      <c r="C377" s="103"/>
      <c r="D377" s="311" t="s">
        <v>794</v>
      </c>
      <c r="E377" s="587">
        <f>'d3'!E377-d3П!E371</f>
        <v>-200000</v>
      </c>
      <c r="F377" s="587">
        <f>'d3'!F377-d3П!F371</f>
        <v>-200000</v>
      </c>
      <c r="G377" s="587">
        <f>'d3'!G377-d3П!G371</f>
        <v>0</v>
      </c>
      <c r="H377" s="587">
        <f>'d3'!H377-d3П!H371</f>
        <v>0</v>
      </c>
      <c r="I377" s="587">
        <f>'d3'!I377-d3П!I371</f>
        <v>0</v>
      </c>
      <c r="J377" s="587">
        <f>'d3'!J377-d3П!J371</f>
        <v>3900000</v>
      </c>
      <c r="K377" s="587">
        <f>'d3'!K377-d3П!K371</f>
        <v>3900000</v>
      </c>
      <c r="L377" s="587">
        <f>'d3'!L377-d3П!L371</f>
        <v>0</v>
      </c>
      <c r="M377" s="587">
        <f>'d3'!M377-d3П!M371</f>
        <v>0</v>
      </c>
      <c r="N377" s="587">
        <f>'d3'!N377-d3П!N371</f>
        <v>0</v>
      </c>
      <c r="O377" s="587">
        <f>'d3'!O377-d3П!O371</f>
        <v>3900000</v>
      </c>
      <c r="P377" s="587">
        <f>'d3'!P377-d3П!P371</f>
        <v>3700000</v>
      </c>
      <c r="Q377" s="47"/>
      <c r="R377" s="46"/>
    </row>
    <row r="378" spans="1:18" ht="47.25" thickTop="1" thickBot="1" x14ac:dyDescent="0.25">
      <c r="A378" s="313" t="s">
        <v>1011</v>
      </c>
      <c r="B378" s="313" t="s">
        <v>803</v>
      </c>
      <c r="C378" s="313"/>
      <c r="D378" s="313" t="s">
        <v>804</v>
      </c>
      <c r="E378" s="587">
        <f>'d3'!E378-d3П!E372</f>
        <v>0</v>
      </c>
      <c r="F378" s="587">
        <f>'d3'!F378-d3П!F372</f>
        <v>0</v>
      </c>
      <c r="G378" s="587">
        <f>'d3'!G378-d3П!G372</f>
        <v>0</v>
      </c>
      <c r="H378" s="587">
        <f>'d3'!H378-d3П!H372</f>
        <v>0</v>
      </c>
      <c r="I378" s="587">
        <f>'d3'!I378-d3П!I372</f>
        <v>0</v>
      </c>
      <c r="J378" s="587">
        <f>'d3'!J378-d3П!J372</f>
        <v>4000000</v>
      </c>
      <c r="K378" s="587">
        <f>'d3'!K378-d3П!K372</f>
        <v>4000000</v>
      </c>
      <c r="L378" s="587">
        <f>'d3'!L378-d3П!L372</f>
        <v>0</v>
      </c>
      <c r="M378" s="587">
        <f>'d3'!M378-d3П!M372</f>
        <v>0</v>
      </c>
      <c r="N378" s="587">
        <f>'d3'!N378-d3П!N372</f>
        <v>0</v>
      </c>
      <c r="O378" s="587">
        <f>'d3'!O378-d3П!O372</f>
        <v>4000000</v>
      </c>
      <c r="P378" s="587">
        <f>'d3'!P378-d3П!P372</f>
        <v>4000000</v>
      </c>
      <c r="Q378" s="47"/>
      <c r="R378" s="46"/>
    </row>
    <row r="379" spans="1:18" ht="47.25" thickTop="1" thickBot="1" x14ac:dyDescent="0.25">
      <c r="A379" s="103" t="s">
        <v>1012</v>
      </c>
      <c r="B379" s="103" t="s">
        <v>350</v>
      </c>
      <c r="C379" s="103" t="s">
        <v>170</v>
      </c>
      <c r="D379" s="103" t="s">
        <v>262</v>
      </c>
      <c r="E379" s="587">
        <f>'d3'!E379-d3П!E373</f>
        <v>0</v>
      </c>
      <c r="F379" s="587">
        <f>'d3'!F379-d3П!F373</f>
        <v>0</v>
      </c>
      <c r="G379" s="587">
        <f>'d3'!G379-d3П!G373</f>
        <v>0</v>
      </c>
      <c r="H379" s="587">
        <f>'d3'!H379-d3П!H373</f>
        <v>0</v>
      </c>
      <c r="I379" s="587">
        <f>'d3'!I379-d3П!I373</f>
        <v>0</v>
      </c>
      <c r="J379" s="587">
        <f>'d3'!J379-d3П!J373</f>
        <v>4000000</v>
      </c>
      <c r="K379" s="587">
        <f>'d3'!K379-d3П!K373</f>
        <v>4000000</v>
      </c>
      <c r="L379" s="587">
        <f>'d3'!L379-d3П!L373</f>
        <v>0</v>
      </c>
      <c r="M379" s="587">
        <f>'d3'!M379-d3П!M373</f>
        <v>0</v>
      </c>
      <c r="N379" s="587">
        <f>'d3'!N379-d3П!N373</f>
        <v>0</v>
      </c>
      <c r="O379" s="587">
        <f>'d3'!O379-d3П!O373</f>
        <v>4000000</v>
      </c>
      <c r="P379" s="587">
        <f>'d3'!P379-d3П!P373</f>
        <v>4000000</v>
      </c>
      <c r="Q379" s="47"/>
      <c r="R379" s="46"/>
    </row>
    <row r="380" spans="1:18" ht="47.25" thickTop="1" thickBot="1" x14ac:dyDescent="0.25">
      <c r="A380" s="313" t="s">
        <v>830</v>
      </c>
      <c r="B380" s="313" t="s">
        <v>691</v>
      </c>
      <c r="C380" s="313"/>
      <c r="D380" s="313" t="s">
        <v>689</v>
      </c>
      <c r="E380" s="587">
        <f>'d3'!E380-d3П!E374</f>
        <v>-200000</v>
      </c>
      <c r="F380" s="587">
        <f>'d3'!F380-d3П!F374</f>
        <v>-200000</v>
      </c>
      <c r="G380" s="587">
        <f>'d3'!G380-d3П!G374</f>
        <v>0</v>
      </c>
      <c r="H380" s="587">
        <f>'d3'!H380-d3П!H374</f>
        <v>0</v>
      </c>
      <c r="I380" s="587">
        <f>'d3'!I380-d3П!I374</f>
        <v>0</v>
      </c>
      <c r="J380" s="587">
        <f>'d3'!J380-d3П!J374</f>
        <v>-100000</v>
      </c>
      <c r="K380" s="587">
        <f>'d3'!K380-d3П!K374</f>
        <v>-100000</v>
      </c>
      <c r="L380" s="587">
        <f>'d3'!L380-d3П!L374</f>
        <v>0</v>
      </c>
      <c r="M380" s="587">
        <f>'d3'!M380-d3П!M374</f>
        <v>0</v>
      </c>
      <c r="N380" s="587">
        <f>'d3'!N380-d3П!N374</f>
        <v>0</v>
      </c>
      <c r="O380" s="587">
        <f>'d3'!O380-d3П!O374</f>
        <v>-100000</v>
      </c>
      <c r="P380" s="587">
        <f>'d3'!P380-d3П!P374</f>
        <v>-300000</v>
      </c>
      <c r="Q380" s="47"/>
      <c r="R380" s="46"/>
    </row>
    <row r="381" spans="1:18" ht="47.25" thickTop="1" thickBot="1" x14ac:dyDescent="0.25">
      <c r="A381" s="103" t="s">
        <v>260</v>
      </c>
      <c r="B381" s="103" t="s">
        <v>261</v>
      </c>
      <c r="C381" s="103" t="s">
        <v>259</v>
      </c>
      <c r="D381" s="103" t="s">
        <v>258</v>
      </c>
      <c r="E381" s="587">
        <f>'d3'!E381-d3П!E375</f>
        <v>0</v>
      </c>
      <c r="F381" s="587">
        <f>'d3'!F381-d3П!F375</f>
        <v>0</v>
      </c>
      <c r="G381" s="587">
        <f>'d3'!G381-d3П!G375</f>
        <v>0</v>
      </c>
      <c r="H381" s="587">
        <f>'d3'!H381-d3П!H375</f>
        <v>0</v>
      </c>
      <c r="I381" s="587">
        <f>'d3'!I381-d3П!I375</f>
        <v>0</v>
      </c>
      <c r="J381" s="587">
        <f>'d3'!J381-d3П!J375</f>
        <v>0</v>
      </c>
      <c r="K381" s="587">
        <f>'d3'!K381-d3П!K375</f>
        <v>0</v>
      </c>
      <c r="L381" s="587">
        <f>'d3'!L381-d3П!L375</f>
        <v>0</v>
      </c>
      <c r="M381" s="587">
        <f>'d3'!M381-d3П!M375</f>
        <v>0</v>
      </c>
      <c r="N381" s="587">
        <f>'d3'!N381-d3П!N375</f>
        <v>0</v>
      </c>
      <c r="O381" s="587">
        <f>'d3'!O381-d3П!O375</f>
        <v>0</v>
      </c>
      <c r="P381" s="587">
        <f>'d3'!P381-d3П!P375</f>
        <v>0</v>
      </c>
      <c r="Q381" s="20"/>
      <c r="R381" s="46"/>
    </row>
    <row r="382" spans="1:18" ht="47.25" thickTop="1" thickBot="1" x14ac:dyDescent="0.25">
      <c r="A382" s="103" t="s">
        <v>252</v>
      </c>
      <c r="B382" s="103" t="s">
        <v>254</v>
      </c>
      <c r="C382" s="103" t="s">
        <v>213</v>
      </c>
      <c r="D382" s="103" t="s">
        <v>253</v>
      </c>
      <c r="E382" s="587">
        <f>'d3'!E382-d3П!E376</f>
        <v>0</v>
      </c>
      <c r="F382" s="587">
        <f>'d3'!F382-d3П!F376</f>
        <v>0</v>
      </c>
      <c r="G382" s="587">
        <f>'d3'!G382-d3П!G376</f>
        <v>0</v>
      </c>
      <c r="H382" s="587">
        <f>'d3'!H382-d3П!H376</f>
        <v>0</v>
      </c>
      <c r="I382" s="587">
        <f>'d3'!I382-d3П!I376</f>
        <v>0</v>
      </c>
      <c r="J382" s="587">
        <f>'d3'!J382-d3П!J376</f>
        <v>0</v>
      </c>
      <c r="K382" s="587">
        <f>'d3'!K382-d3П!K376</f>
        <v>0</v>
      </c>
      <c r="L382" s="587">
        <f>'d3'!L382-d3П!L376</f>
        <v>0</v>
      </c>
      <c r="M382" s="587">
        <f>'d3'!M382-d3П!M376</f>
        <v>0</v>
      </c>
      <c r="N382" s="587">
        <f>'d3'!N382-d3П!N376</f>
        <v>0</v>
      </c>
      <c r="O382" s="587">
        <f>'d3'!O382-d3П!O376</f>
        <v>0</v>
      </c>
      <c r="P382" s="587">
        <f>'d3'!P382-d3П!P376</f>
        <v>0</v>
      </c>
      <c r="Q382" s="20"/>
      <c r="R382" s="46"/>
    </row>
    <row r="383" spans="1:18" ht="47.25" hidden="1" thickTop="1" thickBot="1" x14ac:dyDescent="0.25">
      <c r="A383" s="103" t="s">
        <v>1303</v>
      </c>
      <c r="B383" s="103" t="s">
        <v>212</v>
      </c>
      <c r="C383" s="103" t="s">
        <v>213</v>
      </c>
      <c r="D383" s="103" t="s">
        <v>41</v>
      </c>
      <c r="E383" s="587">
        <f>'d3'!E383-d3П!E377</f>
        <v>-200000</v>
      </c>
      <c r="F383" s="587">
        <f>'d3'!F383-d3П!F377</f>
        <v>-200000</v>
      </c>
      <c r="G383" s="587">
        <f>'d3'!G383-d3П!G377</f>
        <v>0</v>
      </c>
      <c r="H383" s="587">
        <f>'d3'!H383-d3П!H377</f>
        <v>0</v>
      </c>
      <c r="I383" s="587">
        <f>'d3'!I383-d3П!I377</f>
        <v>0</v>
      </c>
      <c r="J383" s="587">
        <f>'d3'!J383-d3П!J377</f>
        <v>-100000</v>
      </c>
      <c r="K383" s="587">
        <f>'d3'!K383-d3П!K377</f>
        <v>-100000</v>
      </c>
      <c r="L383" s="587">
        <f>'d3'!L383-d3П!L377</f>
        <v>0</v>
      </c>
      <c r="M383" s="587">
        <f>'d3'!M383-d3П!M377</f>
        <v>0</v>
      </c>
      <c r="N383" s="587">
        <f>'d3'!N383-d3П!N377</f>
        <v>0</v>
      </c>
      <c r="O383" s="587">
        <f>'d3'!O383-d3П!O377</f>
        <v>-100000</v>
      </c>
      <c r="P383" s="587">
        <f>'d3'!P383-d3П!P377</f>
        <v>-300000</v>
      </c>
      <c r="Q383" s="20"/>
      <c r="R383" s="46"/>
    </row>
    <row r="384" spans="1:18" ht="47.25" hidden="1" thickTop="1" thickBot="1" x14ac:dyDescent="0.25">
      <c r="A384" s="140" t="s">
        <v>831</v>
      </c>
      <c r="B384" s="140" t="s">
        <v>694</v>
      </c>
      <c r="C384" s="140"/>
      <c r="D384" s="140" t="s">
        <v>692</v>
      </c>
      <c r="E384" s="587">
        <f>'d3'!E384-d3П!E378</f>
        <v>0</v>
      </c>
      <c r="F384" s="587">
        <f>'d3'!F384-d3П!F378</f>
        <v>0</v>
      </c>
      <c r="G384" s="587">
        <f>'d3'!G384-d3П!G378</f>
        <v>0</v>
      </c>
      <c r="H384" s="587">
        <f>'d3'!H384-d3П!H378</f>
        <v>0</v>
      </c>
      <c r="I384" s="587">
        <f>'d3'!I384-d3П!I378</f>
        <v>0</v>
      </c>
      <c r="J384" s="587">
        <f>'d3'!J384-d3П!J378</f>
        <v>0</v>
      </c>
      <c r="K384" s="587">
        <f>'d3'!K384-d3П!K378</f>
        <v>0</v>
      </c>
      <c r="L384" s="587">
        <f>'d3'!L384-d3П!L378</f>
        <v>0</v>
      </c>
      <c r="M384" s="587">
        <f>'d3'!M384-d3П!M378</f>
        <v>0</v>
      </c>
      <c r="N384" s="587">
        <f>'d3'!N384-d3П!N378</f>
        <v>0</v>
      </c>
      <c r="O384" s="587">
        <f>'d3'!O384-d3П!O378</f>
        <v>0</v>
      </c>
      <c r="P384" s="587">
        <f>'d3'!P384-d3П!P378</f>
        <v>0</v>
      </c>
      <c r="Q384" s="20"/>
      <c r="R384" s="46"/>
    </row>
    <row r="385" spans="1:18" ht="47.25" hidden="1" thickTop="1" thickBot="1" x14ac:dyDescent="0.25">
      <c r="A385" s="128" t="s">
        <v>256</v>
      </c>
      <c r="B385" s="128" t="s">
        <v>257</v>
      </c>
      <c r="C385" s="128" t="s">
        <v>170</v>
      </c>
      <c r="D385" s="128" t="s">
        <v>255</v>
      </c>
      <c r="E385" s="587">
        <f>'d3'!E385-d3П!E379</f>
        <v>0</v>
      </c>
      <c r="F385" s="587">
        <f>'d3'!F385-d3П!F379</f>
        <v>0</v>
      </c>
      <c r="G385" s="587">
        <f>'d3'!G385-d3П!G379</f>
        <v>0</v>
      </c>
      <c r="H385" s="587">
        <f>'d3'!H385-d3П!H379</f>
        <v>0</v>
      </c>
      <c r="I385" s="587">
        <f>'d3'!I385-d3П!I379</f>
        <v>0</v>
      </c>
      <c r="J385" s="587">
        <f>'d3'!J385-d3П!J379</f>
        <v>0</v>
      </c>
      <c r="K385" s="587">
        <f>'d3'!K385-d3П!K379</f>
        <v>0</v>
      </c>
      <c r="L385" s="587">
        <f>'d3'!L385-d3П!L379</f>
        <v>0</v>
      </c>
      <c r="M385" s="587">
        <f>'d3'!M385-d3П!M379</f>
        <v>0</v>
      </c>
      <c r="N385" s="587">
        <f>'d3'!N385-d3П!N379</f>
        <v>0</v>
      </c>
      <c r="O385" s="587">
        <f>'d3'!O385-d3П!O379</f>
        <v>0</v>
      </c>
      <c r="P385" s="587">
        <f>'d3'!P385-d3П!P379</f>
        <v>0</v>
      </c>
      <c r="Q385" s="20"/>
      <c r="R385" s="46"/>
    </row>
    <row r="386" spans="1:18" ht="47.25" thickTop="1" thickBot="1" x14ac:dyDescent="0.25">
      <c r="A386" s="311" t="s">
        <v>1305</v>
      </c>
      <c r="B386" s="311" t="s">
        <v>696</v>
      </c>
      <c r="C386" s="311"/>
      <c r="D386" s="311" t="s">
        <v>697</v>
      </c>
      <c r="E386" s="587">
        <f>'d3'!E386-d3П!E380</f>
        <v>-83960</v>
      </c>
      <c r="F386" s="587">
        <f>'d3'!F386-d3П!F380</f>
        <v>-83960</v>
      </c>
      <c r="G386" s="587">
        <f>'d3'!G386-d3П!G380</f>
        <v>0</v>
      </c>
      <c r="H386" s="587">
        <f>'d3'!H386-d3П!H380</f>
        <v>0</v>
      </c>
      <c r="I386" s="587">
        <f>'d3'!I386-d3П!I380</f>
        <v>0</v>
      </c>
      <c r="J386" s="587">
        <f>'d3'!J386-d3П!J380</f>
        <v>-226040</v>
      </c>
      <c r="K386" s="587">
        <f>'d3'!K386-d3П!K380</f>
        <v>-226040</v>
      </c>
      <c r="L386" s="587">
        <f>'d3'!L386-d3П!L380</f>
        <v>0</v>
      </c>
      <c r="M386" s="587">
        <f>'d3'!M386-d3П!M380</f>
        <v>0</v>
      </c>
      <c r="N386" s="587">
        <f>'d3'!N386-d3П!N380</f>
        <v>0</v>
      </c>
      <c r="O386" s="587">
        <f>'d3'!O386-d3П!O380</f>
        <v>-226040</v>
      </c>
      <c r="P386" s="587">
        <f>'d3'!P386-d3П!P380</f>
        <v>-310000</v>
      </c>
      <c r="Q386" s="20"/>
      <c r="R386" s="46"/>
    </row>
    <row r="387" spans="1:18" ht="47.25" thickTop="1" thickBot="1" x14ac:dyDescent="0.25">
      <c r="A387" s="313" t="s">
        <v>1306</v>
      </c>
      <c r="B387" s="313" t="s">
        <v>1186</v>
      </c>
      <c r="C387" s="313"/>
      <c r="D387" s="313" t="s">
        <v>1184</v>
      </c>
      <c r="E387" s="587">
        <f>'d3'!E387-d3П!E381</f>
        <v>-83960</v>
      </c>
      <c r="F387" s="587">
        <f>'d3'!F387-d3П!F381</f>
        <v>-83960</v>
      </c>
      <c r="G387" s="587">
        <f>'d3'!G387-d3П!G381</f>
        <v>0</v>
      </c>
      <c r="H387" s="587">
        <f>'d3'!H387-d3П!H381</f>
        <v>0</v>
      </c>
      <c r="I387" s="587">
        <f>'d3'!I387-d3П!I381</f>
        <v>0</v>
      </c>
      <c r="J387" s="587">
        <f>'d3'!J387-d3П!J381</f>
        <v>-226040</v>
      </c>
      <c r="K387" s="587">
        <f>'d3'!K387-d3П!K381</f>
        <v>-226040</v>
      </c>
      <c r="L387" s="587">
        <f>'d3'!L387-d3П!L381</f>
        <v>0</v>
      </c>
      <c r="M387" s="587">
        <f>'d3'!M387-d3П!M381</f>
        <v>0</v>
      </c>
      <c r="N387" s="587">
        <f>'d3'!N387-d3П!N381</f>
        <v>0</v>
      </c>
      <c r="O387" s="587">
        <f>'d3'!O387-d3П!O381</f>
        <v>-226040</v>
      </c>
      <c r="P387" s="587">
        <f>'d3'!P387-d3П!P381</f>
        <v>-310000</v>
      </c>
      <c r="Q387" s="20"/>
      <c r="R387" s="46"/>
    </row>
    <row r="388" spans="1:18" ht="47.25" thickTop="1" thickBot="1" x14ac:dyDescent="0.25">
      <c r="A388" s="103" t="s">
        <v>1307</v>
      </c>
      <c r="B388" s="103" t="s">
        <v>1190</v>
      </c>
      <c r="C388" s="103" t="s">
        <v>1188</v>
      </c>
      <c r="D388" s="103" t="s">
        <v>1187</v>
      </c>
      <c r="E388" s="587">
        <f>'d3'!E388-d3П!E382</f>
        <v>-83960</v>
      </c>
      <c r="F388" s="587">
        <f>'d3'!F388-d3П!F382</f>
        <v>-83960</v>
      </c>
      <c r="G388" s="587">
        <f>'d3'!G388-d3П!G382</f>
        <v>0</v>
      </c>
      <c r="H388" s="587">
        <f>'d3'!H388-d3П!H382</f>
        <v>0</v>
      </c>
      <c r="I388" s="587">
        <f>'d3'!I388-d3П!I382</f>
        <v>0</v>
      </c>
      <c r="J388" s="587">
        <f>'d3'!J388-d3П!J382</f>
        <v>-226040</v>
      </c>
      <c r="K388" s="587">
        <f>'d3'!K388-d3П!K382</f>
        <v>-226040</v>
      </c>
      <c r="L388" s="587">
        <f>'d3'!L388-d3П!L382</f>
        <v>0</v>
      </c>
      <c r="M388" s="587">
        <f>'d3'!M388-d3П!M382</f>
        <v>0</v>
      </c>
      <c r="N388" s="587">
        <f>'d3'!N388-d3П!N382</f>
        <v>0</v>
      </c>
      <c r="O388" s="587">
        <f>'d3'!O388-d3П!O382</f>
        <v>-226040</v>
      </c>
      <c r="P388" s="587">
        <f>'d3'!P388-d3П!P382</f>
        <v>-310000</v>
      </c>
      <c r="Q388" s="20"/>
      <c r="R388" s="46"/>
    </row>
    <row r="389" spans="1:18" ht="47.25" hidden="1" thickTop="1" thickBot="1" x14ac:dyDescent="0.25">
      <c r="A389" s="125" t="s">
        <v>906</v>
      </c>
      <c r="B389" s="125" t="s">
        <v>702</v>
      </c>
      <c r="C389" s="125"/>
      <c r="D389" s="125" t="s">
        <v>703</v>
      </c>
      <c r="E389" s="127">
        <f>E390</f>
        <v>0</v>
      </c>
      <c r="F389" s="127">
        <f t="shared" ref="F389:P390" si="103">F390</f>
        <v>0</v>
      </c>
      <c r="G389" s="127">
        <f t="shared" si="103"/>
        <v>0</v>
      </c>
      <c r="H389" s="127">
        <f t="shared" si="103"/>
        <v>0</v>
      </c>
      <c r="I389" s="127">
        <f t="shared" si="103"/>
        <v>0</v>
      </c>
      <c r="J389" s="127">
        <f t="shared" si="103"/>
        <v>0</v>
      </c>
      <c r="K389" s="127">
        <f t="shared" si="103"/>
        <v>0</v>
      </c>
      <c r="L389" s="127">
        <f t="shared" si="103"/>
        <v>0</v>
      </c>
      <c r="M389" s="127">
        <f t="shared" si="103"/>
        <v>0</v>
      </c>
      <c r="N389" s="127">
        <f t="shared" si="103"/>
        <v>0</v>
      </c>
      <c r="O389" s="127">
        <f t="shared" si="103"/>
        <v>0</v>
      </c>
      <c r="P389" s="127">
        <f t="shared" si="103"/>
        <v>0</v>
      </c>
      <c r="Q389" s="20"/>
      <c r="R389" s="46"/>
    </row>
    <row r="390" spans="1:18" ht="91.5" hidden="1" thickTop="1" thickBot="1" x14ac:dyDescent="0.25">
      <c r="A390" s="136" t="s">
        <v>907</v>
      </c>
      <c r="B390" s="136" t="s">
        <v>705</v>
      </c>
      <c r="C390" s="136"/>
      <c r="D390" s="136" t="s">
        <v>706</v>
      </c>
      <c r="E390" s="137">
        <f>E391</f>
        <v>0</v>
      </c>
      <c r="F390" s="137">
        <f t="shared" si="103"/>
        <v>0</v>
      </c>
      <c r="G390" s="137">
        <f t="shared" si="103"/>
        <v>0</v>
      </c>
      <c r="H390" s="137">
        <f t="shared" si="103"/>
        <v>0</v>
      </c>
      <c r="I390" s="137">
        <f t="shared" si="103"/>
        <v>0</v>
      </c>
      <c r="J390" s="137">
        <f t="shared" si="103"/>
        <v>0</v>
      </c>
      <c r="K390" s="137">
        <f t="shared" si="103"/>
        <v>0</v>
      </c>
      <c r="L390" s="137">
        <f t="shared" si="103"/>
        <v>0</v>
      </c>
      <c r="M390" s="137">
        <f t="shared" si="103"/>
        <v>0</v>
      </c>
      <c r="N390" s="137">
        <f t="shared" si="103"/>
        <v>0</v>
      </c>
      <c r="O390" s="137">
        <f t="shared" si="103"/>
        <v>0</v>
      </c>
      <c r="P390" s="137">
        <f t="shared" si="103"/>
        <v>0</v>
      </c>
      <c r="Q390" s="20"/>
      <c r="R390" s="46"/>
    </row>
    <row r="391" spans="1:18" ht="48" hidden="1" thickTop="1" thickBot="1" x14ac:dyDescent="0.25">
      <c r="A391" s="128" t="s">
        <v>908</v>
      </c>
      <c r="B391" s="128" t="s">
        <v>363</v>
      </c>
      <c r="C391" s="128" t="s">
        <v>43</v>
      </c>
      <c r="D391" s="128" t="s">
        <v>364</v>
      </c>
      <c r="E391" s="127">
        <f t="shared" ref="E391" si="104">F391</f>
        <v>0</v>
      </c>
      <c r="F391" s="134"/>
      <c r="G391" s="134"/>
      <c r="H391" s="134"/>
      <c r="I391" s="134"/>
      <c r="J391" s="127">
        <f>L391+O391</f>
        <v>0</v>
      </c>
      <c r="K391" s="134"/>
      <c r="L391" s="134"/>
      <c r="M391" s="134"/>
      <c r="N391" s="134"/>
      <c r="O391" s="132">
        <f>K391</f>
        <v>0</v>
      </c>
      <c r="P391" s="127">
        <f>E391+J391</f>
        <v>0</v>
      </c>
      <c r="Q391" s="20"/>
      <c r="R391" s="46"/>
    </row>
    <row r="392" spans="1:18" ht="120" customHeight="1" thickTop="1" thickBot="1" x14ac:dyDescent="0.25">
      <c r="A392" s="661" t="s">
        <v>164</v>
      </c>
      <c r="B392" s="661"/>
      <c r="C392" s="661"/>
      <c r="D392" s="662" t="s">
        <v>887</v>
      </c>
      <c r="E392" s="663">
        <f>E393</f>
        <v>0</v>
      </c>
      <c r="F392" s="664">
        <f t="shared" ref="F392:G392" si="105">F393</f>
        <v>0</v>
      </c>
      <c r="G392" s="664">
        <f t="shared" si="105"/>
        <v>0</v>
      </c>
      <c r="H392" s="664">
        <f>H393</f>
        <v>0</v>
      </c>
      <c r="I392" s="664">
        <f t="shared" ref="I392" si="106">I393</f>
        <v>0</v>
      </c>
      <c r="J392" s="663">
        <f>J393</f>
        <v>0</v>
      </c>
      <c r="K392" s="664">
        <f>K393</f>
        <v>0</v>
      </c>
      <c r="L392" s="664">
        <f>L393</f>
        <v>0</v>
      </c>
      <c r="M392" s="664">
        <f t="shared" ref="M392" si="107">M393</f>
        <v>0</v>
      </c>
      <c r="N392" s="664">
        <f>N393</f>
        <v>0</v>
      </c>
      <c r="O392" s="663">
        <f>O393</f>
        <v>0</v>
      </c>
      <c r="P392" s="664">
        <f t="shared" ref="P392" si="108">P393</f>
        <v>0</v>
      </c>
      <c r="Q392" s="20"/>
    </row>
    <row r="393" spans="1:18" ht="120" customHeight="1" thickTop="1" thickBot="1" x14ac:dyDescent="0.25">
      <c r="A393" s="658" t="s">
        <v>165</v>
      </c>
      <c r="B393" s="658"/>
      <c r="C393" s="658"/>
      <c r="D393" s="659" t="s">
        <v>886</v>
      </c>
      <c r="E393" s="660">
        <f>E394+E397+E400</f>
        <v>0</v>
      </c>
      <c r="F393" s="660">
        <f t="shared" ref="F393:P393" si="109">F394+F397+F400</f>
        <v>0</v>
      </c>
      <c r="G393" s="660">
        <f>G394+G397+G400</f>
        <v>0</v>
      </c>
      <c r="H393" s="660">
        <f t="shared" si="109"/>
        <v>0</v>
      </c>
      <c r="I393" s="660">
        <f t="shared" si="109"/>
        <v>0</v>
      </c>
      <c r="J393" s="660">
        <f>J394+J397+J400</f>
        <v>0</v>
      </c>
      <c r="K393" s="660">
        <f t="shared" si="109"/>
        <v>0</v>
      </c>
      <c r="L393" s="660">
        <f>L394+L397+L400</f>
        <v>0</v>
      </c>
      <c r="M393" s="660">
        <f t="shared" si="109"/>
        <v>0</v>
      </c>
      <c r="N393" s="660">
        <f t="shared" si="109"/>
        <v>0</v>
      </c>
      <c r="O393" s="660">
        <f t="shared" si="109"/>
        <v>0</v>
      </c>
      <c r="P393" s="660">
        <f t="shared" si="109"/>
        <v>0</v>
      </c>
      <c r="Q393" s="503" t="b">
        <f>P393=P395+P399</f>
        <v>1</v>
      </c>
      <c r="R393" s="46"/>
    </row>
    <row r="394" spans="1:18" ht="47.25" thickTop="1" thickBot="1" x14ac:dyDescent="0.25">
      <c r="A394" s="311" t="s">
        <v>832</v>
      </c>
      <c r="B394" s="311" t="s">
        <v>684</v>
      </c>
      <c r="C394" s="311"/>
      <c r="D394" s="311" t="s">
        <v>685</v>
      </c>
      <c r="E394" s="587">
        <f>'d3'!E394-d3П!E388</f>
        <v>0</v>
      </c>
      <c r="F394" s="587">
        <f>'d3'!F394-d3П!F388</f>
        <v>0</v>
      </c>
      <c r="G394" s="587">
        <f>'d3'!G394-d3П!G388</f>
        <v>0</v>
      </c>
      <c r="H394" s="587">
        <f>'d3'!H394-d3П!H388</f>
        <v>0</v>
      </c>
      <c r="I394" s="587">
        <f>'d3'!I394-d3П!I388</f>
        <v>0</v>
      </c>
      <c r="J394" s="587">
        <f>'d3'!J394-d3П!J388</f>
        <v>0</v>
      </c>
      <c r="K394" s="587">
        <f>'d3'!K394-d3П!K388</f>
        <v>0</v>
      </c>
      <c r="L394" s="587">
        <f>'d3'!L394-d3П!L388</f>
        <v>0</v>
      </c>
      <c r="M394" s="587">
        <f>'d3'!M394-d3П!M388</f>
        <v>0</v>
      </c>
      <c r="N394" s="587">
        <f>'d3'!N394-d3П!N388</f>
        <v>0</v>
      </c>
      <c r="O394" s="587">
        <f>'d3'!O394-d3П!O388</f>
        <v>0</v>
      </c>
      <c r="P394" s="587">
        <f>'d3'!P394-d3П!P388</f>
        <v>0</v>
      </c>
      <c r="Q394" s="47"/>
      <c r="R394" s="46"/>
    </row>
    <row r="395" spans="1:18" ht="93" thickTop="1" thickBot="1" x14ac:dyDescent="0.25">
      <c r="A395" s="103" t="s">
        <v>422</v>
      </c>
      <c r="B395" s="103" t="s">
        <v>236</v>
      </c>
      <c r="C395" s="103" t="s">
        <v>234</v>
      </c>
      <c r="D395" s="103" t="s">
        <v>235</v>
      </c>
      <c r="E395" s="587">
        <f>'d3'!E395-d3П!E389</f>
        <v>0</v>
      </c>
      <c r="F395" s="587">
        <f>'d3'!F395-d3П!F389</f>
        <v>0</v>
      </c>
      <c r="G395" s="587">
        <f>'d3'!G395-d3П!G389</f>
        <v>0</v>
      </c>
      <c r="H395" s="587">
        <f>'d3'!H395-d3П!H389</f>
        <v>0</v>
      </c>
      <c r="I395" s="587">
        <f>'d3'!I395-d3П!I389</f>
        <v>0</v>
      </c>
      <c r="J395" s="587">
        <f>'d3'!J395-d3П!J389</f>
        <v>0</v>
      </c>
      <c r="K395" s="587">
        <f>'d3'!K395-d3П!K389</f>
        <v>0</v>
      </c>
      <c r="L395" s="587">
        <f>'d3'!L395-d3П!L389</f>
        <v>0</v>
      </c>
      <c r="M395" s="587">
        <f>'d3'!M395-d3П!M389</f>
        <v>0</v>
      </c>
      <c r="N395" s="587">
        <f>'d3'!N395-d3П!N389</f>
        <v>0</v>
      </c>
      <c r="O395" s="587">
        <f>'d3'!O395-d3П!O389</f>
        <v>0</v>
      </c>
      <c r="P395" s="587">
        <f>'d3'!P395-d3П!P389</f>
        <v>0</v>
      </c>
      <c r="Q395" s="47"/>
      <c r="R395" s="46"/>
    </row>
    <row r="396" spans="1:18" ht="93" hidden="1" thickTop="1" thickBot="1" x14ac:dyDescent="0.25">
      <c r="A396" s="41" t="s">
        <v>633</v>
      </c>
      <c r="B396" s="41" t="s">
        <v>362</v>
      </c>
      <c r="C396" s="41" t="s">
        <v>625</v>
      </c>
      <c r="D396" s="41" t="s">
        <v>626</v>
      </c>
      <c r="E396" s="587">
        <f>'d3'!E396-d3П!E390</f>
        <v>0</v>
      </c>
      <c r="F396" s="587">
        <f>'d3'!F396-d3П!F390</f>
        <v>0</v>
      </c>
      <c r="G396" s="587">
        <f>'d3'!G396-d3П!G390</f>
        <v>0</v>
      </c>
      <c r="H396" s="587">
        <f>'d3'!H396-d3П!H390</f>
        <v>0</v>
      </c>
      <c r="I396" s="587">
        <f>'d3'!I396-d3П!I390</f>
        <v>0</v>
      </c>
      <c r="J396" s="587">
        <f>'d3'!J396-d3П!J390</f>
        <v>0</v>
      </c>
      <c r="K396" s="587">
        <f>'d3'!K396-d3П!K390</f>
        <v>0</v>
      </c>
      <c r="L396" s="587">
        <f>'d3'!L396-d3П!L390</f>
        <v>0</v>
      </c>
      <c r="M396" s="587">
        <f>'d3'!M396-d3П!M390</f>
        <v>0</v>
      </c>
      <c r="N396" s="587">
        <f>'d3'!N396-d3П!N390</f>
        <v>0</v>
      </c>
      <c r="O396" s="587">
        <f>'d3'!O396-d3П!O390</f>
        <v>0</v>
      </c>
      <c r="P396" s="587">
        <f>'d3'!P396-d3П!P390</f>
        <v>0</v>
      </c>
      <c r="Q396" s="47"/>
      <c r="R396" s="46"/>
    </row>
    <row r="397" spans="1:18" ht="47.25" thickTop="1" thickBot="1" x14ac:dyDescent="0.25">
      <c r="A397" s="311" t="s">
        <v>833</v>
      </c>
      <c r="B397" s="311" t="s">
        <v>696</v>
      </c>
      <c r="C397" s="311"/>
      <c r="D397" s="311" t="s">
        <v>697</v>
      </c>
      <c r="E397" s="587">
        <f>'d3'!E397-d3П!E391</f>
        <v>0</v>
      </c>
      <c r="F397" s="587">
        <f>'d3'!F397-d3П!F391</f>
        <v>0</v>
      </c>
      <c r="G397" s="587">
        <f>'d3'!G397-d3П!G391</f>
        <v>0</v>
      </c>
      <c r="H397" s="587">
        <f>'d3'!H397-d3П!H391</f>
        <v>0</v>
      </c>
      <c r="I397" s="587">
        <f>'d3'!I397-d3П!I391</f>
        <v>0</v>
      </c>
      <c r="J397" s="587">
        <f>'d3'!J397-d3П!J391</f>
        <v>0</v>
      </c>
      <c r="K397" s="587">
        <f>'d3'!K397-d3П!K391</f>
        <v>0</v>
      </c>
      <c r="L397" s="587">
        <f>'d3'!L397-d3П!L391</f>
        <v>0</v>
      </c>
      <c r="M397" s="587">
        <f>'d3'!M397-d3П!M391</f>
        <v>0</v>
      </c>
      <c r="N397" s="587">
        <f>'d3'!N397-d3П!N391</f>
        <v>0</v>
      </c>
      <c r="O397" s="587">
        <f>'d3'!O397-d3П!O391</f>
        <v>0</v>
      </c>
      <c r="P397" s="587">
        <f>'d3'!P397-d3П!P391</f>
        <v>0</v>
      </c>
      <c r="Q397" s="47"/>
      <c r="R397" s="46"/>
    </row>
    <row r="398" spans="1:18" ht="47.25" thickTop="1" thickBot="1" x14ac:dyDescent="0.25">
      <c r="A398" s="313" t="s">
        <v>834</v>
      </c>
      <c r="B398" s="313" t="s">
        <v>835</v>
      </c>
      <c r="C398" s="313"/>
      <c r="D398" s="313" t="s">
        <v>836</v>
      </c>
      <c r="E398" s="587">
        <f>'d3'!E398-d3П!E392</f>
        <v>0</v>
      </c>
      <c r="F398" s="587">
        <f>'d3'!F398-d3П!F392</f>
        <v>0</v>
      </c>
      <c r="G398" s="587">
        <f>'d3'!G398-d3П!G392</f>
        <v>0</v>
      </c>
      <c r="H398" s="587">
        <f>'d3'!H398-d3П!H392</f>
        <v>0</v>
      </c>
      <c r="I398" s="587">
        <f>'d3'!I398-d3П!I392</f>
        <v>0</v>
      </c>
      <c r="J398" s="587">
        <f>'d3'!J398-d3П!J392</f>
        <v>0</v>
      </c>
      <c r="K398" s="587">
        <f>'d3'!K398-d3П!K392</f>
        <v>0</v>
      </c>
      <c r="L398" s="587">
        <f>'d3'!L398-d3П!L392</f>
        <v>0</v>
      </c>
      <c r="M398" s="587">
        <f>'d3'!M398-d3П!M392</f>
        <v>0</v>
      </c>
      <c r="N398" s="587">
        <f>'d3'!N398-d3П!N392</f>
        <v>0</v>
      </c>
      <c r="O398" s="587">
        <f>'d3'!O398-d3П!O392</f>
        <v>0</v>
      </c>
      <c r="P398" s="587">
        <f>'d3'!P398-d3П!P392</f>
        <v>0</v>
      </c>
      <c r="Q398" s="47"/>
      <c r="R398" s="46"/>
    </row>
    <row r="399" spans="1:18" ht="47.25" thickTop="1" thickBot="1" x14ac:dyDescent="0.25">
      <c r="A399" s="103" t="s">
        <v>1127</v>
      </c>
      <c r="B399" s="103" t="s">
        <v>1128</v>
      </c>
      <c r="C399" s="103" t="s">
        <v>51</v>
      </c>
      <c r="D399" s="103" t="s">
        <v>1129</v>
      </c>
      <c r="E399" s="587">
        <f>'d3'!E399-d3П!E393</f>
        <v>0</v>
      </c>
      <c r="F399" s="587">
        <f>'d3'!F399-d3П!F393</f>
        <v>0</v>
      </c>
      <c r="G399" s="587">
        <f>'d3'!G399-d3П!G393</f>
        <v>0</v>
      </c>
      <c r="H399" s="587">
        <f>'d3'!H399-d3П!H393</f>
        <v>0</v>
      </c>
      <c r="I399" s="587">
        <f>'d3'!I399-d3П!I393</f>
        <v>0</v>
      </c>
      <c r="J399" s="587">
        <f>'d3'!J399-d3П!J393</f>
        <v>0</v>
      </c>
      <c r="K399" s="587">
        <f>'d3'!K399-d3П!K393</f>
        <v>0</v>
      </c>
      <c r="L399" s="587">
        <f>'d3'!L399-d3П!L393</f>
        <v>0</v>
      </c>
      <c r="M399" s="587">
        <f>'d3'!M399-d3П!M393</f>
        <v>0</v>
      </c>
      <c r="N399" s="587">
        <f>'d3'!N399-d3П!N393</f>
        <v>0</v>
      </c>
      <c r="O399" s="587">
        <f>'d3'!O399-d3П!O393</f>
        <v>0</v>
      </c>
      <c r="P399" s="587">
        <f>'d3'!P399-d3П!P393</f>
        <v>0</v>
      </c>
      <c r="Q399" s="503" t="b">
        <f>J399='d9'!F20</f>
        <v>0</v>
      </c>
    </row>
    <row r="400" spans="1:18" ht="47.25" hidden="1" thickTop="1" thickBot="1" x14ac:dyDescent="0.25">
      <c r="A400" s="125" t="s">
        <v>1249</v>
      </c>
      <c r="B400" s="125" t="s">
        <v>702</v>
      </c>
      <c r="C400" s="125"/>
      <c r="D400" s="125" t="s">
        <v>703</v>
      </c>
      <c r="E400" s="127">
        <f t="shared" ref="E400:P400" si="110">E401</f>
        <v>0</v>
      </c>
      <c r="F400" s="127">
        <f t="shared" si="110"/>
        <v>0</v>
      </c>
      <c r="G400" s="127">
        <f t="shared" si="110"/>
        <v>0</v>
      </c>
      <c r="H400" s="127">
        <f t="shared" si="110"/>
        <v>0</v>
      </c>
      <c r="I400" s="127">
        <f t="shared" si="110"/>
        <v>0</v>
      </c>
      <c r="J400" s="127">
        <f t="shared" si="110"/>
        <v>0</v>
      </c>
      <c r="K400" s="127">
        <f t="shared" si="110"/>
        <v>0</v>
      </c>
      <c r="L400" s="127">
        <f t="shared" si="110"/>
        <v>0</v>
      </c>
      <c r="M400" s="127">
        <f t="shared" si="110"/>
        <v>0</v>
      </c>
      <c r="N400" s="127">
        <f t="shared" si="110"/>
        <v>0</v>
      </c>
      <c r="O400" s="127">
        <f t="shared" si="110"/>
        <v>0</v>
      </c>
      <c r="P400" s="127">
        <f t="shared" si="110"/>
        <v>0</v>
      </c>
      <c r="Q400" s="47"/>
    </row>
    <row r="401" spans="1:19" ht="91.5" hidden="1" thickTop="1" thickBot="1" x14ac:dyDescent="0.25">
      <c r="A401" s="136" t="s">
        <v>1248</v>
      </c>
      <c r="B401" s="136" t="s">
        <v>514</v>
      </c>
      <c r="C401" s="136" t="s">
        <v>43</v>
      </c>
      <c r="D401" s="136" t="s">
        <v>515</v>
      </c>
      <c r="E401" s="137">
        <f t="shared" ref="E401" si="111">F401</f>
        <v>0</v>
      </c>
      <c r="F401" s="137">
        <v>0</v>
      </c>
      <c r="G401" s="137"/>
      <c r="H401" s="137"/>
      <c r="I401" s="137"/>
      <c r="J401" s="137">
        <f>L401+O401</f>
        <v>0</v>
      </c>
      <c r="K401" s="134">
        <v>0</v>
      </c>
      <c r="L401" s="137"/>
      <c r="M401" s="137"/>
      <c r="N401" s="137"/>
      <c r="O401" s="137">
        <f>(K401+0)</f>
        <v>0</v>
      </c>
      <c r="P401" s="137">
        <f>E401+J401</f>
        <v>0</v>
      </c>
      <c r="Q401" s="47"/>
    </row>
    <row r="402" spans="1:19" ht="120" customHeight="1" thickTop="1" thickBot="1" x14ac:dyDescent="0.25">
      <c r="A402" s="661" t="s">
        <v>162</v>
      </c>
      <c r="B402" s="661"/>
      <c r="C402" s="661"/>
      <c r="D402" s="662" t="s">
        <v>896</v>
      </c>
      <c r="E402" s="663">
        <f>E403</f>
        <v>0</v>
      </c>
      <c r="F402" s="664">
        <f t="shared" ref="F402:G402" si="112">F403</f>
        <v>0</v>
      </c>
      <c r="G402" s="664">
        <f t="shared" si="112"/>
        <v>0</v>
      </c>
      <c r="H402" s="664">
        <f>H403</f>
        <v>0</v>
      </c>
      <c r="I402" s="664">
        <f t="shared" ref="I402" si="113">I403</f>
        <v>0</v>
      </c>
      <c r="J402" s="663">
        <f>J403</f>
        <v>50000</v>
      </c>
      <c r="K402" s="664">
        <f>K403</f>
        <v>50000</v>
      </c>
      <c r="L402" s="664">
        <f>L403</f>
        <v>0</v>
      </c>
      <c r="M402" s="664">
        <f t="shared" ref="M402" si="114">M403</f>
        <v>0</v>
      </c>
      <c r="N402" s="664">
        <f>N403</f>
        <v>0</v>
      </c>
      <c r="O402" s="663">
        <f>O403</f>
        <v>50000</v>
      </c>
      <c r="P402" s="664">
        <f t="shared" ref="P402" si="115">P403</f>
        <v>50000</v>
      </c>
      <c r="Q402" s="20"/>
    </row>
    <row r="403" spans="1:19" ht="120" customHeight="1" thickTop="1" thickBot="1" x14ac:dyDescent="0.25">
      <c r="A403" s="658" t="s">
        <v>163</v>
      </c>
      <c r="B403" s="658"/>
      <c r="C403" s="658"/>
      <c r="D403" s="659" t="s">
        <v>895</v>
      </c>
      <c r="E403" s="660">
        <f>E404+E406</f>
        <v>0</v>
      </c>
      <c r="F403" s="660">
        <f t="shared" ref="F403:I403" si="116">F404+F406</f>
        <v>0</v>
      </c>
      <c r="G403" s="660">
        <f t="shared" si="116"/>
        <v>0</v>
      </c>
      <c r="H403" s="660">
        <f t="shared" si="116"/>
        <v>0</v>
      </c>
      <c r="I403" s="660">
        <f t="shared" si="116"/>
        <v>0</v>
      </c>
      <c r="J403" s="660">
        <f>L403+O403</f>
        <v>50000</v>
      </c>
      <c r="K403" s="660">
        <f t="shared" ref="K403:O403" si="117">K404+K406</f>
        <v>50000</v>
      </c>
      <c r="L403" s="660">
        <f t="shared" si="117"/>
        <v>0</v>
      </c>
      <c r="M403" s="660">
        <f t="shared" si="117"/>
        <v>0</v>
      </c>
      <c r="N403" s="660">
        <f t="shared" si="117"/>
        <v>0</v>
      </c>
      <c r="O403" s="660">
        <f t="shared" si="117"/>
        <v>50000</v>
      </c>
      <c r="P403" s="660">
        <f>E403+J403</f>
        <v>50000</v>
      </c>
      <c r="Q403" s="503" t="b">
        <f>P403=P405+P408+P410</f>
        <v>1</v>
      </c>
      <c r="R403" s="45"/>
    </row>
    <row r="404" spans="1:19" ht="47.25" thickTop="1" thickBot="1" x14ac:dyDescent="0.25">
      <c r="A404" s="311" t="s">
        <v>837</v>
      </c>
      <c r="B404" s="311" t="s">
        <v>684</v>
      </c>
      <c r="C404" s="311"/>
      <c r="D404" s="311" t="s">
        <v>685</v>
      </c>
      <c r="E404" s="587">
        <f>'d3'!E404-d3П!E398</f>
        <v>0</v>
      </c>
      <c r="F404" s="587">
        <f>'d3'!F404-d3П!F398</f>
        <v>0</v>
      </c>
      <c r="G404" s="587">
        <f>'d3'!G404-d3П!G398</f>
        <v>0</v>
      </c>
      <c r="H404" s="587">
        <f>'d3'!H404-d3П!H398</f>
        <v>0</v>
      </c>
      <c r="I404" s="587">
        <f>'d3'!I404-d3П!I398</f>
        <v>0</v>
      </c>
      <c r="J404" s="587">
        <f>'d3'!J404-d3П!J398</f>
        <v>0</v>
      </c>
      <c r="K404" s="587">
        <f>'d3'!K404-d3П!K398</f>
        <v>0</v>
      </c>
      <c r="L404" s="587">
        <f>'d3'!L404-d3П!L398</f>
        <v>0</v>
      </c>
      <c r="M404" s="587">
        <f>'d3'!M404-d3П!M398</f>
        <v>0</v>
      </c>
      <c r="N404" s="587">
        <f>'d3'!N404-d3П!N398</f>
        <v>0</v>
      </c>
      <c r="O404" s="587">
        <f>'d3'!O404-d3П!O398</f>
        <v>0</v>
      </c>
      <c r="P404" s="587">
        <f>'d3'!P404-d3П!P398</f>
        <v>0</v>
      </c>
      <c r="Q404" s="47"/>
      <c r="R404" s="45"/>
    </row>
    <row r="405" spans="1:19" ht="93" thickTop="1" thickBot="1" x14ac:dyDescent="0.25">
      <c r="A405" s="103" t="s">
        <v>418</v>
      </c>
      <c r="B405" s="103" t="s">
        <v>236</v>
      </c>
      <c r="C405" s="103" t="s">
        <v>234</v>
      </c>
      <c r="D405" s="103" t="s">
        <v>235</v>
      </c>
      <c r="E405" s="587">
        <f>'d3'!E405-d3П!E399</f>
        <v>0</v>
      </c>
      <c r="F405" s="587">
        <f>'d3'!F405-d3П!F399</f>
        <v>0</v>
      </c>
      <c r="G405" s="587">
        <f>'d3'!G405-d3П!G399</f>
        <v>0</v>
      </c>
      <c r="H405" s="587">
        <f>'d3'!H405-d3П!H399</f>
        <v>0</v>
      </c>
      <c r="I405" s="587">
        <f>'d3'!I405-d3П!I399</f>
        <v>0</v>
      </c>
      <c r="J405" s="587">
        <f>'d3'!J405-d3П!J399</f>
        <v>0</v>
      </c>
      <c r="K405" s="587">
        <f>'d3'!K405-d3П!K399</f>
        <v>0</v>
      </c>
      <c r="L405" s="587">
        <f>'d3'!L405-d3П!L399</f>
        <v>0</v>
      </c>
      <c r="M405" s="587">
        <f>'d3'!M405-d3П!M399</f>
        <v>0</v>
      </c>
      <c r="N405" s="587">
        <f>'d3'!N405-d3П!N399</f>
        <v>0</v>
      </c>
      <c r="O405" s="587">
        <f>'d3'!O405-d3П!O399</f>
        <v>0</v>
      </c>
      <c r="P405" s="587">
        <f>'d3'!P405-d3П!P399</f>
        <v>0</v>
      </c>
      <c r="Q405" s="20"/>
      <c r="R405" s="45"/>
    </row>
    <row r="406" spans="1:19" ht="47.25" thickTop="1" thickBot="1" x14ac:dyDescent="0.25">
      <c r="A406" s="311" t="s">
        <v>838</v>
      </c>
      <c r="B406" s="311" t="s">
        <v>748</v>
      </c>
      <c r="C406" s="103"/>
      <c r="D406" s="311" t="s">
        <v>794</v>
      </c>
      <c r="E406" s="587">
        <f>'d3'!E406-d3П!E400</f>
        <v>0</v>
      </c>
      <c r="F406" s="587">
        <f>'d3'!F406-d3П!F400</f>
        <v>0</v>
      </c>
      <c r="G406" s="587">
        <f>'d3'!G406-d3П!G400</f>
        <v>0</v>
      </c>
      <c r="H406" s="587">
        <f>'d3'!H406-d3П!H400</f>
        <v>0</v>
      </c>
      <c r="I406" s="587">
        <f>'d3'!I406-d3П!I400</f>
        <v>0</v>
      </c>
      <c r="J406" s="587">
        <f>'d3'!J406-d3П!J400</f>
        <v>50000</v>
      </c>
      <c r="K406" s="587">
        <f>'d3'!K406-d3П!K400</f>
        <v>50000</v>
      </c>
      <c r="L406" s="587">
        <f>'d3'!L406-d3П!L400</f>
        <v>0</v>
      </c>
      <c r="M406" s="587">
        <f>'d3'!M406-d3П!M400</f>
        <v>0</v>
      </c>
      <c r="N406" s="587">
        <f>'d3'!N406-d3П!N400</f>
        <v>0</v>
      </c>
      <c r="O406" s="587">
        <f>'d3'!O406-d3П!O400</f>
        <v>50000</v>
      </c>
      <c r="P406" s="587">
        <f>'d3'!P406-d3П!P400</f>
        <v>50000</v>
      </c>
      <c r="Q406" s="20"/>
      <c r="R406" s="47"/>
    </row>
    <row r="407" spans="1:19" ht="47.25" thickTop="1" thickBot="1" x14ac:dyDescent="0.25">
      <c r="A407" s="313" t="s">
        <v>839</v>
      </c>
      <c r="B407" s="313" t="s">
        <v>840</v>
      </c>
      <c r="C407" s="313"/>
      <c r="D407" s="313" t="s">
        <v>841</v>
      </c>
      <c r="E407" s="587">
        <f>'d3'!E407-d3П!E401</f>
        <v>0</v>
      </c>
      <c r="F407" s="587">
        <f>'d3'!F407-d3П!F401</f>
        <v>0</v>
      </c>
      <c r="G407" s="587">
        <f>'d3'!G407-d3П!G401</f>
        <v>0</v>
      </c>
      <c r="H407" s="587">
        <f>'d3'!H407-d3П!H401</f>
        <v>0</v>
      </c>
      <c r="I407" s="587">
        <f>'d3'!I407-d3П!I401</f>
        <v>0</v>
      </c>
      <c r="J407" s="587">
        <f>'d3'!J407-d3П!J401</f>
        <v>0</v>
      </c>
      <c r="K407" s="587">
        <f>'d3'!K407-d3П!K401</f>
        <v>0</v>
      </c>
      <c r="L407" s="587">
        <f>'d3'!L407-d3П!L401</f>
        <v>0</v>
      </c>
      <c r="M407" s="587">
        <f>'d3'!M407-d3П!M401</f>
        <v>0</v>
      </c>
      <c r="N407" s="587">
        <f>'d3'!N407-d3П!N401</f>
        <v>0</v>
      </c>
      <c r="O407" s="587">
        <f>'d3'!O407-d3П!O401</f>
        <v>0</v>
      </c>
      <c r="P407" s="587">
        <f>'d3'!P407-d3П!P401</f>
        <v>0</v>
      </c>
      <c r="Q407" s="20"/>
      <c r="R407" s="47"/>
    </row>
    <row r="408" spans="1:19" ht="47.25" thickTop="1" thickBot="1" x14ac:dyDescent="0.25">
      <c r="A408" s="103" t="s">
        <v>306</v>
      </c>
      <c r="B408" s="103" t="s">
        <v>307</v>
      </c>
      <c r="C408" s="103" t="s">
        <v>308</v>
      </c>
      <c r="D408" s="103" t="s">
        <v>461</v>
      </c>
      <c r="E408" s="587">
        <f>'d3'!E408-d3П!E402</f>
        <v>0</v>
      </c>
      <c r="F408" s="587">
        <f>'d3'!F408-d3П!F402</f>
        <v>0</v>
      </c>
      <c r="G408" s="587">
        <f>'d3'!G408-d3П!G402</f>
        <v>0</v>
      </c>
      <c r="H408" s="587">
        <f>'d3'!H408-d3П!H402</f>
        <v>0</v>
      </c>
      <c r="I408" s="587">
        <f>'d3'!I408-d3П!I402</f>
        <v>0</v>
      </c>
      <c r="J408" s="587">
        <f>'d3'!J408-d3П!J402</f>
        <v>0</v>
      </c>
      <c r="K408" s="587">
        <f>'d3'!K408-d3П!K402</f>
        <v>0</v>
      </c>
      <c r="L408" s="587">
        <f>'d3'!L408-d3П!L402</f>
        <v>0</v>
      </c>
      <c r="M408" s="587">
        <f>'d3'!M408-d3П!M402</f>
        <v>0</v>
      </c>
      <c r="N408" s="587">
        <f>'d3'!N408-d3П!N402</f>
        <v>0</v>
      </c>
      <c r="O408" s="587">
        <f>'d3'!O408-d3П!O402</f>
        <v>0</v>
      </c>
      <c r="P408" s="587">
        <f>'d3'!P408-d3П!P402</f>
        <v>0</v>
      </c>
      <c r="Q408" s="20"/>
      <c r="R408" s="45"/>
    </row>
    <row r="409" spans="1:19" ht="47.25" thickTop="1" thickBot="1" x14ac:dyDescent="0.25">
      <c r="A409" s="313" t="s">
        <v>842</v>
      </c>
      <c r="B409" s="313" t="s">
        <v>691</v>
      </c>
      <c r="C409" s="103"/>
      <c r="D409" s="313" t="s">
        <v>843</v>
      </c>
      <c r="E409" s="587">
        <f>'d3'!E409-d3П!E403</f>
        <v>0</v>
      </c>
      <c r="F409" s="587">
        <f>'d3'!F409-d3П!F403</f>
        <v>0</v>
      </c>
      <c r="G409" s="587">
        <f>'d3'!G409-d3П!G403</f>
        <v>0</v>
      </c>
      <c r="H409" s="587">
        <f>'d3'!H409-d3П!H403</f>
        <v>0</v>
      </c>
      <c r="I409" s="587">
        <f>'d3'!I409-d3П!I403</f>
        <v>0</v>
      </c>
      <c r="J409" s="587">
        <f>'d3'!J409-d3П!J403</f>
        <v>50000</v>
      </c>
      <c r="K409" s="587">
        <f>'d3'!K409-d3П!K403</f>
        <v>50000</v>
      </c>
      <c r="L409" s="587">
        <f>'d3'!L409-d3П!L403</f>
        <v>0</v>
      </c>
      <c r="M409" s="587">
        <f>'d3'!M409-d3П!M403</f>
        <v>0</v>
      </c>
      <c r="N409" s="587">
        <f>'d3'!N409-d3П!N403</f>
        <v>0</v>
      </c>
      <c r="O409" s="587">
        <f>'d3'!O409-d3П!O403</f>
        <v>50000</v>
      </c>
      <c r="P409" s="587">
        <f>'d3'!P409-d3П!P403</f>
        <v>50000</v>
      </c>
      <c r="Q409" s="20"/>
    </row>
    <row r="410" spans="1:19" ht="47.25" thickTop="1" thickBot="1" x14ac:dyDescent="0.25">
      <c r="A410" s="103" t="s">
        <v>368</v>
      </c>
      <c r="B410" s="103" t="s">
        <v>369</v>
      </c>
      <c r="C410" s="103" t="s">
        <v>170</v>
      </c>
      <c r="D410" s="103" t="s">
        <v>370</v>
      </c>
      <c r="E410" s="587">
        <f>'d3'!E410-d3П!E404</f>
        <v>0</v>
      </c>
      <c r="F410" s="587">
        <f>'d3'!F410-d3П!F404</f>
        <v>0</v>
      </c>
      <c r="G410" s="587">
        <f>'d3'!G410-d3П!G404</f>
        <v>0</v>
      </c>
      <c r="H410" s="587">
        <f>'d3'!H410-d3П!H404</f>
        <v>0</v>
      </c>
      <c r="I410" s="587">
        <f>'d3'!I410-d3П!I404</f>
        <v>0</v>
      </c>
      <c r="J410" s="587">
        <f>'d3'!J410-d3П!J404</f>
        <v>50000</v>
      </c>
      <c r="K410" s="587">
        <f>'d3'!K410-d3П!K404</f>
        <v>50000</v>
      </c>
      <c r="L410" s="587">
        <f>'d3'!L410-d3П!L404</f>
        <v>0</v>
      </c>
      <c r="M410" s="587">
        <f>'d3'!M410-d3П!M404</f>
        <v>0</v>
      </c>
      <c r="N410" s="587">
        <f>'d3'!N410-d3П!N404</f>
        <v>0</v>
      </c>
      <c r="O410" s="587">
        <f>'d3'!O410-d3П!O404</f>
        <v>50000</v>
      </c>
      <c r="P410" s="587">
        <f>'d3'!P410-d3П!P404</f>
        <v>50000</v>
      </c>
      <c r="Q410" s="20"/>
      <c r="R410" s="45"/>
    </row>
    <row r="411" spans="1:19" ht="120" customHeight="1" thickTop="1" thickBot="1" x14ac:dyDescent="0.25">
      <c r="A411" s="661" t="s">
        <v>168</v>
      </c>
      <c r="B411" s="661"/>
      <c r="C411" s="661"/>
      <c r="D411" s="662" t="s">
        <v>27</v>
      </c>
      <c r="E411" s="663">
        <f>E412</f>
        <v>-12299538.77</v>
      </c>
      <c r="F411" s="664">
        <f t="shared" ref="F411:G411" si="118">F412</f>
        <v>-12299538.77</v>
      </c>
      <c r="G411" s="664">
        <f t="shared" si="118"/>
        <v>0</v>
      </c>
      <c r="H411" s="664">
        <f>H412</f>
        <v>0</v>
      </c>
      <c r="I411" s="664">
        <f t="shared" ref="I411" si="119">I412</f>
        <v>0</v>
      </c>
      <c r="J411" s="663">
        <f>J412</f>
        <v>0</v>
      </c>
      <c r="K411" s="664">
        <f>K412</f>
        <v>0</v>
      </c>
      <c r="L411" s="664">
        <f>L412</f>
        <v>0</v>
      </c>
      <c r="M411" s="664">
        <f t="shared" ref="M411" si="120">M412</f>
        <v>0</v>
      </c>
      <c r="N411" s="664">
        <f>N412</f>
        <v>0</v>
      </c>
      <c r="O411" s="663">
        <f>O412</f>
        <v>0</v>
      </c>
      <c r="P411" s="664">
        <f t="shared" ref="P411" si="121">P412</f>
        <v>-12299538.77</v>
      </c>
      <c r="Q411" s="20"/>
    </row>
    <row r="412" spans="1:19" ht="120" customHeight="1" thickTop="1" thickBot="1" x14ac:dyDescent="0.25">
      <c r="A412" s="658" t="s">
        <v>169</v>
      </c>
      <c r="B412" s="658"/>
      <c r="C412" s="658"/>
      <c r="D412" s="659" t="s">
        <v>40</v>
      </c>
      <c r="E412" s="660">
        <f>E413+E419+E426+E416</f>
        <v>-12299538.77</v>
      </c>
      <c r="F412" s="660">
        <f t="shared" ref="F412:P412" si="122">F413+F419+F426+F416</f>
        <v>-12299538.77</v>
      </c>
      <c r="G412" s="660">
        <f t="shared" si="122"/>
        <v>0</v>
      </c>
      <c r="H412" s="660">
        <f t="shared" si="122"/>
        <v>0</v>
      </c>
      <c r="I412" s="660">
        <f t="shared" si="122"/>
        <v>0</v>
      </c>
      <c r="J412" s="660">
        <f t="shared" si="122"/>
        <v>0</v>
      </c>
      <c r="K412" s="660">
        <f t="shared" si="122"/>
        <v>0</v>
      </c>
      <c r="L412" s="660">
        <f t="shared" si="122"/>
        <v>0</v>
      </c>
      <c r="M412" s="660">
        <f t="shared" si="122"/>
        <v>0</v>
      </c>
      <c r="N412" s="660">
        <f t="shared" si="122"/>
        <v>0</v>
      </c>
      <c r="O412" s="660">
        <f t="shared" si="122"/>
        <v>0</v>
      </c>
      <c r="P412" s="660">
        <f t="shared" si="122"/>
        <v>-12299538.77</v>
      </c>
      <c r="Q412" s="503" t="b">
        <f>P412=P414+P420+P422</f>
        <v>1</v>
      </c>
      <c r="R412" s="45"/>
    </row>
    <row r="413" spans="1:19" ht="47.25" thickTop="1" thickBot="1" x14ac:dyDescent="0.25">
      <c r="A413" s="311" t="s">
        <v>844</v>
      </c>
      <c r="B413" s="311" t="s">
        <v>684</v>
      </c>
      <c r="C413" s="311"/>
      <c r="D413" s="311" t="s">
        <v>685</v>
      </c>
      <c r="E413" s="587">
        <f>'d3'!E413-d3П!E407</f>
        <v>0</v>
      </c>
      <c r="F413" s="587">
        <f>'d3'!F413-d3П!F407</f>
        <v>0</v>
      </c>
      <c r="G413" s="587">
        <f>'d3'!G413-d3П!G407</f>
        <v>0</v>
      </c>
      <c r="H413" s="587">
        <f>'d3'!H413-d3П!H407</f>
        <v>0</v>
      </c>
      <c r="I413" s="587">
        <f>'d3'!I413-d3П!I407</f>
        <v>0</v>
      </c>
      <c r="J413" s="587">
        <f>'d3'!J413-d3П!J407</f>
        <v>0</v>
      </c>
      <c r="K413" s="587">
        <f>'d3'!K413-d3П!K407</f>
        <v>0</v>
      </c>
      <c r="L413" s="587">
        <f>'d3'!L413-d3П!L407</f>
        <v>0</v>
      </c>
      <c r="M413" s="587">
        <f>'d3'!M413-d3П!M407</f>
        <v>0</v>
      </c>
      <c r="N413" s="587">
        <f>'d3'!N413-d3П!N407</f>
        <v>0</v>
      </c>
      <c r="O413" s="587">
        <f>'d3'!O413-d3П!O407</f>
        <v>0</v>
      </c>
      <c r="P413" s="587">
        <f>'d3'!P413-d3П!P407</f>
        <v>0</v>
      </c>
      <c r="Q413" s="47"/>
      <c r="R413" s="50"/>
    </row>
    <row r="414" spans="1:19" ht="93" thickTop="1" thickBot="1" x14ac:dyDescent="0.25">
      <c r="A414" s="103" t="s">
        <v>420</v>
      </c>
      <c r="B414" s="103" t="s">
        <v>236</v>
      </c>
      <c r="C414" s="103" t="s">
        <v>234</v>
      </c>
      <c r="D414" s="103" t="s">
        <v>235</v>
      </c>
      <c r="E414" s="587">
        <f>'d3'!E414-d3П!E408</f>
        <v>0</v>
      </c>
      <c r="F414" s="587">
        <f>'d3'!F414-d3П!F408</f>
        <v>0</v>
      </c>
      <c r="G414" s="587">
        <f>'d3'!G414-d3П!G408</f>
        <v>0</v>
      </c>
      <c r="H414" s="587">
        <f>'d3'!H414-d3П!H408</f>
        <v>0</v>
      </c>
      <c r="I414" s="587">
        <f>'d3'!I414-d3П!I408</f>
        <v>0</v>
      </c>
      <c r="J414" s="587">
        <f>'d3'!J414-d3П!J408</f>
        <v>0</v>
      </c>
      <c r="K414" s="587">
        <f>'d3'!K414-d3П!K408</f>
        <v>0</v>
      </c>
      <c r="L414" s="587">
        <f>'d3'!L414-d3П!L408</f>
        <v>0</v>
      </c>
      <c r="M414" s="587">
        <f>'d3'!M414-d3П!M408</f>
        <v>0</v>
      </c>
      <c r="N414" s="587">
        <f>'d3'!N414-d3П!N408</f>
        <v>0</v>
      </c>
      <c r="O414" s="587">
        <f>'d3'!O414-d3П!O408</f>
        <v>0</v>
      </c>
      <c r="P414" s="587">
        <f>'d3'!P414-d3П!P408</f>
        <v>0</v>
      </c>
      <c r="Q414" s="47"/>
      <c r="R414" s="50"/>
      <c r="S414" s="47"/>
    </row>
    <row r="415" spans="1:19" ht="93" hidden="1" thickTop="1" thickBot="1" x14ac:dyDescent="0.25">
      <c r="A415" s="128" t="s">
        <v>634</v>
      </c>
      <c r="B415" s="128" t="s">
        <v>362</v>
      </c>
      <c r="C415" s="128" t="s">
        <v>625</v>
      </c>
      <c r="D415" s="128" t="s">
        <v>626</v>
      </c>
      <c r="E415" s="587">
        <f>'d3'!E415-d3П!E409</f>
        <v>0</v>
      </c>
      <c r="F415" s="587">
        <f>'d3'!F415-d3П!F409</f>
        <v>0</v>
      </c>
      <c r="G415" s="587">
        <f>'d3'!G415-d3П!G409</f>
        <v>0</v>
      </c>
      <c r="H415" s="587">
        <f>'d3'!H415-d3П!H409</f>
        <v>0</v>
      </c>
      <c r="I415" s="587">
        <f>'d3'!I415-d3П!I409</f>
        <v>0</v>
      </c>
      <c r="J415" s="587">
        <f>'d3'!J415-d3П!J409</f>
        <v>0</v>
      </c>
      <c r="K415" s="587">
        <f>'d3'!K415-d3П!K409</f>
        <v>0</v>
      </c>
      <c r="L415" s="587">
        <f>'d3'!L415-d3П!L409</f>
        <v>0</v>
      </c>
      <c r="M415" s="587">
        <f>'d3'!M415-d3П!M409</f>
        <v>0</v>
      </c>
      <c r="N415" s="587">
        <f>'d3'!N415-d3П!N409</f>
        <v>0</v>
      </c>
      <c r="O415" s="587">
        <f>'d3'!O415-d3П!O409</f>
        <v>0</v>
      </c>
      <c r="P415" s="587">
        <f>'d3'!P415-d3П!P409</f>
        <v>0</v>
      </c>
      <c r="Q415" s="47"/>
      <c r="R415" s="50"/>
    </row>
    <row r="416" spans="1:19" ht="47.25" hidden="1" thickTop="1" thickBot="1" x14ac:dyDescent="0.25">
      <c r="A416" s="136" t="s">
        <v>1204</v>
      </c>
      <c r="B416" s="136" t="s">
        <v>691</v>
      </c>
      <c r="C416" s="136"/>
      <c r="D416" s="136" t="s">
        <v>689</v>
      </c>
      <c r="E416" s="587">
        <f>'d3'!E416-d3П!E410</f>
        <v>0</v>
      </c>
      <c r="F416" s="587">
        <f>'d3'!F416-d3П!F410</f>
        <v>0</v>
      </c>
      <c r="G416" s="587">
        <f>'d3'!G416-d3П!G410</f>
        <v>0</v>
      </c>
      <c r="H416" s="587">
        <f>'d3'!H416-d3П!H410</f>
        <v>0</v>
      </c>
      <c r="I416" s="587">
        <f>'d3'!I416-d3П!I410</f>
        <v>0</v>
      </c>
      <c r="J416" s="587">
        <f>'d3'!J416-d3П!J410</f>
        <v>0</v>
      </c>
      <c r="K416" s="587">
        <f>'d3'!K416-d3П!K410</f>
        <v>0</v>
      </c>
      <c r="L416" s="587">
        <f>'d3'!L416-d3П!L410</f>
        <v>0</v>
      </c>
      <c r="M416" s="587">
        <f>'d3'!M416-d3П!M410</f>
        <v>0</v>
      </c>
      <c r="N416" s="587">
        <f>'d3'!N416-d3П!N410</f>
        <v>0</v>
      </c>
      <c r="O416" s="587">
        <f>'d3'!O416-d3П!O410</f>
        <v>0</v>
      </c>
      <c r="P416" s="587">
        <f>'d3'!P416-d3П!P410</f>
        <v>0</v>
      </c>
      <c r="Q416" s="47"/>
      <c r="R416" s="50"/>
    </row>
    <row r="417" spans="1:18" ht="47.25" hidden="1" thickTop="1" thickBot="1" x14ac:dyDescent="0.25">
      <c r="A417" s="140" t="s">
        <v>1205</v>
      </c>
      <c r="B417" s="140" t="s">
        <v>694</v>
      </c>
      <c r="C417" s="140"/>
      <c r="D417" s="140" t="s">
        <v>692</v>
      </c>
      <c r="E417" s="587">
        <f>'d3'!E417-d3П!E411</f>
        <v>0</v>
      </c>
      <c r="F417" s="587">
        <f>'d3'!F417-d3П!F411</f>
        <v>0</v>
      </c>
      <c r="G417" s="587">
        <f>'d3'!G417-d3П!G411</f>
        <v>0</v>
      </c>
      <c r="H417" s="587">
        <f>'d3'!H417-d3П!H411</f>
        <v>0</v>
      </c>
      <c r="I417" s="587">
        <f>'d3'!I417-d3П!I411</f>
        <v>0</v>
      </c>
      <c r="J417" s="587">
        <f>'d3'!J417-d3П!J411</f>
        <v>0</v>
      </c>
      <c r="K417" s="587">
        <f>'d3'!K417-d3П!K411</f>
        <v>0</v>
      </c>
      <c r="L417" s="587">
        <f>'d3'!L417-d3П!L411</f>
        <v>0</v>
      </c>
      <c r="M417" s="587">
        <f>'d3'!M417-d3П!M411</f>
        <v>0</v>
      </c>
      <c r="N417" s="587">
        <f>'d3'!N417-d3П!N411</f>
        <v>0</v>
      </c>
      <c r="O417" s="587">
        <f>'d3'!O417-d3П!O411</f>
        <v>0</v>
      </c>
      <c r="P417" s="587">
        <f>'d3'!P417-d3П!P411</f>
        <v>0</v>
      </c>
      <c r="Q417" s="47"/>
      <c r="R417" s="50"/>
    </row>
    <row r="418" spans="1:18" ht="47.25" hidden="1" thickTop="1" thickBot="1" x14ac:dyDescent="0.25">
      <c r="A418" s="128" t="s">
        <v>1206</v>
      </c>
      <c r="B418" s="128" t="s">
        <v>257</v>
      </c>
      <c r="C418" s="128" t="s">
        <v>170</v>
      </c>
      <c r="D418" s="128" t="s">
        <v>255</v>
      </c>
      <c r="E418" s="587">
        <f>'d3'!E418-d3П!E412</f>
        <v>0</v>
      </c>
      <c r="F418" s="587">
        <f>'d3'!F418-d3П!F412</f>
        <v>0</v>
      </c>
      <c r="G418" s="587">
        <f>'d3'!G418-d3П!G412</f>
        <v>0</v>
      </c>
      <c r="H418" s="587">
        <f>'d3'!H418-d3П!H412</f>
        <v>0</v>
      </c>
      <c r="I418" s="587">
        <f>'d3'!I418-d3П!I412</f>
        <v>0</v>
      </c>
      <c r="J418" s="587">
        <f>'d3'!J418-d3П!J412</f>
        <v>0</v>
      </c>
      <c r="K418" s="587">
        <f>'d3'!K418-d3П!K412</f>
        <v>0</v>
      </c>
      <c r="L418" s="587">
        <f>'d3'!L418-d3П!L412</f>
        <v>0</v>
      </c>
      <c r="M418" s="587">
        <f>'d3'!M418-d3П!M412</f>
        <v>0</v>
      </c>
      <c r="N418" s="587">
        <f>'d3'!N418-d3П!N412</f>
        <v>0</v>
      </c>
      <c r="O418" s="587">
        <f>'d3'!O418-d3П!O412</f>
        <v>0</v>
      </c>
      <c r="P418" s="587">
        <f>'d3'!P418-d3П!P412</f>
        <v>0</v>
      </c>
      <c r="Q418" s="47"/>
      <c r="R418" s="50"/>
    </row>
    <row r="419" spans="1:18" ht="47.25" thickTop="1" thickBot="1" x14ac:dyDescent="0.25">
      <c r="A419" s="311" t="s">
        <v>845</v>
      </c>
      <c r="B419" s="311" t="s">
        <v>696</v>
      </c>
      <c r="C419" s="311"/>
      <c r="D419" s="311" t="s">
        <v>697</v>
      </c>
      <c r="E419" s="587">
        <f>'d3'!E419-d3П!E413</f>
        <v>-12299538.77</v>
      </c>
      <c r="F419" s="587">
        <f>'d3'!F419-d3П!F413</f>
        <v>-12299538.77</v>
      </c>
      <c r="G419" s="587">
        <f>'d3'!G419-d3П!G413</f>
        <v>0</v>
      </c>
      <c r="H419" s="587">
        <f>'d3'!H419-d3П!H413</f>
        <v>0</v>
      </c>
      <c r="I419" s="587">
        <f>'d3'!I419-d3П!I413</f>
        <v>0</v>
      </c>
      <c r="J419" s="587">
        <f>'d3'!J419-d3П!J413</f>
        <v>0</v>
      </c>
      <c r="K419" s="587">
        <f>'d3'!K419-d3П!K413</f>
        <v>0</v>
      </c>
      <c r="L419" s="587">
        <f>'d3'!L419-d3П!L413</f>
        <v>0</v>
      </c>
      <c r="M419" s="587">
        <f>'d3'!M419-d3П!M413</f>
        <v>0</v>
      </c>
      <c r="N419" s="587">
        <f>'d3'!N419-d3П!N413</f>
        <v>0</v>
      </c>
      <c r="O419" s="587">
        <f>'d3'!O419-d3П!O413</f>
        <v>0</v>
      </c>
      <c r="P419" s="587">
        <f>'d3'!P419-d3П!P413</f>
        <v>-12299538.77</v>
      </c>
      <c r="Q419" s="47"/>
      <c r="R419" s="50"/>
    </row>
    <row r="420" spans="1:18" ht="46.5" thickTop="1" thickBot="1" x14ac:dyDescent="0.25">
      <c r="A420" s="526">
        <v>3718600</v>
      </c>
      <c r="B420" s="526">
        <v>8600</v>
      </c>
      <c r="C420" s="313" t="s">
        <v>362</v>
      </c>
      <c r="D420" s="526" t="s">
        <v>452</v>
      </c>
      <c r="E420" s="587">
        <f>'d3'!E420-d3П!E414</f>
        <v>0</v>
      </c>
      <c r="F420" s="587">
        <f>'d3'!F420-d3П!F414</f>
        <v>0</v>
      </c>
      <c r="G420" s="587">
        <f>'d3'!G420-d3П!G414</f>
        <v>0</v>
      </c>
      <c r="H420" s="587">
        <f>'d3'!H420-d3П!H414</f>
        <v>0</v>
      </c>
      <c r="I420" s="587">
        <f>'d3'!I420-d3П!I414</f>
        <v>0</v>
      </c>
      <c r="J420" s="587">
        <f>'d3'!J420-d3П!J414</f>
        <v>0</v>
      </c>
      <c r="K420" s="587">
        <f>'d3'!K420-d3П!K414</f>
        <v>0</v>
      </c>
      <c r="L420" s="587">
        <f>'d3'!L420-d3П!L414</f>
        <v>0</v>
      </c>
      <c r="M420" s="587">
        <f>'d3'!M420-d3П!M414</f>
        <v>0</v>
      </c>
      <c r="N420" s="587">
        <f>'d3'!N420-d3П!N414</f>
        <v>0</v>
      </c>
      <c r="O420" s="587">
        <f>'d3'!O420-d3П!O414</f>
        <v>0</v>
      </c>
      <c r="P420" s="587">
        <f>'d3'!P420-d3П!P414</f>
        <v>0</v>
      </c>
      <c r="Q420" s="20"/>
    </row>
    <row r="421" spans="1:18" ht="46.5" thickTop="1" thickBot="1" x14ac:dyDescent="0.25">
      <c r="A421" s="526">
        <v>3718700</v>
      </c>
      <c r="B421" s="526">
        <v>8700</v>
      </c>
      <c r="C421" s="313"/>
      <c r="D421" s="526" t="s">
        <v>846</v>
      </c>
      <c r="E421" s="587">
        <f>'d3'!E421-d3П!E415</f>
        <v>-12299538.77</v>
      </c>
      <c r="F421" s="587">
        <f>'d3'!F421-d3П!F415</f>
        <v>-12299538.77</v>
      </c>
      <c r="G421" s="587">
        <f>'d3'!G421-d3П!G415</f>
        <v>0</v>
      </c>
      <c r="H421" s="587">
        <f>'d3'!H421-d3П!H415</f>
        <v>0</v>
      </c>
      <c r="I421" s="587">
        <f>'d3'!I421-d3П!I415</f>
        <v>0</v>
      </c>
      <c r="J421" s="587">
        <f>'d3'!J421-d3П!J415</f>
        <v>0</v>
      </c>
      <c r="K421" s="587">
        <f>'d3'!K421-d3П!K415</f>
        <v>0</v>
      </c>
      <c r="L421" s="587">
        <f>'d3'!L421-d3П!L415</f>
        <v>0</v>
      </c>
      <c r="M421" s="587">
        <f>'d3'!M421-d3П!M415</f>
        <v>0</v>
      </c>
      <c r="N421" s="587">
        <f>'d3'!N421-d3П!N415</f>
        <v>0</v>
      </c>
      <c r="O421" s="587">
        <f>'d3'!O421-d3П!O415</f>
        <v>0</v>
      </c>
      <c r="P421" s="587">
        <f>'d3'!P421-d3П!P415</f>
        <v>-12299538.77</v>
      </c>
      <c r="Q421" s="20"/>
    </row>
    <row r="422" spans="1:18" ht="69" customHeight="1" thickTop="1" thickBot="1" x14ac:dyDescent="0.25">
      <c r="A422" s="330">
        <v>3718710</v>
      </c>
      <c r="B422" s="330">
        <v>8710</v>
      </c>
      <c r="C422" s="103" t="s">
        <v>42</v>
      </c>
      <c r="D422" s="470" t="s">
        <v>640</v>
      </c>
      <c r="E422" s="587">
        <f>'d3'!E422-d3П!E416</f>
        <v>-12299538.77</v>
      </c>
      <c r="F422" s="587">
        <f>'d3'!F422-d3П!F416</f>
        <v>-12299538.77</v>
      </c>
      <c r="G422" s="587">
        <f>'d3'!G422-d3П!G416</f>
        <v>0</v>
      </c>
      <c r="H422" s="587">
        <f>'d3'!H422-d3П!H416</f>
        <v>0</v>
      </c>
      <c r="I422" s="587">
        <f>'d3'!I422-d3П!I416</f>
        <v>0</v>
      </c>
      <c r="J422" s="587">
        <f>'d3'!J422-d3П!J416</f>
        <v>0</v>
      </c>
      <c r="K422" s="587">
        <f>'d3'!K422-d3П!K416</f>
        <v>0</v>
      </c>
      <c r="L422" s="587">
        <f>'d3'!L422-d3П!L416</f>
        <v>0</v>
      </c>
      <c r="M422" s="587">
        <f>'d3'!M422-d3П!M416</f>
        <v>0</v>
      </c>
      <c r="N422" s="587">
        <f>'d3'!N422-d3П!N416</f>
        <v>0</v>
      </c>
      <c r="O422" s="587">
        <f>'d3'!O422-d3П!O416</f>
        <v>0</v>
      </c>
      <c r="P422" s="587">
        <f>'d3'!P422-d3П!P416</f>
        <v>-12299538.77</v>
      </c>
      <c r="Q422" s="20"/>
    </row>
    <row r="423" spans="1:18" ht="47.25" hidden="1" thickTop="1" thickBot="1" x14ac:dyDescent="0.25">
      <c r="A423" s="166">
        <v>3718800</v>
      </c>
      <c r="B423" s="166">
        <v>8800</v>
      </c>
      <c r="C423" s="136"/>
      <c r="D423" s="166" t="s">
        <v>854</v>
      </c>
      <c r="E423" s="137">
        <f>E424</f>
        <v>0</v>
      </c>
      <c r="F423" s="137">
        <f>F424</f>
        <v>0</v>
      </c>
      <c r="G423" s="137">
        <f t="shared" ref="G423:P424" si="123">G424</f>
        <v>0</v>
      </c>
      <c r="H423" s="137">
        <f t="shared" si="123"/>
        <v>0</v>
      </c>
      <c r="I423" s="137">
        <f t="shared" si="123"/>
        <v>0</v>
      </c>
      <c r="J423" s="137">
        <f t="shared" si="123"/>
        <v>0</v>
      </c>
      <c r="K423" s="137">
        <f t="shared" si="123"/>
        <v>0</v>
      </c>
      <c r="L423" s="137">
        <f t="shared" si="123"/>
        <v>0</v>
      </c>
      <c r="M423" s="137">
        <f t="shared" si="123"/>
        <v>0</v>
      </c>
      <c r="N423" s="137">
        <f t="shared" si="123"/>
        <v>0</v>
      </c>
      <c r="O423" s="137">
        <f t="shared" si="123"/>
        <v>0</v>
      </c>
      <c r="P423" s="137">
        <f t="shared" si="123"/>
        <v>0</v>
      </c>
      <c r="Q423" s="20"/>
    </row>
    <row r="424" spans="1:18" ht="93" hidden="1" thickTop="1" thickBot="1" x14ac:dyDescent="0.25">
      <c r="A424" s="167">
        <v>3718880</v>
      </c>
      <c r="B424" s="167">
        <v>8880</v>
      </c>
      <c r="C424" s="140"/>
      <c r="D424" s="153" t="s">
        <v>1154</v>
      </c>
      <c r="E424" s="141">
        <f>E425</f>
        <v>0</v>
      </c>
      <c r="F424" s="141">
        <f t="shared" ref="F424" si="124">F425</f>
        <v>0</v>
      </c>
      <c r="G424" s="141">
        <f t="shared" si="123"/>
        <v>0</v>
      </c>
      <c r="H424" s="141">
        <f t="shared" si="123"/>
        <v>0</v>
      </c>
      <c r="I424" s="141">
        <f t="shared" si="123"/>
        <v>0</v>
      </c>
      <c r="J424" s="141">
        <f t="shared" si="123"/>
        <v>0</v>
      </c>
      <c r="K424" s="141">
        <f t="shared" si="123"/>
        <v>0</v>
      </c>
      <c r="L424" s="141">
        <f t="shared" si="123"/>
        <v>0</v>
      </c>
      <c r="M424" s="141">
        <f t="shared" si="123"/>
        <v>0</v>
      </c>
      <c r="N424" s="141">
        <f t="shared" si="123"/>
        <v>0</v>
      </c>
      <c r="O424" s="141">
        <f t="shared" si="123"/>
        <v>0</v>
      </c>
      <c r="P424" s="141">
        <f t="shared" si="123"/>
        <v>0</v>
      </c>
      <c r="Q424" s="20"/>
    </row>
    <row r="425" spans="1:18" ht="93" hidden="1" thickTop="1" thickBot="1" x14ac:dyDescent="0.25">
      <c r="A425" s="128">
        <v>3718881</v>
      </c>
      <c r="B425" s="128">
        <v>8881</v>
      </c>
      <c r="C425" s="128" t="s">
        <v>170</v>
      </c>
      <c r="D425" s="128" t="s">
        <v>1155</v>
      </c>
      <c r="E425" s="152">
        <f>F425</f>
        <v>0</v>
      </c>
      <c r="F425" s="129">
        <f>(2500000)-2500000</f>
        <v>0</v>
      </c>
      <c r="G425" s="129"/>
      <c r="H425" s="129"/>
      <c r="I425" s="129"/>
      <c r="J425" s="127">
        <f t="shared" ref="J425" si="125">L425+O425</f>
        <v>0</v>
      </c>
      <c r="K425" s="129"/>
      <c r="L425" s="130"/>
      <c r="M425" s="130"/>
      <c r="N425" s="130"/>
      <c r="O425" s="132">
        <f t="shared" ref="O425" si="126">K425</f>
        <v>0</v>
      </c>
      <c r="P425" s="127">
        <f t="shared" ref="P425" si="127">+J425+E425</f>
        <v>0</v>
      </c>
      <c r="Q425" s="20"/>
    </row>
    <row r="426" spans="1:18" ht="47.25" hidden="1" thickTop="1" thickBot="1" x14ac:dyDescent="0.25">
      <c r="A426" s="125" t="s">
        <v>847</v>
      </c>
      <c r="B426" s="125" t="s">
        <v>702</v>
      </c>
      <c r="C426" s="125"/>
      <c r="D426" s="125" t="s">
        <v>703</v>
      </c>
      <c r="E426" s="127">
        <f>E427</f>
        <v>0</v>
      </c>
      <c r="F426" s="127">
        <f t="shared" ref="F426:P427" si="128">F427</f>
        <v>0</v>
      </c>
      <c r="G426" s="127">
        <f t="shared" si="128"/>
        <v>0</v>
      </c>
      <c r="H426" s="127">
        <f t="shared" si="128"/>
        <v>0</v>
      </c>
      <c r="I426" s="127">
        <f t="shared" si="128"/>
        <v>0</v>
      </c>
      <c r="J426" s="127">
        <f t="shared" si="128"/>
        <v>0</v>
      </c>
      <c r="K426" s="127">
        <f t="shared" si="128"/>
        <v>0</v>
      </c>
      <c r="L426" s="127">
        <f t="shared" si="128"/>
        <v>0</v>
      </c>
      <c r="M426" s="127">
        <f t="shared" si="128"/>
        <v>0</v>
      </c>
      <c r="N426" s="127">
        <f t="shared" si="128"/>
        <v>0</v>
      </c>
      <c r="O426" s="127">
        <f t="shared" si="128"/>
        <v>0</v>
      </c>
      <c r="P426" s="127">
        <f t="shared" si="128"/>
        <v>0</v>
      </c>
      <c r="Q426" s="20"/>
    </row>
    <row r="427" spans="1:18" ht="47.25" hidden="1" thickTop="1" thickBot="1" x14ac:dyDescent="0.25">
      <c r="A427" s="166">
        <v>3719100</v>
      </c>
      <c r="B427" s="136" t="s">
        <v>849</v>
      </c>
      <c r="C427" s="136"/>
      <c r="D427" s="136" t="s">
        <v>848</v>
      </c>
      <c r="E427" s="137">
        <f>E428</f>
        <v>0</v>
      </c>
      <c r="F427" s="137">
        <f t="shared" si="128"/>
        <v>0</v>
      </c>
      <c r="G427" s="137">
        <f t="shared" si="128"/>
        <v>0</v>
      </c>
      <c r="H427" s="137">
        <f t="shared" si="128"/>
        <v>0</v>
      </c>
      <c r="I427" s="137">
        <f t="shared" si="128"/>
        <v>0</v>
      </c>
      <c r="J427" s="137">
        <f t="shared" si="128"/>
        <v>0</v>
      </c>
      <c r="K427" s="137">
        <f t="shared" si="128"/>
        <v>0</v>
      </c>
      <c r="L427" s="137">
        <f t="shared" si="128"/>
        <v>0</v>
      </c>
      <c r="M427" s="137">
        <f t="shared" si="128"/>
        <v>0</v>
      </c>
      <c r="N427" s="137">
        <f t="shared" si="128"/>
        <v>0</v>
      </c>
      <c r="O427" s="137">
        <f t="shared" si="128"/>
        <v>0</v>
      </c>
      <c r="P427" s="137">
        <f t="shared" si="128"/>
        <v>0</v>
      </c>
      <c r="Q427" s="20"/>
    </row>
    <row r="428" spans="1:18" ht="51" hidden="1" customHeight="1" thickTop="1" thickBot="1" x14ac:dyDescent="0.25">
      <c r="A428" s="151">
        <v>3719110</v>
      </c>
      <c r="B428" s="151">
        <v>9110</v>
      </c>
      <c r="C428" s="128" t="s">
        <v>43</v>
      </c>
      <c r="D428" s="402" t="s">
        <v>451</v>
      </c>
      <c r="E428" s="127">
        <f>F428</f>
        <v>0</v>
      </c>
      <c r="F428" s="134">
        <v>0</v>
      </c>
      <c r="G428" s="134"/>
      <c r="H428" s="134"/>
      <c r="I428" s="134"/>
      <c r="J428" s="127">
        <f>L428+O428</f>
        <v>0</v>
      </c>
      <c r="K428" s="134"/>
      <c r="L428" s="134"/>
      <c r="M428" s="134"/>
      <c r="N428" s="134"/>
      <c r="O428" s="132">
        <f>K428</f>
        <v>0</v>
      </c>
      <c r="P428" s="127">
        <f>E428+J428</f>
        <v>0</v>
      </c>
      <c r="Q428" s="20"/>
    </row>
    <row r="429" spans="1:18" ht="111" customHeight="1" thickTop="1" thickBot="1" x14ac:dyDescent="0.25">
      <c r="A429" s="674" t="s">
        <v>381</v>
      </c>
      <c r="B429" s="674" t="s">
        <v>381</v>
      </c>
      <c r="C429" s="674" t="s">
        <v>381</v>
      </c>
      <c r="D429" s="674" t="s">
        <v>391</v>
      </c>
      <c r="E429" s="675">
        <f t="shared" ref="E429:P429" si="129">E16+E48+E221+E108+E140+E200++E320+E345+E412+E373+E393+E403+E354+E285+E257</f>
        <v>26889406.600000124</v>
      </c>
      <c r="F429" s="675">
        <f t="shared" si="129"/>
        <v>26889406.600000124</v>
      </c>
      <c r="G429" s="675">
        <f t="shared" si="129"/>
        <v>4470532</v>
      </c>
      <c r="H429" s="675">
        <f t="shared" si="129"/>
        <v>278632.00999999046</v>
      </c>
      <c r="I429" s="675">
        <f t="shared" si="129"/>
        <v>0</v>
      </c>
      <c r="J429" s="675">
        <f t="shared" si="129"/>
        <v>164580305.41000003</v>
      </c>
      <c r="K429" s="675">
        <f t="shared" si="129"/>
        <v>156908194.41000003</v>
      </c>
      <c r="L429" s="675">
        <f t="shared" si="129"/>
        <v>-152499</v>
      </c>
      <c r="M429" s="675">
        <f t="shared" si="129"/>
        <v>-133500</v>
      </c>
      <c r="N429" s="675">
        <f t="shared" si="129"/>
        <v>0</v>
      </c>
      <c r="O429" s="675">
        <f t="shared" si="129"/>
        <v>164732804.41000003</v>
      </c>
      <c r="P429" s="675">
        <f t="shared" si="129"/>
        <v>191469712.01000014</v>
      </c>
      <c r="Q429" s="79" t="b">
        <f>P429=J429+E429</f>
        <v>1</v>
      </c>
    </row>
    <row r="430" spans="1:18" ht="46.5" thickTop="1" x14ac:dyDescent="0.2">
      <c r="A430" s="819" t="s">
        <v>1520</v>
      </c>
      <c r="B430" s="820"/>
      <c r="C430" s="820"/>
      <c r="D430" s="820"/>
      <c r="E430" s="820"/>
      <c r="F430" s="820"/>
      <c r="G430" s="820"/>
      <c r="H430" s="820"/>
      <c r="I430" s="820"/>
      <c r="J430" s="820"/>
      <c r="K430" s="820"/>
      <c r="L430" s="820"/>
      <c r="M430" s="820"/>
      <c r="N430" s="820"/>
      <c r="O430" s="820"/>
      <c r="P430" s="820"/>
      <c r="Q430" s="56"/>
    </row>
    <row r="431" spans="1:18" ht="60.75" hidden="1" x14ac:dyDescent="0.2">
      <c r="A431" s="15"/>
      <c r="B431" s="16"/>
      <c r="C431" s="16"/>
      <c r="D431" s="16"/>
      <c r="E431" s="550">
        <f>F431</f>
        <v>3960470007</v>
      </c>
      <c r="F431" s="550">
        <f>(((3716414441.2)+222038975.97)+1158900+4436136.01)+16421553.82</f>
        <v>3960470007</v>
      </c>
      <c r="G431" s="550">
        <f>((95820900+1446614253+3269881+127110999+52092425+53854513+94248348+1953964)+45702476.39+3377320)+949920+3007261+436671+76680</f>
        <v>1928515611.3900001</v>
      </c>
      <c r="H431" s="550">
        <f>(((6241293+170645348+208800+8158262+4493410+2946945+4237921+58880)+92902.78)+140989.01)+137643</f>
        <v>197362393.78999999</v>
      </c>
      <c r="I431" s="550">
        <v>0</v>
      </c>
      <c r="J431" s="550">
        <f>(((480219450.8+'d2'!E42-'d4'!O29)+268859015.4)+7672111)+161781011.18</f>
        <v>915941098.38000011</v>
      </c>
      <c r="K431" s="550">
        <f>((480219450.8+'d2'!F42-'d4'!P29-1200000-5215800-229145152)+268859015.4-4737.15-663952)+161781011.18</f>
        <v>672039346.23000002</v>
      </c>
      <c r="L431" s="550">
        <f>(((2604400+176000+570000+1000000)+206347210+6239260+10895910+1888442+1200000)+4737.15)-152499</f>
        <v>230773460.15000001</v>
      </c>
      <c r="M431" s="550">
        <f>(53944610+2604685+8032370+704165)-133500</f>
        <v>65152330</v>
      </c>
      <c r="N431" s="550">
        <f>17336870+705805+284620+524376</f>
        <v>18851671</v>
      </c>
      <c r="O431" s="550">
        <f>(((480219450.8+'d2'!F42-'d4'!O29-1200000-5215800-229145152+865400+3487390+24000+237940+25000)+268859015.4-4737.15)+7672111)+152499+161781011.18</f>
        <v>685167638.23000002</v>
      </c>
      <c r="P431" s="550">
        <f>(((4196633892+'d2'!C46-'d4'!Q29)+490897991.37)+7672111+4436136.01+1158900)+178202565</f>
        <v>4876411105.3800001</v>
      </c>
      <c r="Q431" s="79" t="b">
        <f>E431+J431=P431</f>
        <v>1</v>
      </c>
      <c r="R431" s="56"/>
    </row>
    <row r="432" spans="1:18" ht="45.75" x14ac:dyDescent="0.65">
      <c r="A432" s="15"/>
      <c r="B432" s="16"/>
      <c r="C432" s="16"/>
      <c r="D432" s="551" t="s">
        <v>1480</v>
      </c>
      <c r="E432" s="319"/>
      <c r="F432" s="319"/>
      <c r="G432" s="2"/>
      <c r="H432" s="3"/>
      <c r="I432" s="2"/>
      <c r="J432" s="3"/>
      <c r="K432" s="2" t="s">
        <v>1481</v>
      </c>
      <c r="L432" s="2"/>
      <c r="M432" s="2"/>
      <c r="N432" s="2"/>
      <c r="O432" s="2"/>
      <c r="P432" s="2"/>
      <c r="Q432" s="56"/>
    </row>
    <row r="433" spans="1:18" ht="45.75" hidden="1" x14ac:dyDescent="0.65">
      <c r="A433" s="168"/>
      <c r="B433" s="169"/>
      <c r="C433" s="169"/>
      <c r="D433" s="3" t="s">
        <v>1445</v>
      </c>
      <c r="E433" s="319"/>
      <c r="F433" s="319"/>
      <c r="G433" s="2"/>
      <c r="H433" s="3"/>
      <c r="I433" s="2"/>
      <c r="J433" s="3"/>
      <c r="K433" s="3" t="s">
        <v>1446</v>
      </c>
      <c r="L433" s="202"/>
      <c r="M433" s="202"/>
      <c r="N433" s="202"/>
      <c r="O433" s="202"/>
      <c r="P433" s="202"/>
      <c r="Q433" s="56"/>
    </row>
    <row r="434" spans="1:18" ht="26.25" customHeight="1" x14ac:dyDescent="0.65">
      <c r="A434" s="15"/>
      <c r="B434" s="16"/>
      <c r="C434" s="16"/>
      <c r="D434" s="798"/>
      <c r="E434" s="798"/>
      <c r="F434" s="798"/>
      <c r="G434" s="798"/>
      <c r="H434" s="798"/>
      <c r="I434" s="798"/>
      <c r="J434" s="798"/>
      <c r="K434" s="798"/>
      <c r="L434" s="798"/>
      <c r="M434" s="798"/>
      <c r="N434" s="798"/>
      <c r="O434" s="798"/>
      <c r="P434" s="798"/>
      <c r="Q434" s="83"/>
    </row>
    <row r="435" spans="1:18" ht="50.25" customHeight="1" thickBot="1" x14ac:dyDescent="0.7">
      <c r="A435" s="15"/>
      <c r="B435" s="16"/>
      <c r="C435" s="16"/>
      <c r="D435" s="769" t="s">
        <v>523</v>
      </c>
      <c r="E435" s="770"/>
      <c r="F435" s="770"/>
      <c r="G435" s="361"/>
      <c r="H435" s="361"/>
      <c r="I435" s="2"/>
      <c r="J435" s="2"/>
      <c r="K435" s="3" t="s">
        <v>1346</v>
      </c>
      <c r="L435" s="2"/>
      <c r="M435" s="2"/>
      <c r="N435" s="2"/>
      <c r="O435" s="2"/>
      <c r="P435" s="2"/>
      <c r="Q435" s="83"/>
    </row>
    <row r="436" spans="1:18" ht="47.25" thickTop="1" thickBot="1" x14ac:dyDescent="0.7">
      <c r="A436" s="19"/>
      <c r="B436" s="19"/>
      <c r="C436" s="19"/>
      <c r="D436" s="821"/>
      <c r="E436" s="821"/>
      <c r="F436" s="821"/>
      <c r="G436" s="821"/>
      <c r="H436" s="821"/>
      <c r="I436" s="821"/>
      <c r="J436" s="821"/>
      <c r="K436" s="821"/>
      <c r="L436" s="821"/>
      <c r="M436" s="821"/>
      <c r="N436" s="821"/>
      <c r="O436" s="821"/>
      <c r="P436" s="821"/>
      <c r="Q436" s="84"/>
    </row>
    <row r="437" spans="1:18" ht="95.25" customHeight="1" thickTop="1" x14ac:dyDescent="0.55000000000000004">
      <c r="G437" s="58"/>
      <c r="H437" s="58"/>
      <c r="I437" s="92"/>
      <c r="J437" s="93"/>
      <c r="K437" s="93"/>
      <c r="L437" s="92"/>
      <c r="M437" s="92"/>
      <c r="N437" s="92"/>
      <c r="O437" s="92"/>
      <c r="P437" s="93"/>
      <c r="Q437" s="82"/>
    </row>
    <row r="438" spans="1:18" x14ac:dyDescent="0.2">
      <c r="E438" s="59"/>
      <c r="F438" s="60"/>
      <c r="G438" s="58"/>
      <c r="H438" s="58"/>
      <c r="I438" s="92"/>
      <c r="J438" s="94"/>
      <c r="K438" s="94"/>
      <c r="L438" s="92"/>
      <c r="M438" s="92"/>
      <c r="N438" s="92"/>
      <c r="O438" s="92"/>
      <c r="P438" s="93"/>
    </row>
    <row r="439" spans="1:18" x14ac:dyDescent="0.2">
      <c r="E439" s="59"/>
      <c r="F439" s="60"/>
      <c r="G439" s="58"/>
      <c r="H439" s="58"/>
      <c r="I439" s="92"/>
      <c r="J439" s="94"/>
      <c r="K439" s="94"/>
      <c r="L439" s="92"/>
      <c r="M439" s="92"/>
      <c r="N439" s="92"/>
      <c r="O439" s="92"/>
      <c r="P439" s="93"/>
    </row>
    <row r="440" spans="1:18" ht="60.75" x14ac:dyDescent="0.2">
      <c r="E440" s="704" t="b">
        <f>E431=E429</f>
        <v>0</v>
      </c>
      <c r="F440" s="704" t="b">
        <f>F431=F429</f>
        <v>0</v>
      </c>
      <c r="G440" s="704" t="b">
        <f>G431=G429</f>
        <v>0</v>
      </c>
      <c r="H440" s="704" t="b">
        <f t="shared" ref="H440:O440" si="130">H431=H429</f>
        <v>0</v>
      </c>
      <c r="I440" s="704" t="b">
        <f>I431=I429</f>
        <v>1</v>
      </c>
      <c r="J440" s="704" t="b">
        <f>J431=J429</f>
        <v>0</v>
      </c>
      <c r="K440" s="704" t="b">
        <f>K431=K429</f>
        <v>0</v>
      </c>
      <c r="L440" s="704" t="b">
        <f t="shared" si="130"/>
        <v>0</v>
      </c>
      <c r="M440" s="704" t="b">
        <f t="shared" si="130"/>
        <v>0</v>
      </c>
      <c r="N440" s="704" t="b">
        <f>N431=N429</f>
        <v>0</v>
      </c>
      <c r="O440" s="704" t="b">
        <f t="shared" si="130"/>
        <v>0</v>
      </c>
      <c r="P440" s="704" t="b">
        <f>P431=P429</f>
        <v>0</v>
      </c>
    </row>
    <row r="441" spans="1:18" ht="61.5" x14ac:dyDescent="0.2">
      <c r="E441" s="704" t="b">
        <f>E429=F429</f>
        <v>1</v>
      </c>
      <c r="F441" s="705">
        <f>F422/E429</f>
        <v>-0.45741205646389915</v>
      </c>
      <c r="G441" s="86"/>
      <c r="H441" s="87"/>
      <c r="I441" s="88"/>
      <c r="J441" s="704" t="b">
        <f>J431=L431+O431</f>
        <v>1</v>
      </c>
      <c r="K441" s="95"/>
      <c r="L441" s="79"/>
      <c r="M441" s="88"/>
      <c r="N441" s="88"/>
      <c r="O441" s="79"/>
      <c r="P441" s="704" t="b">
        <f>E429+J429=P429</f>
        <v>1</v>
      </c>
    </row>
    <row r="442" spans="1:18" ht="60.75" x14ac:dyDescent="0.2">
      <c r="E442" s="89"/>
      <c r="F442" s="90"/>
      <c r="G442" s="89"/>
      <c r="H442" s="706">
        <f>H431-H429</f>
        <v>197083761.78</v>
      </c>
      <c r="I442" s="89"/>
      <c r="J442" s="59"/>
      <c r="K442" s="59"/>
    </row>
    <row r="443" spans="1:18" ht="61.5" x14ac:dyDescent="0.2">
      <c r="A443" s="21"/>
      <c r="B443" s="21"/>
      <c r="C443" s="21"/>
      <c r="D443" s="22"/>
      <c r="E443" s="37">
        <f>E429-E431</f>
        <v>-3933580600.4000001</v>
      </c>
      <c r="F443" s="705">
        <f>400000/E429</f>
        <v>1.4875746644405241E-2</v>
      </c>
      <c r="G443" s="86"/>
      <c r="H443" s="61"/>
      <c r="I443" s="22"/>
      <c r="J443" s="37">
        <f>J429-J431</f>
        <v>-751360792.97000003</v>
      </c>
      <c r="K443" s="37">
        <f>K429-K431</f>
        <v>-515131151.81999999</v>
      </c>
      <c r="L443" s="37"/>
      <c r="M443" s="37"/>
      <c r="N443" s="37"/>
      <c r="O443" s="37">
        <f>O429-O431</f>
        <v>-520434833.81999999</v>
      </c>
      <c r="P443" s="37"/>
    </row>
    <row r="444" spans="1:18" ht="61.5" x14ac:dyDescent="0.2">
      <c r="D444" s="22"/>
      <c r="E444" s="37"/>
      <c r="F444" s="63"/>
      <c r="G444" s="55"/>
      <c r="H444" s="61"/>
      <c r="I444" s="22"/>
      <c r="J444" s="37"/>
      <c r="K444" s="37"/>
      <c r="L444" s="64"/>
      <c r="P444" s="55"/>
      <c r="Q444" s="85"/>
      <c r="R444" s="65"/>
    </row>
    <row r="445" spans="1:18" ht="60.75" x14ac:dyDescent="0.2">
      <c r="A445" s="21"/>
      <c r="B445" s="21"/>
      <c r="C445" s="21"/>
      <c r="D445" s="22"/>
      <c r="E445" s="26"/>
      <c r="F445" s="26"/>
      <c r="G445" s="26"/>
      <c r="H445" s="26"/>
      <c r="I445" s="66"/>
      <c r="J445" s="26"/>
      <c r="K445" s="26"/>
      <c r="L445" s="26"/>
      <c r="M445" s="26"/>
      <c r="N445" s="26"/>
      <c r="O445" s="26"/>
      <c r="P445" s="26"/>
      <c r="Q445" s="85"/>
      <c r="R445" s="65"/>
    </row>
    <row r="446" spans="1:18" ht="60.75" x14ac:dyDescent="0.2">
      <c r="D446" s="22"/>
      <c r="E446" s="37"/>
      <c r="F446" s="67"/>
      <c r="O446" s="55"/>
      <c r="P446" s="55"/>
    </row>
    <row r="447" spans="1:18" ht="60.75" x14ac:dyDescent="0.2">
      <c r="A447" s="21"/>
      <c r="B447" s="21"/>
      <c r="C447" s="21"/>
      <c r="D447" s="22"/>
      <c r="E447" s="37"/>
      <c r="F447" s="62"/>
      <c r="G447" s="64"/>
      <c r="I447" s="68"/>
      <c r="J447" s="59"/>
      <c r="K447" s="59"/>
      <c r="L447" s="21"/>
      <c r="M447" s="21"/>
      <c r="N447" s="21"/>
      <c r="O447" s="21"/>
      <c r="P447" s="55"/>
    </row>
    <row r="448" spans="1:18" ht="62.25" x14ac:dyDescent="0.8">
      <c r="A448" s="21"/>
      <c r="B448" s="21"/>
      <c r="C448" s="21"/>
      <c r="D448" s="21"/>
      <c r="E448" s="69"/>
      <c r="F448" s="62"/>
      <c r="J448" s="59"/>
      <c r="K448" s="59"/>
      <c r="L448" s="21"/>
      <c r="M448" s="21"/>
      <c r="N448" s="21"/>
      <c r="O448" s="21"/>
      <c r="P448" s="70"/>
    </row>
    <row r="449" spans="1:16" ht="45.75" x14ac:dyDescent="0.2">
      <c r="E449" s="71"/>
      <c r="F449" s="67"/>
    </row>
    <row r="450" spans="1:16" ht="45.75" x14ac:dyDescent="0.2">
      <c r="A450" s="21"/>
      <c r="B450" s="21"/>
      <c r="C450" s="21"/>
      <c r="D450" s="21"/>
      <c r="E450" s="69"/>
      <c r="F450" s="62"/>
      <c r="L450" s="21"/>
      <c r="M450" s="21"/>
      <c r="N450" s="21"/>
      <c r="O450" s="21"/>
      <c r="P450" s="21"/>
    </row>
    <row r="451" spans="1:16" ht="45.75" x14ac:dyDescent="0.2">
      <c r="E451" s="72"/>
      <c r="F451" s="67"/>
    </row>
    <row r="452" spans="1:16" ht="45.75" x14ac:dyDescent="0.2">
      <c r="E452" s="72"/>
      <c r="F452" s="67"/>
    </row>
    <row r="453" spans="1:16" ht="45.75" x14ac:dyDescent="0.2">
      <c r="E453" s="72"/>
      <c r="F453" s="67"/>
    </row>
    <row r="454" spans="1:16" ht="45.75" x14ac:dyDescent="0.2">
      <c r="A454" s="21"/>
      <c r="B454" s="21"/>
      <c r="C454" s="21"/>
      <c r="D454" s="21"/>
      <c r="E454" s="72"/>
      <c r="F454" s="67"/>
      <c r="G454" s="21"/>
      <c r="H454" s="21"/>
      <c r="I454" s="21"/>
      <c r="J454" s="21"/>
      <c r="K454" s="21"/>
      <c r="L454" s="21"/>
      <c r="M454" s="21"/>
      <c r="N454" s="21"/>
      <c r="O454" s="21"/>
      <c r="P454" s="21"/>
    </row>
    <row r="455" spans="1:16" ht="45.75" x14ac:dyDescent="0.2">
      <c r="A455" s="21"/>
      <c r="B455" s="21"/>
      <c r="C455" s="21"/>
      <c r="D455" s="21"/>
      <c r="E455" s="72"/>
      <c r="F455" s="67"/>
      <c r="G455" s="21"/>
      <c r="H455" s="21"/>
      <c r="I455" s="21"/>
      <c r="J455" s="21"/>
      <c r="K455" s="21"/>
      <c r="L455" s="21"/>
      <c r="M455" s="21"/>
      <c r="N455" s="21"/>
      <c r="O455" s="21"/>
      <c r="P455" s="21"/>
    </row>
    <row r="456" spans="1:16" ht="45.75" x14ac:dyDescent="0.2">
      <c r="A456" s="21"/>
      <c r="B456" s="21"/>
      <c r="C456" s="21"/>
      <c r="D456" s="21"/>
      <c r="E456" s="72"/>
      <c r="F456" s="67"/>
      <c r="G456" s="21"/>
      <c r="H456" s="21"/>
      <c r="I456" s="21"/>
      <c r="J456" s="21"/>
      <c r="K456" s="21"/>
      <c r="L456" s="21"/>
      <c r="M456" s="21"/>
      <c r="N456" s="21"/>
      <c r="O456" s="21"/>
      <c r="P456" s="21"/>
    </row>
    <row r="457" spans="1:16" ht="45.75" x14ac:dyDescent="0.2">
      <c r="A457" s="21"/>
      <c r="B457" s="21"/>
      <c r="C457" s="21"/>
      <c r="D457" s="21"/>
      <c r="E457" s="72"/>
      <c r="F457" s="67"/>
      <c r="G457" s="21"/>
      <c r="H457" s="21"/>
      <c r="I457" s="21"/>
      <c r="J457" s="21"/>
      <c r="K457" s="21"/>
      <c r="L457" s="21"/>
      <c r="M457" s="21"/>
      <c r="N457" s="21"/>
      <c r="O457" s="21"/>
      <c r="P457" s="21"/>
    </row>
  </sheetData>
  <mergeCells count="99">
    <mergeCell ref="A8:B8"/>
    <mergeCell ref="N1:Q1"/>
    <mergeCell ref="N2:Q2"/>
    <mergeCell ref="O3:P3"/>
    <mergeCell ref="A5:P5"/>
    <mergeCell ref="A6:P6"/>
    <mergeCell ref="M33:M34"/>
    <mergeCell ref="N33:N34"/>
    <mergeCell ref="O33:O34"/>
    <mergeCell ref="A9:B9"/>
    <mergeCell ref="A11:A13"/>
    <mergeCell ref="B11:B13"/>
    <mergeCell ref="C11:C13"/>
    <mergeCell ref="D11:D13"/>
    <mergeCell ref="J11:O11"/>
    <mergeCell ref="P11:P13"/>
    <mergeCell ref="E12:E13"/>
    <mergeCell ref="F12:F13"/>
    <mergeCell ref="G12:H12"/>
    <mergeCell ref="I12:I13"/>
    <mergeCell ref="J12:J13"/>
    <mergeCell ref="K12:K13"/>
    <mergeCell ref="L12:L13"/>
    <mergeCell ref="M12:N12"/>
    <mergeCell ref="E11:I11"/>
    <mergeCell ref="O12:O13"/>
    <mergeCell ref="P33:P34"/>
    <mergeCell ref="A76:A77"/>
    <mergeCell ref="B76:B77"/>
    <mergeCell ref="C76:C77"/>
    <mergeCell ref="D76:D77"/>
    <mergeCell ref="K33:K34"/>
    <mergeCell ref="G33:G34"/>
    <mergeCell ref="H33:H34"/>
    <mergeCell ref="I33:I34"/>
    <mergeCell ref="J33:J34"/>
    <mergeCell ref="L33:L34"/>
    <mergeCell ref="A33:A34"/>
    <mergeCell ref="B33:B34"/>
    <mergeCell ref="C33:C34"/>
    <mergeCell ref="E33:E34"/>
    <mergeCell ref="F33:F34"/>
    <mergeCell ref="Q168:Q171"/>
    <mergeCell ref="R168:R171"/>
    <mergeCell ref="A172:A175"/>
    <mergeCell ref="B172:B175"/>
    <mergeCell ref="C172:C175"/>
    <mergeCell ref="A168:A171"/>
    <mergeCell ref="B168:B171"/>
    <mergeCell ref="C168:C171"/>
    <mergeCell ref="R172:R175"/>
    <mergeCell ref="A176:A178"/>
    <mergeCell ref="B176:B178"/>
    <mergeCell ref="C176:C178"/>
    <mergeCell ref="R179:R181"/>
    <mergeCell ref="E197:E198"/>
    <mergeCell ref="F197:F198"/>
    <mergeCell ref="R176:R178"/>
    <mergeCell ref="A179:A181"/>
    <mergeCell ref="B179:B181"/>
    <mergeCell ref="C179:C181"/>
    <mergeCell ref="M197:M198"/>
    <mergeCell ref="N197:N198"/>
    <mergeCell ref="O197:O198"/>
    <mergeCell ref="P197:P198"/>
    <mergeCell ref="I197:I198"/>
    <mergeCell ref="J197:J198"/>
    <mergeCell ref="A277:A278"/>
    <mergeCell ref="B277:B278"/>
    <mergeCell ref="C277:C278"/>
    <mergeCell ref="G197:G198"/>
    <mergeCell ref="H197:H198"/>
    <mergeCell ref="K197:K198"/>
    <mergeCell ref="L197:L198"/>
    <mergeCell ref="A197:A198"/>
    <mergeCell ref="B197:B198"/>
    <mergeCell ref="C197:C198"/>
    <mergeCell ref="G341:G342"/>
    <mergeCell ref="H341:H342"/>
    <mergeCell ref="I341:I342"/>
    <mergeCell ref="A308:A309"/>
    <mergeCell ref="B308:B309"/>
    <mergeCell ref="C308:C309"/>
    <mergeCell ref="P341:P342"/>
    <mergeCell ref="A430:P430"/>
    <mergeCell ref="D434:P434"/>
    <mergeCell ref="D435:F435"/>
    <mergeCell ref="D436:P436"/>
    <mergeCell ref="J341:J342"/>
    <mergeCell ref="K341:K342"/>
    <mergeCell ref="L341:L342"/>
    <mergeCell ref="M341:M342"/>
    <mergeCell ref="N341:N342"/>
    <mergeCell ref="O341:O342"/>
    <mergeCell ref="A341:A342"/>
    <mergeCell ref="B341:B342"/>
    <mergeCell ref="C341:C342"/>
    <mergeCell ref="E341:E342"/>
    <mergeCell ref="F341:F342"/>
  </mergeCells>
  <conditionalFormatting sqref="Q345:Q352">
    <cfRule type="iconSet" priority="17">
      <iconSet iconSet="3Arrows">
        <cfvo type="percent" val="0"/>
        <cfvo type="percent" val="33"/>
        <cfvo type="percent" val="67"/>
      </iconSet>
    </cfRule>
  </conditionalFormatting>
  <conditionalFormatting sqref="Q354:Q355">
    <cfRule type="iconSet" priority="13">
      <iconSet iconSet="3Arrows">
        <cfvo type="percent" val="0"/>
        <cfvo type="percent" val="33"/>
        <cfvo type="percent" val="67"/>
      </iconSet>
    </cfRule>
  </conditionalFormatting>
  <conditionalFormatting sqref="Q356:Q371">
    <cfRule type="iconSet" priority="21">
      <iconSet iconSet="3Arrows">
        <cfvo type="percent" val="0"/>
        <cfvo type="percent" val="33"/>
        <cfvo type="percent" val="67"/>
      </iconSet>
    </cfRule>
  </conditionalFormatting>
  <conditionalFormatting sqref="Q393:Q398">
    <cfRule type="iconSet" priority="20">
      <iconSet iconSet="3Arrows">
        <cfvo type="percent" val="0"/>
        <cfvo type="percent" val="33"/>
        <cfvo type="percent" val="67"/>
      </iconSet>
    </cfRule>
  </conditionalFormatting>
  <conditionalFormatting sqref="Q399">
    <cfRule type="iconSet" priority="2">
      <iconSet iconSet="3Arrows">
        <cfvo type="percent" val="0"/>
        <cfvo type="percent" val="33"/>
        <cfvo type="percent" val="67"/>
      </iconSet>
    </cfRule>
  </conditionalFormatting>
  <conditionalFormatting sqref="Q400:Q401">
    <cfRule type="iconSet" priority="8">
      <iconSet iconSet="3Arrows">
        <cfvo type="percent" val="0"/>
        <cfvo type="percent" val="33"/>
        <cfvo type="percent" val="67"/>
      </iconSet>
    </cfRule>
  </conditionalFormatting>
  <conditionalFormatting sqref="Q403">
    <cfRule type="iconSet" priority="3">
      <iconSet iconSet="3Arrows">
        <cfvo type="percent" val="0"/>
        <cfvo type="percent" val="33"/>
        <cfvo type="percent" val="67"/>
      </iconSet>
    </cfRule>
  </conditionalFormatting>
  <conditionalFormatting sqref="Q412">
    <cfRule type="iconSet" priority="1">
      <iconSet iconSet="3Arrows">
        <cfvo type="percent" val="0"/>
        <cfvo type="percent" val="33"/>
        <cfvo type="percent" val="67"/>
      </iconSet>
    </cfRule>
  </conditionalFormatting>
  <conditionalFormatting sqref="Q413 Q415:R419 R414:S414">
    <cfRule type="iconSet" priority="16">
      <iconSet iconSet="3Arrows">
        <cfvo type="percent" val="0"/>
        <cfvo type="percent" val="33"/>
        <cfvo type="percent" val="67"/>
      </iconSet>
    </cfRule>
  </conditionalFormatting>
  <conditionalFormatting sqref="Q414">
    <cfRule type="iconSet" priority="7">
      <iconSet iconSet="3Arrows">
        <cfvo type="percent" val="0"/>
        <cfvo type="percent" val="33"/>
        <cfvo type="percent" val="67"/>
      </iconSet>
    </cfRule>
  </conditionalFormatting>
  <conditionalFormatting sqref="Q373:R380">
    <cfRule type="iconSet" priority="23">
      <iconSet iconSet="3Arrows">
        <cfvo type="percent" val="0"/>
        <cfvo type="percent" val="33"/>
        <cfvo type="percent" val="67"/>
      </iconSet>
    </cfRule>
  </conditionalFormatting>
  <conditionalFormatting sqref="R345:R346">
    <cfRule type="iconSet" priority="11">
      <iconSet iconSet="3Arrows">
        <cfvo type="percent" val="0"/>
        <cfvo type="percent" val="33"/>
        <cfvo type="percent" val="67"/>
      </iconSet>
    </cfRule>
  </conditionalFormatting>
  <conditionalFormatting sqref="R347:R352">
    <cfRule type="iconSet" priority="10">
      <iconSet iconSet="3Arrows">
        <cfvo type="percent" val="0"/>
        <cfvo type="percent" val="33"/>
        <cfvo type="percent" val="67"/>
      </iconSet>
    </cfRule>
  </conditionalFormatting>
  <conditionalFormatting sqref="R354:R355">
    <cfRule type="iconSet" priority="12">
      <iconSet iconSet="3Arrows">
        <cfvo type="percent" val="0"/>
        <cfvo type="percent" val="33"/>
        <cfvo type="percent" val="67"/>
      </iconSet>
    </cfRule>
  </conditionalFormatting>
  <conditionalFormatting sqref="R356:R371">
    <cfRule type="iconSet" priority="22">
      <iconSet iconSet="3Arrows">
        <cfvo type="percent" val="0"/>
        <cfvo type="percent" val="33"/>
        <cfvo type="percent" val="67"/>
      </iconSet>
    </cfRule>
  </conditionalFormatting>
  <conditionalFormatting sqref="R381:R391">
    <cfRule type="iconSet" priority="18">
      <iconSet iconSet="3Arrows">
        <cfvo type="percent" val="0"/>
        <cfvo type="percent" val="33"/>
        <cfvo type="percent" val="67"/>
      </iconSet>
    </cfRule>
  </conditionalFormatting>
  <conditionalFormatting sqref="R393:R394">
    <cfRule type="iconSet" priority="9">
      <iconSet iconSet="3Arrows">
        <cfvo type="percent" val="0"/>
        <cfvo type="percent" val="33"/>
        <cfvo type="percent" val="67"/>
      </iconSet>
    </cfRule>
  </conditionalFormatting>
  <conditionalFormatting sqref="R395:R398">
    <cfRule type="iconSet" priority="19">
      <iconSet iconSet="3Arrows">
        <cfvo type="percent" val="0"/>
        <cfvo type="percent" val="33"/>
        <cfvo type="percent" val="67"/>
      </iconSet>
    </cfRule>
  </conditionalFormatting>
  <conditionalFormatting sqref="R405:R407 Q404:R404 R403">
    <cfRule type="iconSet" priority="15">
      <iconSet iconSet="3Arrows">
        <cfvo type="percent" val="0"/>
        <cfvo type="percent" val="33"/>
        <cfvo type="percent" val="67"/>
      </iconSet>
    </cfRule>
  </conditionalFormatting>
  <conditionalFormatting sqref="R408">
    <cfRule type="iconSet" priority="5">
      <iconSet iconSet="3Arrows">
        <cfvo type="percent" val="0"/>
        <cfvo type="percent" val="33"/>
        <cfvo type="percent" val="67"/>
      </iconSet>
    </cfRule>
  </conditionalFormatting>
  <conditionalFormatting sqref="R410">
    <cfRule type="iconSet" priority="4">
      <iconSet iconSet="3Arrows">
        <cfvo type="percent" val="0"/>
        <cfvo type="percent" val="33"/>
        <cfvo type="percent" val="67"/>
      </iconSet>
    </cfRule>
  </conditionalFormatting>
  <conditionalFormatting sqref="R412">
    <cfRule type="iconSet" priority="6">
      <iconSet iconSet="3Arrows">
        <cfvo type="percent" val="0"/>
        <cfvo type="percent" val="33"/>
        <cfvo type="percent" val="67"/>
      </iconSet>
    </cfRule>
  </conditionalFormatting>
  <conditionalFormatting sqref="R413">
    <cfRule type="iconSet" priority="14">
      <iconSet iconSet="3Arrows">
        <cfvo type="percent" val="0"/>
        <cfvo type="percent" val="33"/>
        <cfvo type="percent" val="67"/>
      </iconSet>
    </cfRule>
  </conditionalFormatting>
  <pageMargins left="0.23622047244094491" right="0.27559055118110237" top="0.27559055118110237" bottom="0.15748031496062992" header="0.23622047244094491" footer="0.27559055118110237"/>
  <pageSetup paperSize="9" scale="13" orientation="landscape" r:id="rId1"/>
  <headerFooter alignWithMargins="0">
    <oddFooter>&amp;C&amp;"Times New Roman Cyr,курсив"Сторінка &amp;P з &amp;N</oddFooter>
  </headerFooter>
  <rowBreaks count="2" manualBreakCount="2">
    <brk id="214" max="15" man="1"/>
    <brk id="304" max="15"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T451"/>
  <sheetViews>
    <sheetView view="pageBreakPreview" zoomScale="24" zoomScaleNormal="25" zoomScaleSheetLayoutView="24" zoomScalePageLayoutView="10" workbookViewId="0">
      <pane ySplit="14" topLeftCell="A357" activePane="bottomLeft" state="frozen"/>
      <selection activeCell="E127" sqref="E127"/>
      <selection pane="bottomLeft" activeCell="E370" sqref="E370"/>
    </sheetView>
  </sheetViews>
  <sheetFormatPr defaultColWidth="9.140625" defaultRowHeight="12.75" x14ac:dyDescent="0.2"/>
  <cols>
    <col min="1" max="1" width="48" style="18" customWidth="1"/>
    <col min="2" max="2" width="52.5703125" style="18" customWidth="1"/>
    <col min="3" max="3" width="65.7109375" style="18" customWidth="1"/>
    <col min="4" max="4" width="256.140625" style="18" customWidth="1"/>
    <col min="5" max="5" width="66.42578125" style="57" customWidth="1"/>
    <col min="6" max="6" width="62.5703125" style="18" customWidth="1"/>
    <col min="7" max="7" width="59.7109375" style="18" customWidth="1"/>
    <col min="8" max="8" width="53.140625" style="18" customWidth="1"/>
    <col min="9" max="9" width="41.85546875" style="18" customWidth="1"/>
    <col min="10" max="10" width="50.5703125" style="57" customWidth="1"/>
    <col min="11" max="11" width="52.5703125" style="57" customWidth="1"/>
    <col min="12" max="12" width="56.140625" style="18" customWidth="1"/>
    <col min="13" max="13" width="54.85546875" style="18" customWidth="1"/>
    <col min="14" max="14" width="51" style="18" customWidth="1"/>
    <col min="15" max="15" width="56.140625" style="18" bestFit="1" customWidth="1"/>
    <col min="16" max="16" width="86.28515625" style="57" customWidth="1"/>
    <col min="17" max="17" width="52.140625" style="81" customWidth="1"/>
    <col min="18" max="18" width="33.85546875" style="20" customWidth="1"/>
    <col min="19" max="19" width="40.140625" style="21" bestFit="1" customWidth="1"/>
    <col min="20" max="20" width="43.5703125" style="21" bestFit="1" customWidth="1"/>
    <col min="21" max="16384" width="9.140625" style="21"/>
  </cols>
  <sheetData>
    <row r="1" spans="1:18" ht="45.75" x14ac:dyDescent="0.2">
      <c r="A1" s="75"/>
      <c r="B1" s="75"/>
      <c r="C1" s="75"/>
      <c r="D1" s="76"/>
      <c r="E1" s="77"/>
      <c r="F1" s="78"/>
      <c r="G1" s="77"/>
      <c r="H1" s="77"/>
      <c r="I1" s="77"/>
      <c r="J1" s="77"/>
      <c r="K1" s="77"/>
      <c r="L1" s="77"/>
      <c r="M1" s="77"/>
      <c r="N1" s="806" t="s">
        <v>493</v>
      </c>
      <c r="O1" s="807"/>
      <c r="P1" s="807"/>
      <c r="Q1" s="807"/>
    </row>
    <row r="2" spans="1:18" ht="45.75" x14ac:dyDescent="0.2">
      <c r="A2" s="76"/>
      <c r="B2" s="76"/>
      <c r="C2" s="76"/>
      <c r="D2" s="76"/>
      <c r="E2" s="77"/>
      <c r="F2" s="78"/>
      <c r="G2" s="77"/>
      <c r="H2" s="77"/>
      <c r="I2" s="77"/>
      <c r="J2" s="77"/>
      <c r="K2" s="77"/>
      <c r="L2" s="77"/>
      <c r="M2" s="77"/>
      <c r="N2" s="806" t="s">
        <v>1583</v>
      </c>
      <c r="O2" s="808"/>
      <c r="P2" s="808"/>
      <c r="Q2" s="808"/>
    </row>
    <row r="3" spans="1:18" ht="40.700000000000003" customHeight="1" x14ac:dyDescent="0.2">
      <c r="A3" s="76"/>
      <c r="B3" s="76"/>
      <c r="C3" s="76"/>
      <c r="D3" s="76"/>
      <c r="E3" s="77"/>
      <c r="F3" s="78"/>
      <c r="G3" s="77"/>
      <c r="H3" s="77"/>
      <c r="I3" s="77"/>
      <c r="J3" s="77"/>
      <c r="K3" s="77"/>
      <c r="L3" s="77"/>
      <c r="M3" s="77"/>
      <c r="N3" s="77"/>
      <c r="O3" s="806"/>
      <c r="P3" s="809"/>
      <c r="Q3" s="80"/>
    </row>
    <row r="4" spans="1:18" ht="45.75" hidden="1" x14ac:dyDescent="0.2">
      <c r="A4" s="76"/>
      <c r="B4" s="76"/>
      <c r="C4" s="76"/>
      <c r="D4" s="76"/>
      <c r="E4" s="77"/>
      <c r="F4" s="78"/>
      <c r="G4" s="77"/>
      <c r="H4" s="77"/>
      <c r="I4" s="77"/>
      <c r="J4" s="77"/>
      <c r="K4" s="77"/>
      <c r="L4" s="77"/>
      <c r="M4" s="77"/>
      <c r="N4" s="77"/>
      <c r="O4" s="76"/>
      <c r="P4" s="78"/>
      <c r="Q4" s="80"/>
    </row>
    <row r="5" spans="1:18" ht="45" x14ac:dyDescent="0.2">
      <c r="A5" s="810" t="s">
        <v>565</v>
      </c>
      <c r="B5" s="810"/>
      <c r="C5" s="810"/>
      <c r="D5" s="810"/>
      <c r="E5" s="810"/>
      <c r="F5" s="810"/>
      <c r="G5" s="810"/>
      <c r="H5" s="810"/>
      <c r="I5" s="810"/>
      <c r="J5" s="810"/>
      <c r="K5" s="810"/>
      <c r="L5" s="810"/>
      <c r="M5" s="810"/>
      <c r="N5" s="810"/>
      <c r="O5" s="810"/>
      <c r="P5" s="810"/>
      <c r="Q5" s="80"/>
    </row>
    <row r="6" spans="1:18" ht="45" x14ac:dyDescent="0.2">
      <c r="A6" s="810" t="s">
        <v>1498</v>
      </c>
      <c r="B6" s="810"/>
      <c r="C6" s="810"/>
      <c r="D6" s="810"/>
      <c r="E6" s="810"/>
      <c r="F6" s="810"/>
      <c r="G6" s="810"/>
      <c r="H6" s="810"/>
      <c r="I6" s="810"/>
      <c r="J6" s="810"/>
      <c r="K6" s="810"/>
      <c r="L6" s="810"/>
      <c r="M6" s="810"/>
      <c r="N6" s="810"/>
      <c r="O6" s="810"/>
      <c r="P6" s="810"/>
      <c r="Q6" s="80"/>
    </row>
    <row r="7" spans="1:18" ht="45" x14ac:dyDescent="0.2">
      <c r="A7" s="77"/>
      <c r="B7" s="77"/>
      <c r="C7" s="77"/>
      <c r="D7" s="77"/>
      <c r="E7" s="77"/>
      <c r="F7" s="77"/>
      <c r="G7" s="77"/>
      <c r="H7" s="77"/>
      <c r="I7" s="77"/>
      <c r="J7" s="77"/>
      <c r="K7" s="77"/>
      <c r="L7" s="77"/>
      <c r="M7" s="77"/>
      <c r="N7" s="77"/>
      <c r="O7" s="77"/>
      <c r="P7" s="77"/>
      <c r="Q7" s="80"/>
    </row>
    <row r="8" spans="1:18" ht="45.75" x14ac:dyDescent="0.65">
      <c r="A8" s="811">
        <v>2256400000</v>
      </c>
      <c r="B8" s="812"/>
      <c r="C8" s="77"/>
      <c r="D8" s="398"/>
      <c r="E8" s="398"/>
      <c r="F8" s="398"/>
      <c r="G8" s="398"/>
      <c r="H8" s="398"/>
      <c r="I8" s="398"/>
      <c r="J8" s="398"/>
      <c r="K8" s="398"/>
      <c r="L8" s="398"/>
      <c r="M8" s="398"/>
      <c r="N8" s="398"/>
      <c r="O8" s="398"/>
      <c r="P8" s="398"/>
      <c r="Q8" s="13"/>
    </row>
    <row r="9" spans="1:18" ht="45.75" x14ac:dyDescent="0.2">
      <c r="A9" s="816" t="s">
        <v>490</v>
      </c>
      <c r="B9" s="817"/>
      <c r="C9" s="77"/>
      <c r="D9" s="398"/>
      <c r="E9" s="398"/>
      <c r="F9" s="398"/>
      <c r="G9" s="398"/>
      <c r="H9" s="398"/>
      <c r="I9" s="398"/>
      <c r="J9" s="398"/>
      <c r="K9" s="398"/>
      <c r="L9" s="398"/>
      <c r="M9" s="398"/>
      <c r="N9" s="398"/>
      <c r="O9" s="398"/>
      <c r="P9" s="398"/>
      <c r="Q9" s="13"/>
    </row>
    <row r="10" spans="1:18" ht="53.45" customHeight="1" thickBot="1" x14ac:dyDescent="0.25">
      <c r="A10" s="77"/>
      <c r="B10" s="77"/>
      <c r="C10" s="77"/>
      <c r="D10" s="398"/>
      <c r="E10" s="398"/>
      <c r="F10" s="399"/>
      <c r="G10" s="398"/>
      <c r="H10" s="398"/>
      <c r="I10" s="398"/>
      <c r="J10" s="398"/>
      <c r="K10" s="398"/>
      <c r="L10" s="398"/>
      <c r="M10" s="398"/>
      <c r="N10" s="398"/>
      <c r="O10" s="398"/>
      <c r="P10" s="316" t="s">
        <v>404</v>
      </c>
      <c r="Q10" s="13"/>
    </row>
    <row r="11" spans="1:18" ht="62.45" customHeight="1" thickTop="1" thickBot="1" x14ac:dyDescent="0.25">
      <c r="A11" s="815" t="s">
        <v>491</v>
      </c>
      <c r="B11" s="815" t="s">
        <v>492</v>
      </c>
      <c r="C11" s="815" t="s">
        <v>390</v>
      </c>
      <c r="D11" s="815" t="s">
        <v>573</v>
      </c>
      <c r="E11" s="813" t="s">
        <v>12</v>
      </c>
      <c r="F11" s="813"/>
      <c r="G11" s="813"/>
      <c r="H11" s="813"/>
      <c r="I11" s="813"/>
      <c r="J11" s="813" t="s">
        <v>52</v>
      </c>
      <c r="K11" s="813"/>
      <c r="L11" s="813"/>
      <c r="M11" s="813"/>
      <c r="N11" s="813"/>
      <c r="O11" s="814"/>
      <c r="P11" s="813" t="s">
        <v>11</v>
      </c>
      <c r="Q11" s="20"/>
    </row>
    <row r="12" spans="1:18" ht="96" customHeight="1" thickTop="1" thickBot="1" x14ac:dyDescent="0.25">
      <c r="A12" s="813"/>
      <c r="B12" s="818"/>
      <c r="C12" s="818"/>
      <c r="D12" s="813"/>
      <c r="E12" s="815" t="s">
        <v>384</v>
      </c>
      <c r="F12" s="815" t="s">
        <v>53</v>
      </c>
      <c r="G12" s="815" t="s">
        <v>13</v>
      </c>
      <c r="H12" s="815"/>
      <c r="I12" s="815" t="s">
        <v>55</v>
      </c>
      <c r="J12" s="815" t="s">
        <v>384</v>
      </c>
      <c r="K12" s="815" t="s">
        <v>385</v>
      </c>
      <c r="L12" s="815" t="s">
        <v>53</v>
      </c>
      <c r="M12" s="815" t="s">
        <v>13</v>
      </c>
      <c r="N12" s="815"/>
      <c r="O12" s="815" t="s">
        <v>55</v>
      </c>
      <c r="P12" s="813"/>
      <c r="Q12" s="20"/>
    </row>
    <row r="13" spans="1:18" ht="328.7" customHeight="1" thickTop="1" thickBot="1" x14ac:dyDescent="0.25">
      <c r="A13" s="818"/>
      <c r="B13" s="818"/>
      <c r="C13" s="818"/>
      <c r="D13" s="818"/>
      <c r="E13" s="815"/>
      <c r="F13" s="815"/>
      <c r="G13" s="317" t="s">
        <v>54</v>
      </c>
      <c r="H13" s="317" t="s">
        <v>15</v>
      </c>
      <c r="I13" s="815"/>
      <c r="J13" s="815"/>
      <c r="K13" s="815"/>
      <c r="L13" s="815"/>
      <c r="M13" s="317" t="s">
        <v>54</v>
      </c>
      <c r="N13" s="317" t="s">
        <v>15</v>
      </c>
      <c r="O13" s="815"/>
      <c r="P13" s="813"/>
      <c r="Q13" s="20"/>
    </row>
    <row r="14" spans="1:18" s="24" customFormat="1" ht="47.25" thickTop="1" thickBot="1" x14ac:dyDescent="0.25">
      <c r="A14" s="311" t="s">
        <v>2</v>
      </c>
      <c r="B14" s="311" t="s">
        <v>3</v>
      </c>
      <c r="C14" s="311" t="s">
        <v>14</v>
      </c>
      <c r="D14" s="311" t="s">
        <v>5</v>
      </c>
      <c r="E14" s="311" t="s">
        <v>392</v>
      </c>
      <c r="F14" s="311" t="s">
        <v>393</v>
      </c>
      <c r="G14" s="311" t="s">
        <v>394</v>
      </c>
      <c r="H14" s="311" t="s">
        <v>395</v>
      </c>
      <c r="I14" s="311" t="s">
        <v>396</v>
      </c>
      <c r="J14" s="311" t="s">
        <v>397</v>
      </c>
      <c r="K14" s="311" t="s">
        <v>398</v>
      </c>
      <c r="L14" s="311" t="s">
        <v>399</v>
      </c>
      <c r="M14" s="311" t="s">
        <v>400</v>
      </c>
      <c r="N14" s="311" t="s">
        <v>401</v>
      </c>
      <c r="O14" s="311" t="s">
        <v>402</v>
      </c>
      <c r="P14" s="311" t="s">
        <v>403</v>
      </c>
      <c r="Q14" s="126"/>
      <c r="R14" s="23"/>
    </row>
    <row r="15" spans="1:18" s="24" customFormat="1" ht="120" customHeight="1" thickTop="1" thickBot="1" x14ac:dyDescent="0.25">
      <c r="A15" s="661" t="s">
        <v>148</v>
      </c>
      <c r="B15" s="661"/>
      <c r="C15" s="661"/>
      <c r="D15" s="662" t="s">
        <v>150</v>
      </c>
      <c r="E15" s="663">
        <f>E16</f>
        <v>371081899.13999999</v>
      </c>
      <c r="F15" s="664">
        <f t="shared" ref="F15:N15" si="0">F16</f>
        <v>371081899.13999999</v>
      </c>
      <c r="G15" s="664">
        <f t="shared" si="0"/>
        <v>95820900</v>
      </c>
      <c r="H15" s="664">
        <f t="shared" si="0"/>
        <v>6241293</v>
      </c>
      <c r="I15" s="664">
        <f t="shared" si="0"/>
        <v>0</v>
      </c>
      <c r="J15" s="663">
        <f t="shared" si="0"/>
        <v>232553381.86000001</v>
      </c>
      <c r="K15" s="664">
        <f t="shared" si="0"/>
        <v>227337581.86000001</v>
      </c>
      <c r="L15" s="664">
        <f t="shared" si="0"/>
        <v>4350400</v>
      </c>
      <c r="M15" s="664">
        <f t="shared" si="0"/>
        <v>0</v>
      </c>
      <c r="N15" s="664">
        <f t="shared" si="0"/>
        <v>0</v>
      </c>
      <c r="O15" s="663">
        <f>O16</f>
        <v>228202981.86000001</v>
      </c>
      <c r="P15" s="664">
        <f t="shared" ref="P15" si="1">P16</f>
        <v>603635281</v>
      </c>
      <c r="Q15" s="25"/>
      <c r="R15" s="25"/>
    </row>
    <row r="16" spans="1:18" s="24" customFormat="1" ht="120" customHeight="1" thickTop="1" thickBot="1" x14ac:dyDescent="0.25">
      <c r="A16" s="658" t="s">
        <v>149</v>
      </c>
      <c r="B16" s="658"/>
      <c r="C16" s="658"/>
      <c r="D16" s="659" t="s">
        <v>151</v>
      </c>
      <c r="E16" s="660">
        <f>E17+E22+E33+E39</f>
        <v>371081899.13999999</v>
      </c>
      <c r="F16" s="660">
        <f>F17+F22+F33+F39</f>
        <v>371081899.13999999</v>
      </c>
      <c r="G16" s="660">
        <f>G17+G22+G33+G39</f>
        <v>95820900</v>
      </c>
      <c r="H16" s="660">
        <f>H17+H22+H33+H39</f>
        <v>6241293</v>
      </c>
      <c r="I16" s="660">
        <f>I17+I22+I33+I39</f>
        <v>0</v>
      </c>
      <c r="J16" s="660">
        <f>L16+O16</f>
        <v>232553381.86000001</v>
      </c>
      <c r="K16" s="660">
        <f>K17+K22+K33+K39</f>
        <v>227337581.86000001</v>
      </c>
      <c r="L16" s="660">
        <f>L17+L22+L33+L39</f>
        <v>4350400</v>
      </c>
      <c r="M16" s="660">
        <f>M17+M22+M33+M39</f>
        <v>0</v>
      </c>
      <c r="N16" s="660">
        <f>N17+N22+N33+N39</f>
        <v>0</v>
      </c>
      <c r="O16" s="660">
        <f>O17+O22+O33+O39</f>
        <v>228202981.86000001</v>
      </c>
      <c r="P16" s="660">
        <f>E16+J16</f>
        <v>603635281</v>
      </c>
      <c r="Q16" s="565" t="b">
        <f>P16=P18+P21+P24+P28+P30+P32+P35+P36+P38+P41+P42+P43</f>
        <v>1</v>
      </c>
      <c r="R16" s="26"/>
    </row>
    <row r="17" spans="1:18" s="28" customFormat="1" ht="47.25" thickTop="1" thickBot="1" x14ac:dyDescent="0.25">
      <c r="A17" s="311" t="s">
        <v>683</v>
      </c>
      <c r="B17" s="311" t="s">
        <v>684</v>
      </c>
      <c r="C17" s="311"/>
      <c r="D17" s="311" t="s">
        <v>685</v>
      </c>
      <c r="E17" s="328">
        <f>SUM(E18:E21)</f>
        <v>215825046</v>
      </c>
      <c r="F17" s="328">
        <f>SUM(F18:F21)</f>
        <v>215825046</v>
      </c>
      <c r="G17" s="328">
        <f t="shared" ref="G17:P17" si="2">SUM(G18:G21)</f>
        <v>95820900</v>
      </c>
      <c r="H17" s="328">
        <f t="shared" si="2"/>
        <v>6241293</v>
      </c>
      <c r="I17" s="328">
        <f t="shared" si="2"/>
        <v>0</v>
      </c>
      <c r="J17" s="328">
        <f t="shared" si="2"/>
        <v>435000</v>
      </c>
      <c r="K17" s="328">
        <f t="shared" si="2"/>
        <v>435000</v>
      </c>
      <c r="L17" s="328">
        <f t="shared" si="2"/>
        <v>0</v>
      </c>
      <c r="M17" s="328">
        <f t="shared" si="2"/>
        <v>0</v>
      </c>
      <c r="N17" s="328">
        <f t="shared" si="2"/>
        <v>0</v>
      </c>
      <c r="O17" s="328">
        <f t="shared" si="2"/>
        <v>435000</v>
      </c>
      <c r="P17" s="328">
        <f t="shared" si="2"/>
        <v>216260046</v>
      </c>
      <c r="Q17" s="31"/>
      <c r="R17" s="27"/>
    </row>
    <row r="18" spans="1:18" ht="173.25" customHeight="1" thickTop="1" thickBot="1" x14ac:dyDescent="0.25">
      <c r="A18" s="103" t="s">
        <v>232</v>
      </c>
      <c r="B18" s="103" t="s">
        <v>233</v>
      </c>
      <c r="C18" s="103" t="s">
        <v>234</v>
      </c>
      <c r="D18" s="103" t="s">
        <v>231</v>
      </c>
      <c r="E18" s="328">
        <f t="shared" ref="E18:E43" si="3">F18</f>
        <v>130683646</v>
      </c>
      <c r="F18" s="326">
        <v>130683646</v>
      </c>
      <c r="G18" s="326">
        <v>95820900</v>
      </c>
      <c r="H18" s="326">
        <f>3417000+111000+2275293+350000+88000</f>
        <v>6241293</v>
      </c>
      <c r="I18" s="326"/>
      <c r="J18" s="328">
        <f t="shared" ref="J18:J28" si="4">L18+O18</f>
        <v>435000</v>
      </c>
      <c r="K18" s="326">
        <f>(0)+435000</f>
        <v>435000</v>
      </c>
      <c r="L18" s="458"/>
      <c r="M18" s="564"/>
      <c r="N18" s="564"/>
      <c r="O18" s="459">
        <f t="shared" ref="O18:O28" si="5">K18</f>
        <v>435000</v>
      </c>
      <c r="P18" s="328">
        <f>+J18+E18</f>
        <v>131118646</v>
      </c>
      <c r="Q18" s="133"/>
      <c r="R18" s="29"/>
    </row>
    <row r="19" spans="1:18" ht="93" hidden="1" thickTop="1" thickBot="1" x14ac:dyDescent="0.25">
      <c r="A19" s="128" t="s">
        <v>584</v>
      </c>
      <c r="B19" s="128" t="s">
        <v>236</v>
      </c>
      <c r="C19" s="128" t="s">
        <v>234</v>
      </c>
      <c r="D19" s="128" t="s">
        <v>235</v>
      </c>
      <c r="E19" s="127">
        <f t="shared" si="3"/>
        <v>0</v>
      </c>
      <c r="F19" s="129"/>
      <c r="G19" s="129"/>
      <c r="H19" s="129"/>
      <c r="I19" s="129"/>
      <c r="J19" s="127">
        <f t="shared" si="4"/>
        <v>0</v>
      </c>
      <c r="K19" s="129"/>
      <c r="L19" s="130"/>
      <c r="M19" s="131"/>
      <c r="N19" s="131"/>
      <c r="O19" s="132">
        <f t="shared" si="5"/>
        <v>0</v>
      </c>
      <c r="P19" s="127">
        <f>+J19+E19</f>
        <v>0</v>
      </c>
      <c r="Q19" s="133"/>
      <c r="R19" s="29"/>
    </row>
    <row r="20" spans="1:18" ht="93" hidden="1" thickTop="1" thickBot="1" x14ac:dyDescent="0.25">
      <c r="A20" s="128" t="s">
        <v>624</v>
      </c>
      <c r="B20" s="128" t="s">
        <v>362</v>
      </c>
      <c r="C20" s="128" t="s">
        <v>625</v>
      </c>
      <c r="D20" s="128" t="s">
        <v>626</v>
      </c>
      <c r="E20" s="127">
        <f t="shared" si="3"/>
        <v>0</v>
      </c>
      <c r="F20" s="129">
        <v>0</v>
      </c>
      <c r="G20" s="129"/>
      <c r="H20" s="129"/>
      <c r="I20" s="129"/>
      <c r="J20" s="127">
        <f t="shared" si="4"/>
        <v>0</v>
      </c>
      <c r="K20" s="129"/>
      <c r="L20" s="130"/>
      <c r="M20" s="131"/>
      <c r="N20" s="131"/>
      <c r="O20" s="132">
        <f t="shared" si="5"/>
        <v>0</v>
      </c>
      <c r="P20" s="127">
        <f>+J20+E20</f>
        <v>0</v>
      </c>
      <c r="Q20" s="133"/>
      <c r="R20" s="30"/>
    </row>
    <row r="21" spans="1:18" ht="48" thickTop="1" thickBot="1" x14ac:dyDescent="0.25">
      <c r="A21" s="103" t="s">
        <v>247</v>
      </c>
      <c r="B21" s="103" t="s">
        <v>43</v>
      </c>
      <c r="C21" s="103" t="s">
        <v>42</v>
      </c>
      <c r="D21" s="103" t="s">
        <v>248</v>
      </c>
      <c r="E21" s="328">
        <f t="shared" si="3"/>
        <v>85141400</v>
      </c>
      <c r="F21" s="462">
        <f>(105141400+20000000-10000000+32000000-67690000+1000000-2000000+30000000)-23310000</f>
        <v>85141400</v>
      </c>
      <c r="G21" s="462"/>
      <c r="H21" s="462"/>
      <c r="I21" s="462"/>
      <c r="J21" s="328">
        <f t="shared" si="4"/>
        <v>0</v>
      </c>
      <c r="K21" s="462"/>
      <c r="L21" s="462"/>
      <c r="M21" s="462"/>
      <c r="N21" s="462"/>
      <c r="O21" s="459">
        <f t="shared" si="5"/>
        <v>0</v>
      </c>
      <c r="P21" s="328">
        <f>E21+J21</f>
        <v>85141400</v>
      </c>
      <c r="Q21" s="133"/>
      <c r="R21" s="30"/>
    </row>
    <row r="22" spans="1:18" s="28" customFormat="1" ht="47.25" thickTop="1" thickBot="1" x14ac:dyDescent="0.3">
      <c r="A22" s="311" t="s">
        <v>747</v>
      </c>
      <c r="B22" s="311" t="s">
        <v>748</v>
      </c>
      <c r="C22" s="311"/>
      <c r="D22" s="311" t="s">
        <v>749</v>
      </c>
      <c r="E22" s="328">
        <f t="shared" ref="E22:P22" si="6">SUM(E23:E32)-E23-E26-E29</f>
        <v>7574335</v>
      </c>
      <c r="F22" s="328">
        <f t="shared" si="6"/>
        <v>7574335</v>
      </c>
      <c r="G22" s="328">
        <f t="shared" si="6"/>
        <v>0</v>
      </c>
      <c r="H22" s="328">
        <f t="shared" si="6"/>
        <v>0</v>
      </c>
      <c r="I22" s="328">
        <f t="shared" si="6"/>
        <v>0</v>
      </c>
      <c r="J22" s="328">
        <f t="shared" si="6"/>
        <v>5215800</v>
      </c>
      <c r="K22" s="328">
        <f t="shared" si="6"/>
        <v>0</v>
      </c>
      <c r="L22" s="328">
        <f t="shared" si="6"/>
        <v>4350400</v>
      </c>
      <c r="M22" s="328">
        <f t="shared" si="6"/>
        <v>0</v>
      </c>
      <c r="N22" s="328">
        <f t="shared" si="6"/>
        <v>0</v>
      </c>
      <c r="O22" s="328">
        <f t="shared" si="6"/>
        <v>865400</v>
      </c>
      <c r="P22" s="328">
        <f t="shared" si="6"/>
        <v>12790135</v>
      </c>
      <c r="Q22" s="135"/>
      <c r="R22" s="31"/>
    </row>
    <row r="23" spans="1:18" s="33" customFormat="1" ht="47.25" thickTop="1" thickBot="1" x14ac:dyDescent="0.25">
      <c r="A23" s="313" t="s">
        <v>686</v>
      </c>
      <c r="B23" s="313" t="s">
        <v>687</v>
      </c>
      <c r="C23" s="313"/>
      <c r="D23" s="313" t="s">
        <v>688</v>
      </c>
      <c r="E23" s="315">
        <f t="shared" ref="E23:P23" si="7">SUM(E24:E25)</f>
        <v>4883000</v>
      </c>
      <c r="F23" s="315">
        <f t="shared" si="7"/>
        <v>4883000</v>
      </c>
      <c r="G23" s="315">
        <f t="shared" si="7"/>
        <v>0</v>
      </c>
      <c r="H23" s="315">
        <f t="shared" si="7"/>
        <v>0</v>
      </c>
      <c r="I23" s="315">
        <f t="shared" si="7"/>
        <v>0</v>
      </c>
      <c r="J23" s="315">
        <f t="shared" si="7"/>
        <v>0</v>
      </c>
      <c r="K23" s="315">
        <f t="shared" si="7"/>
        <v>0</v>
      </c>
      <c r="L23" s="315">
        <f t="shared" si="7"/>
        <v>0</v>
      </c>
      <c r="M23" s="315">
        <f t="shared" si="7"/>
        <v>0</v>
      </c>
      <c r="N23" s="315">
        <f t="shared" si="7"/>
        <v>0</v>
      </c>
      <c r="O23" s="315">
        <f t="shared" si="7"/>
        <v>0</v>
      </c>
      <c r="P23" s="315">
        <f t="shared" si="7"/>
        <v>4883000</v>
      </c>
      <c r="Q23" s="138"/>
      <c r="R23" s="32"/>
    </row>
    <row r="24" spans="1:18" ht="48" thickTop="1" thickBot="1" x14ac:dyDescent="0.25">
      <c r="A24" s="103" t="s">
        <v>238</v>
      </c>
      <c r="B24" s="103" t="s">
        <v>239</v>
      </c>
      <c r="C24" s="103" t="s">
        <v>240</v>
      </c>
      <c r="D24" s="103" t="s">
        <v>237</v>
      </c>
      <c r="E24" s="328">
        <f t="shared" si="3"/>
        <v>4883000</v>
      </c>
      <c r="F24" s="462">
        <v>4883000</v>
      </c>
      <c r="G24" s="462"/>
      <c r="H24" s="462"/>
      <c r="I24" s="462"/>
      <c r="J24" s="328">
        <f t="shared" si="4"/>
        <v>0</v>
      </c>
      <c r="K24" s="462"/>
      <c r="L24" s="462"/>
      <c r="M24" s="462"/>
      <c r="N24" s="462"/>
      <c r="O24" s="459">
        <f t="shared" si="5"/>
        <v>0</v>
      </c>
      <c r="P24" s="328">
        <f>+J24+E24</f>
        <v>4883000</v>
      </c>
      <c r="Q24" s="133"/>
      <c r="R24" s="29"/>
    </row>
    <row r="25" spans="1:18" ht="93" hidden="1" thickTop="1" thickBot="1" x14ac:dyDescent="0.25">
      <c r="A25" s="41" t="s">
        <v>976</v>
      </c>
      <c r="B25" s="41" t="s">
        <v>977</v>
      </c>
      <c r="C25" s="41" t="s">
        <v>240</v>
      </c>
      <c r="D25" s="41" t="s">
        <v>978</v>
      </c>
      <c r="E25" s="127">
        <f t="shared" si="3"/>
        <v>0</v>
      </c>
      <c r="F25" s="134">
        <v>0</v>
      </c>
      <c r="G25" s="134"/>
      <c r="H25" s="134"/>
      <c r="I25" s="134"/>
      <c r="J25" s="127">
        <f t="shared" si="4"/>
        <v>0</v>
      </c>
      <c r="K25" s="43"/>
      <c r="L25" s="43"/>
      <c r="M25" s="43"/>
      <c r="N25" s="43"/>
      <c r="O25" s="44"/>
      <c r="P25" s="42">
        <f>+J25+E25</f>
        <v>0</v>
      </c>
      <c r="Q25" s="133"/>
      <c r="R25" s="29"/>
    </row>
    <row r="26" spans="1:18" ht="47.25" thickTop="1" thickBot="1" x14ac:dyDescent="0.25">
      <c r="A26" s="313" t="s">
        <v>690</v>
      </c>
      <c r="B26" s="313" t="s">
        <v>691</v>
      </c>
      <c r="C26" s="313"/>
      <c r="D26" s="313" t="s">
        <v>689</v>
      </c>
      <c r="E26" s="315">
        <f>SUM(E28)+E29+E27</f>
        <v>2691335</v>
      </c>
      <c r="F26" s="315">
        <f t="shared" ref="F26:P26" si="8">SUM(F28)+F29+F27</f>
        <v>2691335</v>
      </c>
      <c r="G26" s="315">
        <f t="shared" si="8"/>
        <v>0</v>
      </c>
      <c r="H26" s="315">
        <f t="shared" si="8"/>
        <v>0</v>
      </c>
      <c r="I26" s="315">
        <f t="shared" si="8"/>
        <v>0</v>
      </c>
      <c r="J26" s="315">
        <f t="shared" si="8"/>
        <v>5215800</v>
      </c>
      <c r="K26" s="315">
        <f t="shared" si="8"/>
        <v>0</v>
      </c>
      <c r="L26" s="315">
        <f t="shared" si="8"/>
        <v>4350400</v>
      </c>
      <c r="M26" s="315">
        <f t="shared" si="8"/>
        <v>0</v>
      </c>
      <c r="N26" s="315">
        <f t="shared" si="8"/>
        <v>0</v>
      </c>
      <c r="O26" s="315">
        <f t="shared" si="8"/>
        <v>865400</v>
      </c>
      <c r="P26" s="315">
        <f t="shared" si="8"/>
        <v>7907135</v>
      </c>
      <c r="Q26" s="139"/>
      <c r="R26" s="34"/>
    </row>
    <row r="27" spans="1:18" ht="48" hidden="1" thickTop="1" thickBot="1" x14ac:dyDescent="0.25">
      <c r="A27" s="103" t="s">
        <v>1404</v>
      </c>
      <c r="B27" s="103" t="s">
        <v>212</v>
      </c>
      <c r="C27" s="103" t="s">
        <v>213</v>
      </c>
      <c r="D27" s="103" t="s">
        <v>41</v>
      </c>
      <c r="E27" s="328">
        <f t="shared" si="3"/>
        <v>0</v>
      </c>
      <c r="F27" s="462"/>
      <c r="G27" s="462"/>
      <c r="H27" s="462"/>
      <c r="I27" s="462"/>
      <c r="J27" s="328">
        <f t="shared" si="4"/>
        <v>0</v>
      </c>
      <c r="K27" s="462"/>
      <c r="L27" s="462"/>
      <c r="M27" s="462"/>
      <c r="N27" s="462"/>
      <c r="O27" s="459">
        <f t="shared" si="5"/>
        <v>0</v>
      </c>
      <c r="P27" s="328">
        <f>+J27+E27</f>
        <v>0</v>
      </c>
      <c r="Q27" s="139"/>
      <c r="R27" s="34"/>
    </row>
    <row r="28" spans="1:18" ht="48" thickTop="1" thickBot="1" x14ac:dyDescent="0.25">
      <c r="A28" s="103" t="s">
        <v>299</v>
      </c>
      <c r="B28" s="103" t="s">
        <v>300</v>
      </c>
      <c r="C28" s="103" t="s">
        <v>170</v>
      </c>
      <c r="D28" s="103" t="s">
        <v>442</v>
      </c>
      <c r="E28" s="328">
        <f t="shared" si="3"/>
        <v>329335</v>
      </c>
      <c r="F28" s="462">
        <v>329335</v>
      </c>
      <c r="G28" s="462"/>
      <c r="H28" s="462"/>
      <c r="I28" s="462"/>
      <c r="J28" s="328">
        <f t="shared" si="4"/>
        <v>0</v>
      </c>
      <c r="K28" s="462"/>
      <c r="L28" s="462"/>
      <c r="M28" s="462"/>
      <c r="N28" s="462"/>
      <c r="O28" s="459">
        <f t="shared" si="5"/>
        <v>0</v>
      </c>
      <c r="P28" s="328">
        <f>+J28+E28</f>
        <v>329335</v>
      </c>
      <c r="Q28" s="133"/>
      <c r="R28" s="30"/>
    </row>
    <row r="29" spans="1:18" ht="48" thickTop="1" thickBot="1" x14ac:dyDescent="0.25">
      <c r="A29" s="329" t="s">
        <v>693</v>
      </c>
      <c r="B29" s="329" t="s">
        <v>694</v>
      </c>
      <c r="C29" s="329"/>
      <c r="D29" s="566" t="s">
        <v>692</v>
      </c>
      <c r="E29" s="325">
        <f>SUM(E30:E32)</f>
        <v>2362000</v>
      </c>
      <c r="F29" s="325">
        <f t="shared" ref="F29:O29" si="9">SUM(F30:F32)</f>
        <v>2362000</v>
      </c>
      <c r="G29" s="325">
        <f t="shared" si="9"/>
        <v>0</v>
      </c>
      <c r="H29" s="325">
        <f t="shared" si="9"/>
        <v>0</v>
      </c>
      <c r="I29" s="325">
        <f t="shared" si="9"/>
        <v>0</v>
      </c>
      <c r="J29" s="325">
        <f t="shared" si="9"/>
        <v>5215800</v>
      </c>
      <c r="K29" s="325">
        <f t="shared" si="9"/>
        <v>0</v>
      </c>
      <c r="L29" s="325">
        <f t="shared" si="9"/>
        <v>4350400</v>
      </c>
      <c r="M29" s="325">
        <f t="shared" si="9"/>
        <v>0</v>
      </c>
      <c r="N29" s="325">
        <f t="shared" si="9"/>
        <v>0</v>
      </c>
      <c r="O29" s="325">
        <f t="shared" si="9"/>
        <v>865400</v>
      </c>
      <c r="P29" s="325">
        <f>E29+J29</f>
        <v>7577800</v>
      </c>
      <c r="Q29" s="139"/>
      <c r="R29" s="35"/>
    </row>
    <row r="30" spans="1:18" s="33" customFormat="1" ht="156.75" customHeight="1" thickTop="1" thickBot="1" x14ac:dyDescent="0.7">
      <c r="A30" s="796" t="s">
        <v>339</v>
      </c>
      <c r="B30" s="796" t="s">
        <v>338</v>
      </c>
      <c r="C30" s="796" t="s">
        <v>170</v>
      </c>
      <c r="D30" s="567" t="s">
        <v>440</v>
      </c>
      <c r="E30" s="826">
        <f t="shared" si="3"/>
        <v>0</v>
      </c>
      <c r="F30" s="801"/>
      <c r="G30" s="801"/>
      <c r="H30" s="801"/>
      <c r="I30" s="801"/>
      <c r="J30" s="827">
        <f>L30+O30</f>
        <v>5215800</v>
      </c>
      <c r="K30" s="801"/>
      <c r="L30" s="801">
        <f>2604400+176000+570000+1000000</f>
        <v>4350400</v>
      </c>
      <c r="M30" s="801"/>
      <c r="N30" s="801"/>
      <c r="O30" s="822">
        <v>865400</v>
      </c>
      <c r="P30" s="824">
        <f>E30+J30</f>
        <v>5215800</v>
      </c>
      <c r="Q30" s="142"/>
      <c r="R30" s="36"/>
    </row>
    <row r="31" spans="1:18" s="33" customFormat="1" ht="120.75" customHeight="1" thickTop="1" thickBot="1" x14ac:dyDescent="0.25">
      <c r="A31" s="804"/>
      <c r="B31" s="803"/>
      <c r="C31" s="804"/>
      <c r="D31" s="568" t="s">
        <v>441</v>
      </c>
      <c r="E31" s="804"/>
      <c r="F31" s="802"/>
      <c r="G31" s="802"/>
      <c r="H31" s="802"/>
      <c r="I31" s="802"/>
      <c r="J31" s="828"/>
      <c r="K31" s="802"/>
      <c r="L31" s="802"/>
      <c r="M31" s="802"/>
      <c r="N31" s="802"/>
      <c r="O31" s="823"/>
      <c r="P31" s="825"/>
      <c r="Q31" s="36"/>
      <c r="R31" s="36"/>
    </row>
    <row r="32" spans="1:18" s="33" customFormat="1" ht="48" thickTop="1" thickBot="1" x14ac:dyDescent="0.25">
      <c r="A32" s="103" t="s">
        <v>914</v>
      </c>
      <c r="B32" s="103" t="s">
        <v>257</v>
      </c>
      <c r="C32" s="103" t="s">
        <v>170</v>
      </c>
      <c r="D32" s="103" t="s">
        <v>255</v>
      </c>
      <c r="E32" s="328">
        <f>F32</f>
        <v>2362000</v>
      </c>
      <c r="F32" s="462">
        <v>2362000</v>
      </c>
      <c r="G32" s="462"/>
      <c r="H32" s="462"/>
      <c r="I32" s="462"/>
      <c r="J32" s="328">
        <f>L32+O32</f>
        <v>0</v>
      </c>
      <c r="K32" s="462"/>
      <c r="L32" s="462"/>
      <c r="M32" s="462"/>
      <c r="N32" s="462"/>
      <c r="O32" s="459"/>
      <c r="P32" s="328">
        <f>E32+J32</f>
        <v>2362000</v>
      </c>
      <c r="Q32" s="36"/>
      <c r="R32" s="36"/>
    </row>
    <row r="33" spans="1:18" s="33" customFormat="1" ht="46.5" customHeight="1" thickTop="1" thickBot="1" x14ac:dyDescent="0.25">
      <c r="A33" s="311" t="s">
        <v>695</v>
      </c>
      <c r="B33" s="311" t="s">
        <v>696</v>
      </c>
      <c r="C33" s="311"/>
      <c r="D33" s="311" t="s">
        <v>697</v>
      </c>
      <c r="E33" s="328">
        <f t="shared" ref="E33:P33" si="10">E37+E34</f>
        <v>45062000</v>
      </c>
      <c r="F33" s="328">
        <f t="shared" si="10"/>
        <v>45062000</v>
      </c>
      <c r="G33" s="328">
        <f t="shared" si="10"/>
        <v>0</v>
      </c>
      <c r="H33" s="328">
        <f t="shared" si="10"/>
        <v>0</v>
      </c>
      <c r="I33" s="328">
        <f t="shared" si="10"/>
        <v>0</v>
      </c>
      <c r="J33" s="328">
        <f t="shared" si="10"/>
        <v>100500000</v>
      </c>
      <c r="K33" s="328">
        <f t="shared" si="10"/>
        <v>100500000</v>
      </c>
      <c r="L33" s="328">
        <f t="shared" si="10"/>
        <v>0</v>
      </c>
      <c r="M33" s="328">
        <f t="shared" si="10"/>
        <v>0</v>
      </c>
      <c r="N33" s="328">
        <f t="shared" si="10"/>
        <v>0</v>
      </c>
      <c r="O33" s="328">
        <f t="shared" si="10"/>
        <v>100500000</v>
      </c>
      <c r="P33" s="328">
        <f t="shared" si="10"/>
        <v>145562000</v>
      </c>
      <c r="Q33" s="36"/>
      <c r="R33" s="36"/>
    </row>
    <row r="34" spans="1:18" s="33" customFormat="1" ht="47.25" thickTop="1" thickBot="1" x14ac:dyDescent="0.25">
      <c r="A34" s="313" t="s">
        <v>1185</v>
      </c>
      <c r="B34" s="313" t="s">
        <v>1186</v>
      </c>
      <c r="C34" s="313"/>
      <c r="D34" s="313" t="s">
        <v>1184</v>
      </c>
      <c r="E34" s="315">
        <f t="shared" ref="E34:P34" si="11">SUM(E35:E36)</f>
        <v>34862000</v>
      </c>
      <c r="F34" s="315">
        <f t="shared" si="11"/>
        <v>34862000</v>
      </c>
      <c r="G34" s="315">
        <f t="shared" si="11"/>
        <v>0</v>
      </c>
      <c r="H34" s="315">
        <f t="shared" si="11"/>
        <v>0</v>
      </c>
      <c r="I34" s="315">
        <f t="shared" si="11"/>
        <v>0</v>
      </c>
      <c r="J34" s="315">
        <f t="shared" si="11"/>
        <v>100500000</v>
      </c>
      <c r="K34" s="315">
        <f t="shared" si="11"/>
        <v>100500000</v>
      </c>
      <c r="L34" s="315">
        <f t="shared" si="11"/>
        <v>0</v>
      </c>
      <c r="M34" s="315">
        <f t="shared" si="11"/>
        <v>0</v>
      </c>
      <c r="N34" s="315">
        <f t="shared" si="11"/>
        <v>0</v>
      </c>
      <c r="O34" s="315">
        <f t="shared" si="11"/>
        <v>100500000</v>
      </c>
      <c r="P34" s="315">
        <f t="shared" si="11"/>
        <v>135362000</v>
      </c>
      <c r="Q34" s="36"/>
      <c r="R34" s="36"/>
    </row>
    <row r="35" spans="1:18" s="33" customFormat="1" ht="48" thickTop="1" thickBot="1" x14ac:dyDescent="0.25">
      <c r="A35" s="103" t="s">
        <v>1212</v>
      </c>
      <c r="B35" s="103" t="s">
        <v>1213</v>
      </c>
      <c r="C35" s="103" t="s">
        <v>1188</v>
      </c>
      <c r="D35" s="103" t="s">
        <v>1214</v>
      </c>
      <c r="E35" s="328">
        <f>F35</f>
        <v>26000000</v>
      </c>
      <c r="F35" s="462">
        <f>5000000+3000000+8000000+10000000</f>
        <v>26000000</v>
      </c>
      <c r="G35" s="462"/>
      <c r="H35" s="462"/>
      <c r="I35" s="462"/>
      <c r="J35" s="328">
        <f>L35+O35</f>
        <v>100500000</v>
      </c>
      <c r="K35" s="462">
        <f>(25000000+15000000)+60500000</f>
        <v>100500000</v>
      </c>
      <c r="L35" s="462"/>
      <c r="M35" s="462"/>
      <c r="N35" s="462"/>
      <c r="O35" s="459">
        <f>K35</f>
        <v>100500000</v>
      </c>
      <c r="P35" s="328">
        <f>E35+J35</f>
        <v>126500000</v>
      </c>
      <c r="Q35" s="36"/>
      <c r="R35" s="36"/>
    </row>
    <row r="36" spans="1:18" s="33" customFormat="1" ht="48" thickTop="1" thickBot="1" x14ac:dyDescent="0.25">
      <c r="A36" s="103" t="s">
        <v>1189</v>
      </c>
      <c r="B36" s="103" t="s">
        <v>1190</v>
      </c>
      <c r="C36" s="103" t="s">
        <v>1188</v>
      </c>
      <c r="D36" s="103" t="s">
        <v>1187</v>
      </c>
      <c r="E36" s="328">
        <f>F36</f>
        <v>8862000</v>
      </c>
      <c r="F36" s="462">
        <v>8862000</v>
      </c>
      <c r="G36" s="462"/>
      <c r="H36" s="462"/>
      <c r="I36" s="462"/>
      <c r="J36" s="328">
        <f>L36+O36</f>
        <v>0</v>
      </c>
      <c r="K36" s="462">
        <v>0</v>
      </c>
      <c r="L36" s="462"/>
      <c r="M36" s="462"/>
      <c r="N36" s="462"/>
      <c r="O36" s="459">
        <f>K36</f>
        <v>0</v>
      </c>
      <c r="P36" s="328">
        <f>E36+J36</f>
        <v>8862000</v>
      </c>
      <c r="Q36" s="36"/>
      <c r="R36" s="36"/>
    </row>
    <row r="37" spans="1:18" s="33" customFormat="1" ht="47.25" thickTop="1" thickBot="1" x14ac:dyDescent="0.25">
      <c r="A37" s="313" t="s">
        <v>698</v>
      </c>
      <c r="B37" s="313" t="s">
        <v>699</v>
      </c>
      <c r="C37" s="313"/>
      <c r="D37" s="313" t="s">
        <v>700</v>
      </c>
      <c r="E37" s="315">
        <f>SUM(E38)</f>
        <v>10200000</v>
      </c>
      <c r="F37" s="315">
        <f t="shared" ref="F37:P37" si="12">SUM(F38)</f>
        <v>10200000</v>
      </c>
      <c r="G37" s="315">
        <f t="shared" si="12"/>
        <v>0</v>
      </c>
      <c r="H37" s="315">
        <f t="shared" si="12"/>
        <v>0</v>
      </c>
      <c r="I37" s="315">
        <f t="shared" si="12"/>
        <v>0</v>
      </c>
      <c r="J37" s="315">
        <f t="shared" si="12"/>
        <v>0</v>
      </c>
      <c r="K37" s="315">
        <f t="shared" si="12"/>
        <v>0</v>
      </c>
      <c r="L37" s="315">
        <f t="shared" si="12"/>
        <v>0</v>
      </c>
      <c r="M37" s="315">
        <f t="shared" si="12"/>
        <v>0</v>
      </c>
      <c r="N37" s="315">
        <f t="shared" si="12"/>
        <v>0</v>
      </c>
      <c r="O37" s="315">
        <f t="shared" si="12"/>
        <v>0</v>
      </c>
      <c r="P37" s="315">
        <f t="shared" si="12"/>
        <v>10200000</v>
      </c>
      <c r="Q37" s="36"/>
    </row>
    <row r="38" spans="1:18" ht="48" thickTop="1" thickBot="1" x14ac:dyDescent="0.25">
      <c r="A38" s="103" t="s">
        <v>241</v>
      </c>
      <c r="B38" s="103" t="s">
        <v>242</v>
      </c>
      <c r="C38" s="103" t="s">
        <v>243</v>
      </c>
      <c r="D38" s="103" t="s">
        <v>244</v>
      </c>
      <c r="E38" s="328">
        <f>F38</f>
        <v>10200000</v>
      </c>
      <c r="F38" s="462">
        <v>10200000</v>
      </c>
      <c r="G38" s="462"/>
      <c r="H38" s="462"/>
      <c r="I38" s="462"/>
      <c r="J38" s="328">
        <f>L38+O38</f>
        <v>0</v>
      </c>
      <c r="K38" s="462">
        <v>0</v>
      </c>
      <c r="L38" s="462"/>
      <c r="M38" s="462"/>
      <c r="N38" s="462"/>
      <c r="O38" s="459">
        <f>K38</f>
        <v>0</v>
      </c>
      <c r="P38" s="328">
        <f>E38+J38</f>
        <v>10200000</v>
      </c>
      <c r="Q38" s="20"/>
    </row>
    <row r="39" spans="1:18" ht="47.25" thickTop="1" thickBot="1" x14ac:dyDescent="0.25">
      <c r="A39" s="311" t="s">
        <v>701</v>
      </c>
      <c r="B39" s="311" t="s">
        <v>702</v>
      </c>
      <c r="C39" s="311"/>
      <c r="D39" s="311" t="s">
        <v>703</v>
      </c>
      <c r="E39" s="328">
        <f>E40+E43</f>
        <v>102620518.14</v>
      </c>
      <c r="F39" s="328">
        <f t="shared" ref="F39:P39" si="13">F40+F43</f>
        <v>102620518.14</v>
      </c>
      <c r="G39" s="328">
        <f t="shared" si="13"/>
        <v>0</v>
      </c>
      <c r="H39" s="328">
        <f t="shared" si="13"/>
        <v>0</v>
      </c>
      <c r="I39" s="328">
        <f t="shared" si="13"/>
        <v>0</v>
      </c>
      <c r="J39" s="328">
        <f t="shared" si="13"/>
        <v>126402581.86</v>
      </c>
      <c r="K39" s="328">
        <f t="shared" si="13"/>
        <v>126402581.86</v>
      </c>
      <c r="L39" s="328">
        <f t="shared" si="13"/>
        <v>0</v>
      </c>
      <c r="M39" s="328">
        <f t="shared" si="13"/>
        <v>0</v>
      </c>
      <c r="N39" s="328">
        <f t="shared" si="13"/>
        <v>0</v>
      </c>
      <c r="O39" s="328">
        <f t="shared" si="13"/>
        <v>126402581.86</v>
      </c>
      <c r="P39" s="328">
        <f t="shared" si="13"/>
        <v>229023100</v>
      </c>
      <c r="Q39" s="20"/>
    </row>
    <row r="40" spans="1:18" s="33" customFormat="1" ht="91.5" thickTop="1" thickBot="1" x14ac:dyDescent="0.25">
      <c r="A40" s="313" t="s">
        <v>704</v>
      </c>
      <c r="B40" s="313" t="s">
        <v>705</v>
      </c>
      <c r="C40" s="313"/>
      <c r="D40" s="313" t="s">
        <v>706</v>
      </c>
      <c r="E40" s="315">
        <f>SUM(E41:E42)</f>
        <v>1333600</v>
      </c>
      <c r="F40" s="315">
        <f t="shared" ref="F40:P40" si="14">SUM(F41:F42)</f>
        <v>1333600</v>
      </c>
      <c r="G40" s="315">
        <f t="shared" si="14"/>
        <v>0</v>
      </c>
      <c r="H40" s="315">
        <f t="shared" si="14"/>
        <v>0</v>
      </c>
      <c r="I40" s="315">
        <f t="shared" si="14"/>
        <v>0</v>
      </c>
      <c r="J40" s="315">
        <f t="shared" si="14"/>
        <v>0</v>
      </c>
      <c r="K40" s="315">
        <f t="shared" si="14"/>
        <v>0</v>
      </c>
      <c r="L40" s="315">
        <f t="shared" si="14"/>
        <v>0</v>
      </c>
      <c r="M40" s="315">
        <f t="shared" si="14"/>
        <v>0</v>
      </c>
      <c r="N40" s="315">
        <f t="shared" si="14"/>
        <v>0</v>
      </c>
      <c r="O40" s="315">
        <f t="shared" si="14"/>
        <v>0</v>
      </c>
      <c r="P40" s="315">
        <f t="shared" si="14"/>
        <v>1333600</v>
      </c>
      <c r="Q40" s="36"/>
      <c r="R40" s="36"/>
    </row>
    <row r="41" spans="1:18" ht="138.75" thickTop="1" thickBot="1" x14ac:dyDescent="0.25">
      <c r="A41" s="103" t="s">
        <v>245</v>
      </c>
      <c r="B41" s="103" t="s">
        <v>246</v>
      </c>
      <c r="C41" s="103" t="s">
        <v>43</v>
      </c>
      <c r="D41" s="103" t="s">
        <v>443</v>
      </c>
      <c r="E41" s="328">
        <f t="shared" si="3"/>
        <v>1178000</v>
      </c>
      <c r="F41" s="462">
        <v>1178000</v>
      </c>
      <c r="G41" s="462"/>
      <c r="H41" s="462"/>
      <c r="I41" s="462"/>
      <c r="J41" s="328">
        <f>L41+O41</f>
        <v>0</v>
      </c>
      <c r="K41" s="462"/>
      <c r="L41" s="462"/>
      <c r="M41" s="462"/>
      <c r="N41" s="462"/>
      <c r="O41" s="459">
        <f>K41</f>
        <v>0</v>
      </c>
      <c r="P41" s="328">
        <f>E41+J41</f>
        <v>1178000</v>
      </c>
      <c r="Q41" s="20"/>
    </row>
    <row r="42" spans="1:18" ht="48" thickTop="1" thickBot="1" x14ac:dyDescent="0.25">
      <c r="A42" s="103" t="s">
        <v>575</v>
      </c>
      <c r="B42" s="103" t="s">
        <v>363</v>
      </c>
      <c r="C42" s="103" t="s">
        <v>43</v>
      </c>
      <c r="D42" s="103" t="s">
        <v>364</v>
      </c>
      <c r="E42" s="328">
        <f t="shared" si="3"/>
        <v>155600</v>
      </c>
      <c r="F42" s="462">
        <v>155600</v>
      </c>
      <c r="G42" s="462"/>
      <c r="H42" s="462"/>
      <c r="I42" s="462"/>
      <c r="J42" s="328">
        <f>L42+O42</f>
        <v>0</v>
      </c>
      <c r="K42" s="462">
        <f>(1000000)-1000000</f>
        <v>0</v>
      </c>
      <c r="L42" s="462"/>
      <c r="M42" s="462"/>
      <c r="N42" s="462"/>
      <c r="O42" s="459">
        <f>K42</f>
        <v>0</v>
      </c>
      <c r="P42" s="328">
        <f>E42+J42</f>
        <v>155600</v>
      </c>
      <c r="Q42" s="20"/>
    </row>
    <row r="43" spans="1:18" ht="91.5" thickTop="1" thickBot="1" x14ac:dyDescent="0.25">
      <c r="A43" s="313" t="s">
        <v>513</v>
      </c>
      <c r="B43" s="313" t="s">
        <v>514</v>
      </c>
      <c r="C43" s="313" t="s">
        <v>43</v>
      </c>
      <c r="D43" s="313" t="s">
        <v>515</v>
      </c>
      <c r="E43" s="315">
        <f t="shared" si="3"/>
        <v>101286918.14</v>
      </c>
      <c r="F43" s="315">
        <f>(40873318.14-300000+2000000)+58713600</f>
        <v>101286918.14</v>
      </c>
      <c r="G43" s="137"/>
      <c r="H43" s="137"/>
      <c r="I43" s="137"/>
      <c r="J43" s="315">
        <f>L43+O43</f>
        <v>126402581.86</v>
      </c>
      <c r="K43" s="462">
        <f>(26816681.86-700000)+100285900</f>
        <v>126402581.86</v>
      </c>
      <c r="L43" s="315"/>
      <c r="M43" s="315"/>
      <c r="N43" s="315"/>
      <c r="O43" s="315">
        <f>K43</f>
        <v>126402581.86</v>
      </c>
      <c r="P43" s="315">
        <f>E43+J43</f>
        <v>227689500</v>
      </c>
      <c r="Q43" s="20"/>
      <c r="R43" s="26"/>
    </row>
    <row r="44" spans="1:18" ht="120" customHeight="1" thickTop="1" thickBot="1" x14ac:dyDescent="0.25">
      <c r="A44" s="661" t="s">
        <v>152</v>
      </c>
      <c r="B44" s="661"/>
      <c r="C44" s="661"/>
      <c r="D44" s="662" t="s">
        <v>0</v>
      </c>
      <c r="E44" s="663">
        <f>E45</f>
        <v>2206685836.75</v>
      </c>
      <c r="F44" s="664">
        <f t="shared" ref="F44" si="15">F45</f>
        <v>2206685836.75</v>
      </c>
      <c r="G44" s="664">
        <f>G45</f>
        <v>1496710581.3899999</v>
      </c>
      <c r="H44" s="664">
        <f>H45</f>
        <v>170779075.50999999</v>
      </c>
      <c r="I44" s="664">
        <f t="shared" ref="I44" si="16">I45</f>
        <v>0</v>
      </c>
      <c r="J44" s="663">
        <f>J45</f>
        <v>303963699.87</v>
      </c>
      <c r="K44" s="664">
        <f>K45</f>
        <v>85788299.719999999</v>
      </c>
      <c r="L44" s="664">
        <f>L45</f>
        <v>206351947.15000001</v>
      </c>
      <c r="M44" s="664">
        <f t="shared" ref="M44" si="17">M45</f>
        <v>53944610</v>
      </c>
      <c r="N44" s="664">
        <f>N45</f>
        <v>17336870</v>
      </c>
      <c r="O44" s="663">
        <f>O45</f>
        <v>97611752.719999999</v>
      </c>
      <c r="P44" s="664">
        <f t="shared" ref="P44" si="18">P45</f>
        <v>2510649536.6199999</v>
      </c>
      <c r="Q44" s="20"/>
    </row>
    <row r="45" spans="1:18" ht="120" customHeight="1" thickTop="1" thickBot="1" x14ac:dyDescent="0.25">
      <c r="A45" s="658" t="s">
        <v>153</v>
      </c>
      <c r="B45" s="658"/>
      <c r="C45" s="658"/>
      <c r="D45" s="659" t="s">
        <v>1</v>
      </c>
      <c r="E45" s="660">
        <f>E46+E89+E101+E92+E98</f>
        <v>2206685836.75</v>
      </c>
      <c r="F45" s="660">
        <f>F46+F89+F101+F92+F98</f>
        <v>2206685836.75</v>
      </c>
      <c r="G45" s="660">
        <f>G46+G89+G101+G92+G98</f>
        <v>1496710581.3899999</v>
      </c>
      <c r="H45" s="660">
        <f>H46+H89+H101+H92+H98</f>
        <v>170779075.50999999</v>
      </c>
      <c r="I45" s="660">
        <f>I46+I89+I101+I92+I98</f>
        <v>0</v>
      </c>
      <c r="J45" s="660">
        <f>L45+O45</f>
        <v>303963699.87</v>
      </c>
      <c r="K45" s="660">
        <f>K46+K89+K101+K92+K98</f>
        <v>85788299.719999999</v>
      </c>
      <c r="L45" s="660">
        <f>L46+L89+L101+L92+L98</f>
        <v>206351947.15000001</v>
      </c>
      <c r="M45" s="660">
        <f>M46+M89+M101+M92+M98</f>
        <v>53944610</v>
      </c>
      <c r="N45" s="660">
        <f>N46+N89+N101+N92+N98</f>
        <v>17336870</v>
      </c>
      <c r="O45" s="660">
        <f>O46+O89+O101+O92+O98</f>
        <v>97611752.719999999</v>
      </c>
      <c r="P45" s="660">
        <f>E45+J45</f>
        <v>2510649536.6199999</v>
      </c>
      <c r="Q45" s="565" t="b">
        <f>P45=P47+P49+P50+P51+P53+P54+P57+P59+P60+P62+P63+P65+P66+P67+P81+P90+P91+P95+P97+P56+P87+P88+P75+P76</f>
        <v>1</v>
      </c>
      <c r="R45" s="26"/>
    </row>
    <row r="46" spans="1:18" ht="47.25" thickTop="1" thickBot="1" x14ac:dyDescent="0.25">
      <c r="A46" s="311" t="s">
        <v>707</v>
      </c>
      <c r="B46" s="311" t="s">
        <v>708</v>
      </c>
      <c r="C46" s="311"/>
      <c r="D46" s="311" t="s">
        <v>709</v>
      </c>
      <c r="E46" s="328">
        <f>E47+E48+E52+E57+E58+E61+E64+E67+E68+E75+E55+E76+E71+E77+E80+E83+E86</f>
        <v>2204211236.75</v>
      </c>
      <c r="F46" s="328">
        <f t="shared" ref="F46:P46" si="19">F47+F48+F52+F57+F58+F61+F64+F67+F68+F75+F55+F76+F71+F77+F80+F83+F86</f>
        <v>2204211236.75</v>
      </c>
      <c r="G46" s="328">
        <f t="shared" si="19"/>
        <v>1496710581.3899999</v>
      </c>
      <c r="H46" s="328">
        <f t="shared" si="19"/>
        <v>170188475.50999999</v>
      </c>
      <c r="I46" s="328">
        <f t="shared" si="19"/>
        <v>0</v>
      </c>
      <c r="J46" s="328">
        <f t="shared" si="19"/>
        <v>254247495.49000001</v>
      </c>
      <c r="K46" s="328">
        <f t="shared" si="19"/>
        <v>36072095.340000004</v>
      </c>
      <c r="L46" s="328">
        <f t="shared" si="19"/>
        <v>206351947.15000001</v>
      </c>
      <c r="M46" s="328">
        <f t="shared" si="19"/>
        <v>53944610</v>
      </c>
      <c r="N46" s="328">
        <f t="shared" si="19"/>
        <v>17336870</v>
      </c>
      <c r="O46" s="328">
        <f t="shared" si="19"/>
        <v>47895548.340000004</v>
      </c>
      <c r="P46" s="328">
        <f t="shared" si="19"/>
        <v>2458458732.2400002</v>
      </c>
      <c r="Q46" s="30"/>
      <c r="R46" s="26"/>
    </row>
    <row r="47" spans="1:18" ht="48" thickTop="1" thickBot="1" x14ac:dyDescent="0.6">
      <c r="A47" s="103" t="s">
        <v>198</v>
      </c>
      <c r="B47" s="103" t="s">
        <v>199</v>
      </c>
      <c r="C47" s="103" t="s">
        <v>201</v>
      </c>
      <c r="D47" s="103" t="s">
        <v>202</v>
      </c>
      <c r="E47" s="328">
        <f>F47</f>
        <v>596656836</v>
      </c>
      <c r="F47" s="462">
        <f>(518100000+6834000+121810+46482400+5516000+34247960+1883491+20029153+1410722+1453964+1539752+121850+3930+500000+95000+100000+300000-5000000-45500000-36876000)+44459370+694434-60000+199000</f>
        <v>596656836</v>
      </c>
      <c r="G47" s="462">
        <f>(424700000-45500000)+20333842</f>
        <v>399533842</v>
      </c>
      <c r="H47" s="462">
        <f>34247960+1883491+20029153+1410722+1453964+1539752</f>
        <v>60565042</v>
      </c>
      <c r="I47" s="462"/>
      <c r="J47" s="328">
        <f t="shared" ref="J47:J70" si="20">L47+O47</f>
        <v>96246670</v>
      </c>
      <c r="K47" s="462">
        <f>(500000)+60000</f>
        <v>560000</v>
      </c>
      <c r="L47" s="462">
        <f>94139890</f>
        <v>94139890</v>
      </c>
      <c r="M47" s="462">
        <v>17927390</v>
      </c>
      <c r="N47" s="462">
        <v>4628330</v>
      </c>
      <c r="O47" s="459">
        <f>K47+1546780</f>
        <v>2106780</v>
      </c>
      <c r="P47" s="328">
        <f t="shared" ref="P47:P60" si="21">E47+J47</f>
        <v>692903506</v>
      </c>
      <c r="Q47" s="143"/>
      <c r="R47" s="26"/>
    </row>
    <row r="48" spans="1:18" ht="48" thickTop="1" thickBot="1" x14ac:dyDescent="0.6">
      <c r="A48" s="329" t="s">
        <v>203</v>
      </c>
      <c r="B48" s="329" t="s">
        <v>200</v>
      </c>
      <c r="C48" s="329"/>
      <c r="D48" s="329" t="s">
        <v>643</v>
      </c>
      <c r="E48" s="325">
        <f>E49+E50+E51</f>
        <v>600420079.62</v>
      </c>
      <c r="F48" s="325">
        <f>F49+F50+F51</f>
        <v>600420079.62</v>
      </c>
      <c r="G48" s="325">
        <f t="shared" ref="G48:O48" si="22">G49+G50+G51</f>
        <v>338080042.62</v>
      </c>
      <c r="H48" s="325">
        <f t="shared" si="22"/>
        <v>81514646</v>
      </c>
      <c r="I48" s="325">
        <f t="shared" si="22"/>
        <v>0</v>
      </c>
      <c r="J48" s="325">
        <f t="shared" si="22"/>
        <v>97555761.340000004</v>
      </c>
      <c r="K48" s="325">
        <f t="shared" si="22"/>
        <v>19761391.34</v>
      </c>
      <c r="L48" s="325">
        <f t="shared" si="22"/>
        <v>76441760</v>
      </c>
      <c r="M48" s="325">
        <f t="shared" si="22"/>
        <v>24386640</v>
      </c>
      <c r="N48" s="325">
        <f t="shared" si="22"/>
        <v>1851620</v>
      </c>
      <c r="O48" s="325">
        <f t="shared" si="22"/>
        <v>21114001.34</v>
      </c>
      <c r="P48" s="325">
        <f>E48+J48</f>
        <v>697975840.96000004</v>
      </c>
      <c r="Q48" s="143"/>
      <c r="R48" s="37"/>
    </row>
    <row r="49" spans="1:20" ht="93" thickTop="1" thickBot="1" x14ac:dyDescent="0.6">
      <c r="A49" s="103" t="s">
        <v>641</v>
      </c>
      <c r="B49" s="103" t="s">
        <v>642</v>
      </c>
      <c r="C49" s="103" t="s">
        <v>204</v>
      </c>
      <c r="D49" s="103" t="s">
        <v>1276</v>
      </c>
      <c r="E49" s="328">
        <f t="shared" ref="E49:E60" si="23">F49</f>
        <v>547636307.62</v>
      </c>
      <c r="F49" s="462">
        <f>(291024550+15000600+229878+80712500+7004000+45443420+1405040+21980904+4836961+2727144+242950+6050+666880+10740+500000+90000+200000+500000-5000000+100000000-36500000-29674000)+45137822.62+6050+1224752-95530-50000+5596</f>
        <v>547636307.62</v>
      </c>
      <c r="G49" s="462">
        <f>(238511902+82000000-36500000)+23163291.62</f>
        <v>307175193.62</v>
      </c>
      <c r="H49" s="462">
        <f>45443420+1405040+21980904+4836961+2727144</f>
        <v>76393469</v>
      </c>
      <c r="I49" s="462"/>
      <c r="J49" s="328">
        <f t="shared" si="20"/>
        <v>96533611.340000004</v>
      </c>
      <c r="K49" s="462">
        <f>(500000+500000+500000+483297.98+449851.94+260000+1158336+669262+663111+879754+412299+5700000+1750000+3800000)+873801.16-100000-500000-483297.98+1249446.24+95530+50000</f>
        <v>18911391.34</v>
      </c>
      <c r="L49" s="462">
        <v>76269610</v>
      </c>
      <c r="M49" s="462">
        <v>24386640</v>
      </c>
      <c r="N49" s="462">
        <v>1771070</v>
      </c>
      <c r="O49" s="459">
        <f>(K49+1352610)</f>
        <v>20264001.34</v>
      </c>
      <c r="P49" s="328">
        <f t="shared" si="21"/>
        <v>644169918.96000004</v>
      </c>
      <c r="Q49" s="143"/>
      <c r="R49" s="26"/>
      <c r="T49" s="38"/>
    </row>
    <row r="50" spans="1:20" ht="138.75" thickTop="1" thickBot="1" x14ac:dyDescent="0.25">
      <c r="A50" s="103" t="s">
        <v>650</v>
      </c>
      <c r="B50" s="103" t="s">
        <v>651</v>
      </c>
      <c r="C50" s="103" t="s">
        <v>207</v>
      </c>
      <c r="D50" s="103" t="s">
        <v>1277</v>
      </c>
      <c r="E50" s="328">
        <f t="shared" si="23"/>
        <v>32235281</v>
      </c>
      <c r="F50" s="462">
        <f>(28544020+292110+8100+1142200+237500+2100+1338370+19817+268500+10435+41600+5920+200000+10000+10660)+103949</f>
        <v>32235281</v>
      </c>
      <c r="G50" s="462">
        <v>23779110</v>
      </c>
      <c r="H50" s="462">
        <f>1338370+19817+268500+10435</f>
        <v>1637122</v>
      </c>
      <c r="I50" s="462"/>
      <c r="J50" s="328">
        <f t="shared" si="20"/>
        <v>272150</v>
      </c>
      <c r="K50" s="462">
        <f>(0)+100000</f>
        <v>100000</v>
      </c>
      <c r="L50" s="462">
        <v>172150</v>
      </c>
      <c r="M50" s="462"/>
      <c r="N50" s="462">
        <v>80550</v>
      </c>
      <c r="O50" s="459">
        <f>K50</f>
        <v>100000</v>
      </c>
      <c r="P50" s="328">
        <f t="shared" si="21"/>
        <v>32507431</v>
      </c>
      <c r="Q50" s="20"/>
      <c r="R50" s="27"/>
    </row>
    <row r="51" spans="1:20" ht="93" thickTop="1" thickBot="1" x14ac:dyDescent="0.25">
      <c r="A51" s="103" t="s">
        <v>996</v>
      </c>
      <c r="B51" s="103" t="s">
        <v>997</v>
      </c>
      <c r="C51" s="103" t="s">
        <v>207</v>
      </c>
      <c r="D51" s="103" t="s">
        <v>1278</v>
      </c>
      <c r="E51" s="328">
        <f t="shared" si="23"/>
        <v>20548491</v>
      </c>
      <c r="F51" s="462">
        <f>(8569752+424160+12728+6393800+359900+300000+2400640+93745+970870+18800+9450+2960+200000+5000+35000)+751686</f>
        <v>20548491</v>
      </c>
      <c r="G51" s="462">
        <v>7125739</v>
      </c>
      <c r="H51" s="462">
        <f>2400640+93745+970870+18800</f>
        <v>3484055</v>
      </c>
      <c r="I51" s="462"/>
      <c r="J51" s="328">
        <f t="shared" si="20"/>
        <v>750000</v>
      </c>
      <c r="K51" s="462">
        <f>300000+250000+200000</f>
        <v>750000</v>
      </c>
      <c r="L51" s="462"/>
      <c r="M51" s="462"/>
      <c r="N51" s="462"/>
      <c r="O51" s="459">
        <f>K51</f>
        <v>750000</v>
      </c>
      <c r="P51" s="328">
        <f t="shared" si="21"/>
        <v>21298491</v>
      </c>
      <c r="Q51" s="20"/>
      <c r="R51" s="27"/>
    </row>
    <row r="52" spans="1:20" ht="48" thickTop="1" thickBot="1" x14ac:dyDescent="0.25">
      <c r="A52" s="329" t="s">
        <v>498</v>
      </c>
      <c r="B52" s="329" t="s">
        <v>205</v>
      </c>
      <c r="C52" s="329"/>
      <c r="D52" s="329" t="s">
        <v>658</v>
      </c>
      <c r="E52" s="325">
        <f>SUM(E53:E54)</f>
        <v>734225903</v>
      </c>
      <c r="F52" s="325">
        <f>SUM(F53:F54)</f>
        <v>734225903</v>
      </c>
      <c r="G52" s="325">
        <f>SUM(G53:G54)</f>
        <v>596742650</v>
      </c>
      <c r="H52" s="325">
        <f>SUM(H53:H54)</f>
        <v>0</v>
      </c>
      <c r="I52" s="325">
        <f>SUM(I53:I54)</f>
        <v>0</v>
      </c>
      <c r="J52" s="325">
        <f t="shared" ref="J52:P52" si="24">SUM(J53:J54)</f>
        <v>0</v>
      </c>
      <c r="K52" s="325">
        <f t="shared" si="24"/>
        <v>0</v>
      </c>
      <c r="L52" s="325">
        <f t="shared" si="24"/>
        <v>0</v>
      </c>
      <c r="M52" s="325">
        <f t="shared" si="24"/>
        <v>0</v>
      </c>
      <c r="N52" s="325">
        <f t="shared" si="24"/>
        <v>0</v>
      </c>
      <c r="O52" s="325">
        <f t="shared" si="24"/>
        <v>0</v>
      </c>
      <c r="P52" s="325">
        <f t="shared" si="24"/>
        <v>734225903</v>
      </c>
      <c r="Q52" s="20"/>
      <c r="R52" s="35"/>
    </row>
    <row r="53" spans="1:20" ht="93" thickTop="1" thickBot="1" x14ac:dyDescent="0.25">
      <c r="A53" s="103" t="s">
        <v>659</v>
      </c>
      <c r="B53" s="103" t="s">
        <v>660</v>
      </c>
      <c r="C53" s="103" t="s">
        <v>204</v>
      </c>
      <c r="D53" s="103" t="s">
        <v>1279</v>
      </c>
      <c r="E53" s="328">
        <f t="shared" ref="E53:E54" si="25">F53</f>
        <v>723235253</v>
      </c>
      <c r="F53" s="462">
        <v>723235253</v>
      </c>
      <c r="G53" s="462">
        <v>587733920</v>
      </c>
      <c r="H53" s="462"/>
      <c r="I53" s="462"/>
      <c r="J53" s="328">
        <f t="shared" ref="J53:J54" si="26">L53+O53</f>
        <v>0</v>
      </c>
      <c r="K53" s="462"/>
      <c r="L53" s="462"/>
      <c r="M53" s="462"/>
      <c r="N53" s="462"/>
      <c r="O53" s="459">
        <f>K53</f>
        <v>0</v>
      </c>
      <c r="P53" s="328">
        <f t="shared" ref="P53:P56" si="27">E53+J53</f>
        <v>723235253</v>
      </c>
      <c r="Q53" s="20"/>
      <c r="R53" s="30"/>
    </row>
    <row r="54" spans="1:20" ht="93" thickTop="1" thickBot="1" x14ac:dyDescent="0.25">
      <c r="A54" s="103" t="s">
        <v>1130</v>
      </c>
      <c r="B54" s="343" t="s">
        <v>1131</v>
      </c>
      <c r="C54" s="103" t="s">
        <v>207</v>
      </c>
      <c r="D54" s="103" t="s">
        <v>1280</v>
      </c>
      <c r="E54" s="328">
        <f t="shared" si="25"/>
        <v>10990650</v>
      </c>
      <c r="F54" s="554">
        <f>10990650</f>
        <v>10990650</v>
      </c>
      <c r="G54" s="554">
        <v>9008730</v>
      </c>
      <c r="H54" s="554"/>
      <c r="I54" s="554"/>
      <c r="J54" s="328">
        <f t="shared" si="26"/>
        <v>0</v>
      </c>
      <c r="K54" s="554"/>
      <c r="L54" s="554"/>
      <c r="M54" s="554"/>
      <c r="N54" s="554"/>
      <c r="O54" s="555"/>
      <c r="P54" s="328">
        <f t="shared" si="27"/>
        <v>10990650</v>
      </c>
      <c r="Q54" s="20"/>
      <c r="R54" s="30"/>
    </row>
    <row r="55" spans="1:20" ht="276" thickTop="1" thickBot="1" x14ac:dyDescent="0.25">
      <c r="A55" s="566" t="s">
        <v>930</v>
      </c>
      <c r="B55" s="566" t="s">
        <v>50</v>
      </c>
      <c r="C55" s="566"/>
      <c r="D55" s="656" t="s">
        <v>1565</v>
      </c>
      <c r="E55" s="657">
        <f t="shared" ref="E55:O55" si="28">E56</f>
        <v>128512.77</v>
      </c>
      <c r="F55" s="657">
        <f t="shared" si="28"/>
        <v>128512.77</v>
      </c>
      <c r="G55" s="657">
        <f t="shared" si="28"/>
        <v>105342.77</v>
      </c>
      <c r="H55" s="657">
        <f t="shared" si="28"/>
        <v>0</v>
      </c>
      <c r="I55" s="657">
        <f t="shared" si="28"/>
        <v>0</v>
      </c>
      <c r="J55" s="657">
        <f t="shared" si="28"/>
        <v>0</v>
      </c>
      <c r="K55" s="657">
        <f t="shared" si="28"/>
        <v>0</v>
      </c>
      <c r="L55" s="657">
        <f t="shared" si="28"/>
        <v>0</v>
      </c>
      <c r="M55" s="657">
        <f t="shared" si="28"/>
        <v>0</v>
      </c>
      <c r="N55" s="657">
        <f t="shared" si="28"/>
        <v>0</v>
      </c>
      <c r="O55" s="657">
        <f t="shared" si="28"/>
        <v>0</v>
      </c>
      <c r="P55" s="657">
        <f>E55+J55</f>
        <v>128512.77</v>
      </c>
      <c r="Q55" s="20"/>
      <c r="R55" s="30"/>
    </row>
    <row r="56" spans="1:20" ht="276" thickTop="1" thickBot="1" x14ac:dyDescent="0.25">
      <c r="A56" s="103" t="s">
        <v>931</v>
      </c>
      <c r="B56" s="103" t="s">
        <v>932</v>
      </c>
      <c r="C56" s="103" t="s">
        <v>204</v>
      </c>
      <c r="D56" s="103" t="s">
        <v>1566</v>
      </c>
      <c r="E56" s="328">
        <f t="shared" ref="E56" si="29">F56</f>
        <v>128512.77</v>
      </c>
      <c r="F56" s="462">
        <v>128512.77</v>
      </c>
      <c r="G56" s="462">
        <v>105342.77</v>
      </c>
      <c r="H56" s="462"/>
      <c r="I56" s="462"/>
      <c r="J56" s="328">
        <f t="shared" ref="J56" si="30">L56+O56</f>
        <v>0</v>
      </c>
      <c r="K56" s="462"/>
      <c r="L56" s="462"/>
      <c r="M56" s="462"/>
      <c r="N56" s="462"/>
      <c r="O56" s="459">
        <f>K56</f>
        <v>0</v>
      </c>
      <c r="P56" s="328">
        <f t="shared" si="27"/>
        <v>128512.77</v>
      </c>
      <c r="Q56" s="20"/>
      <c r="R56" s="26"/>
    </row>
    <row r="57" spans="1:20" ht="93" thickTop="1" thickBot="1" x14ac:dyDescent="0.25">
      <c r="A57" s="103" t="s">
        <v>661</v>
      </c>
      <c r="B57" s="103" t="s">
        <v>206</v>
      </c>
      <c r="C57" s="103" t="s">
        <v>181</v>
      </c>
      <c r="D57" s="103" t="s">
        <v>499</v>
      </c>
      <c r="E57" s="328">
        <f t="shared" si="23"/>
        <v>38379360</v>
      </c>
      <c r="F57" s="462">
        <f>33713454+543690+17600+529000+174450+2166040+44713+824782+82818+13383+5450+213660+320+50000</f>
        <v>38379360</v>
      </c>
      <c r="G57" s="462">
        <v>27858536</v>
      </c>
      <c r="H57" s="462">
        <f>2166040+44713+824782+82818+13383</f>
        <v>3131736</v>
      </c>
      <c r="I57" s="462"/>
      <c r="J57" s="328">
        <f t="shared" si="20"/>
        <v>1103660</v>
      </c>
      <c r="K57" s="462"/>
      <c r="L57" s="462">
        <v>745660</v>
      </c>
      <c r="M57" s="462">
        <v>38710</v>
      </c>
      <c r="N57" s="462">
        <v>117220</v>
      </c>
      <c r="O57" s="459">
        <f>(K57+358000)</f>
        <v>358000</v>
      </c>
      <c r="P57" s="328">
        <f t="shared" si="21"/>
        <v>39483020</v>
      </c>
      <c r="Q57" s="20"/>
      <c r="R57" s="26"/>
    </row>
    <row r="58" spans="1:20" ht="93" thickTop="1" thickBot="1" x14ac:dyDescent="0.25">
      <c r="A58" s="329" t="s">
        <v>208</v>
      </c>
      <c r="B58" s="329" t="s">
        <v>191</v>
      </c>
      <c r="C58" s="329"/>
      <c r="D58" s="329" t="s">
        <v>500</v>
      </c>
      <c r="E58" s="325">
        <f>E59+E60</f>
        <v>192049825.50999999</v>
      </c>
      <c r="F58" s="325">
        <f t="shared" ref="F58:O58" si="31">F59+F60</f>
        <v>192049825.50999999</v>
      </c>
      <c r="G58" s="325">
        <f t="shared" si="31"/>
        <v>104778899</v>
      </c>
      <c r="H58" s="325">
        <f t="shared" si="31"/>
        <v>22961117.510000002</v>
      </c>
      <c r="I58" s="325">
        <f t="shared" si="31"/>
        <v>0</v>
      </c>
      <c r="J58" s="325">
        <f t="shared" si="31"/>
        <v>35338060</v>
      </c>
      <c r="K58" s="325">
        <f t="shared" si="31"/>
        <v>300000</v>
      </c>
      <c r="L58" s="325">
        <f t="shared" si="31"/>
        <v>34808060</v>
      </c>
      <c r="M58" s="325">
        <f t="shared" si="31"/>
        <v>11591870</v>
      </c>
      <c r="N58" s="325">
        <f t="shared" si="31"/>
        <v>10739700</v>
      </c>
      <c r="O58" s="325">
        <f t="shared" si="31"/>
        <v>530000</v>
      </c>
      <c r="P58" s="325">
        <f t="shared" si="21"/>
        <v>227387885.50999999</v>
      </c>
      <c r="Q58" s="20"/>
      <c r="R58" s="35"/>
    </row>
    <row r="59" spans="1:20" ht="93" thickTop="1" thickBot="1" x14ac:dyDescent="0.25">
      <c r="A59" s="103" t="s">
        <v>662</v>
      </c>
      <c r="B59" s="103" t="s">
        <v>663</v>
      </c>
      <c r="C59" s="103" t="s">
        <v>209</v>
      </c>
      <c r="D59" s="103" t="s">
        <v>664</v>
      </c>
      <c r="E59" s="328">
        <f t="shared" si="23"/>
        <v>166319425.50999999</v>
      </c>
      <c r="F59" s="462">
        <v>166319425.50999999</v>
      </c>
      <c r="G59" s="462">
        <v>83514099</v>
      </c>
      <c r="H59" s="462">
        <v>22961117.510000002</v>
      </c>
      <c r="I59" s="462"/>
      <c r="J59" s="328">
        <f>L59+O59</f>
        <v>35338060</v>
      </c>
      <c r="K59" s="462">
        <f>300000</f>
        <v>300000</v>
      </c>
      <c r="L59" s="462">
        <v>34808060</v>
      </c>
      <c r="M59" s="462">
        <v>11591870</v>
      </c>
      <c r="N59" s="462">
        <v>10739700</v>
      </c>
      <c r="O59" s="459">
        <f>(K59+230000)</f>
        <v>530000</v>
      </c>
      <c r="P59" s="328">
        <f t="shared" si="21"/>
        <v>201657485.50999999</v>
      </c>
      <c r="Q59" s="20"/>
      <c r="R59" s="26"/>
    </row>
    <row r="60" spans="1:20" ht="93" thickTop="1" thickBot="1" x14ac:dyDescent="0.25">
      <c r="A60" s="103" t="s">
        <v>666</v>
      </c>
      <c r="B60" s="103" t="s">
        <v>665</v>
      </c>
      <c r="C60" s="103" t="s">
        <v>209</v>
      </c>
      <c r="D60" s="103" t="s">
        <v>667</v>
      </c>
      <c r="E60" s="328">
        <f t="shared" si="23"/>
        <v>25730400</v>
      </c>
      <c r="F60" s="462">
        <f>25730400</f>
        <v>25730400</v>
      </c>
      <c r="G60" s="462">
        <v>21264800</v>
      </c>
      <c r="H60" s="462"/>
      <c r="I60" s="462"/>
      <c r="J60" s="328">
        <f>L60+O60</f>
        <v>0</v>
      </c>
      <c r="K60" s="462"/>
      <c r="L60" s="462"/>
      <c r="M60" s="462"/>
      <c r="N60" s="462"/>
      <c r="O60" s="459"/>
      <c r="P60" s="328">
        <f t="shared" si="21"/>
        <v>25730400</v>
      </c>
      <c r="Q60" s="20"/>
      <c r="R60" s="30"/>
    </row>
    <row r="61" spans="1:20" ht="48" thickTop="1" thickBot="1" x14ac:dyDescent="0.25">
      <c r="A61" s="329" t="s">
        <v>669</v>
      </c>
      <c r="B61" s="329" t="s">
        <v>668</v>
      </c>
      <c r="C61" s="329"/>
      <c r="D61" s="329" t="s">
        <v>670</v>
      </c>
      <c r="E61" s="325">
        <f>E62+E63</f>
        <v>28084454</v>
      </c>
      <c r="F61" s="325">
        <f t="shared" ref="F61:O61" si="32">F62+F63</f>
        <v>28084454</v>
      </c>
      <c r="G61" s="325">
        <f t="shared" si="32"/>
        <v>18564976</v>
      </c>
      <c r="H61" s="325">
        <f t="shared" si="32"/>
        <v>1790626</v>
      </c>
      <c r="I61" s="325">
        <f t="shared" si="32"/>
        <v>0</v>
      </c>
      <c r="J61" s="325">
        <f t="shared" si="32"/>
        <v>511840</v>
      </c>
      <c r="K61" s="325">
        <f t="shared" si="32"/>
        <v>300000</v>
      </c>
      <c r="L61" s="325">
        <f t="shared" si="32"/>
        <v>211840</v>
      </c>
      <c r="M61" s="325">
        <f t="shared" si="32"/>
        <v>0</v>
      </c>
      <c r="N61" s="325">
        <f t="shared" si="32"/>
        <v>0</v>
      </c>
      <c r="O61" s="325">
        <f t="shared" si="32"/>
        <v>300000</v>
      </c>
      <c r="P61" s="325">
        <f>E61+J61</f>
        <v>28596294</v>
      </c>
      <c r="Q61" s="20"/>
      <c r="R61" s="35"/>
    </row>
    <row r="62" spans="1:20" ht="48" thickTop="1" thickBot="1" x14ac:dyDescent="0.25">
      <c r="A62" s="103" t="s">
        <v>671</v>
      </c>
      <c r="B62" s="103" t="s">
        <v>672</v>
      </c>
      <c r="C62" s="103" t="s">
        <v>210</v>
      </c>
      <c r="D62" s="103" t="s">
        <v>501</v>
      </c>
      <c r="E62" s="328">
        <f>F62</f>
        <v>27550154</v>
      </c>
      <c r="F62" s="462">
        <f>(19846132+754290+2035+1354150+1028432+15761+726715+19718+1550+100000)+2560000+98632+1042739</f>
        <v>27550154</v>
      </c>
      <c r="G62" s="462">
        <f>(16464976)+2100000</f>
        <v>18564976</v>
      </c>
      <c r="H62" s="462">
        <f>1028432+15761+726715+19718</f>
        <v>1790626</v>
      </c>
      <c r="I62" s="462"/>
      <c r="J62" s="328">
        <f>L62+O62</f>
        <v>511840</v>
      </c>
      <c r="K62" s="462">
        <f>300000</f>
        <v>300000</v>
      </c>
      <c r="L62" s="462">
        <v>211840</v>
      </c>
      <c r="M62" s="462"/>
      <c r="N62" s="462"/>
      <c r="O62" s="459">
        <f>K62</f>
        <v>300000</v>
      </c>
      <c r="P62" s="328">
        <f>E62+J62</f>
        <v>28061994</v>
      </c>
      <c r="Q62" s="20"/>
      <c r="R62" s="30"/>
    </row>
    <row r="63" spans="1:20" ht="48" thickTop="1" thickBot="1" x14ac:dyDescent="0.25">
      <c r="A63" s="103" t="s">
        <v>673</v>
      </c>
      <c r="B63" s="103" t="s">
        <v>674</v>
      </c>
      <c r="C63" s="103" t="s">
        <v>210</v>
      </c>
      <c r="D63" s="103" t="s">
        <v>337</v>
      </c>
      <c r="E63" s="328">
        <f>F63</f>
        <v>534300</v>
      </c>
      <c r="F63" s="462">
        <v>534300</v>
      </c>
      <c r="G63" s="462"/>
      <c r="H63" s="462"/>
      <c r="I63" s="462"/>
      <c r="J63" s="328">
        <f>L63+O63</f>
        <v>0</v>
      </c>
      <c r="K63" s="462"/>
      <c r="L63" s="462"/>
      <c r="M63" s="462"/>
      <c r="N63" s="462"/>
      <c r="O63" s="459">
        <f>K63</f>
        <v>0</v>
      </c>
      <c r="P63" s="328">
        <f>E63+J63</f>
        <v>534300</v>
      </c>
      <c r="Q63" s="20"/>
      <c r="R63" s="30"/>
    </row>
    <row r="64" spans="1:20" ht="48" thickTop="1" thickBot="1" x14ac:dyDescent="0.25">
      <c r="A64" s="329" t="s">
        <v>675</v>
      </c>
      <c r="B64" s="329" t="s">
        <v>676</v>
      </c>
      <c r="C64" s="329"/>
      <c r="D64" s="329" t="s">
        <v>429</v>
      </c>
      <c r="E64" s="325">
        <f>E65+E66</f>
        <v>6041423</v>
      </c>
      <c r="F64" s="325">
        <f>F65+F66</f>
        <v>6041423</v>
      </c>
      <c r="G64" s="325">
        <f t="shared" ref="G64:O64" si="33">G65+G66</f>
        <v>4611970</v>
      </c>
      <c r="H64" s="325">
        <f t="shared" si="33"/>
        <v>156942</v>
      </c>
      <c r="I64" s="325">
        <f t="shared" si="33"/>
        <v>0</v>
      </c>
      <c r="J64" s="325">
        <f t="shared" si="33"/>
        <v>0</v>
      </c>
      <c r="K64" s="325">
        <f t="shared" si="33"/>
        <v>0</v>
      </c>
      <c r="L64" s="325">
        <f t="shared" si="33"/>
        <v>0</v>
      </c>
      <c r="M64" s="325">
        <f t="shared" si="33"/>
        <v>0</v>
      </c>
      <c r="N64" s="325">
        <f t="shared" si="33"/>
        <v>0</v>
      </c>
      <c r="O64" s="325">
        <f t="shared" si="33"/>
        <v>0</v>
      </c>
      <c r="P64" s="325">
        <f>E64+J64</f>
        <v>6041423</v>
      </c>
      <c r="Q64" s="20"/>
      <c r="R64" s="35"/>
    </row>
    <row r="65" spans="1:18" ht="93" thickTop="1" thickBot="1" x14ac:dyDescent="0.25">
      <c r="A65" s="103" t="s">
        <v>677</v>
      </c>
      <c r="B65" s="103" t="s">
        <v>678</v>
      </c>
      <c r="C65" s="103" t="s">
        <v>210</v>
      </c>
      <c r="D65" s="103" t="s">
        <v>679</v>
      </c>
      <c r="E65" s="328">
        <f>F65</f>
        <v>1114123</v>
      </c>
      <c r="F65" s="462">
        <f>694997+184000+3254+67900+5480+126800+3835+24307+2000+1550</f>
        <v>1114123</v>
      </c>
      <c r="G65" s="462">
        <v>573200</v>
      </c>
      <c r="H65" s="462">
        <f>126800+3835+24307+2000</f>
        <v>156942</v>
      </c>
      <c r="I65" s="462"/>
      <c r="J65" s="328">
        <f>L65+O65</f>
        <v>0</v>
      </c>
      <c r="K65" s="462"/>
      <c r="L65" s="462"/>
      <c r="M65" s="462"/>
      <c r="N65" s="462"/>
      <c r="O65" s="459">
        <f>K65</f>
        <v>0</v>
      </c>
      <c r="P65" s="328">
        <f>E65+J65</f>
        <v>1114123</v>
      </c>
      <c r="Q65" s="20"/>
      <c r="R65" s="26"/>
    </row>
    <row r="66" spans="1:18" ht="93" thickTop="1" thickBot="1" x14ac:dyDescent="0.25">
      <c r="A66" s="103" t="s">
        <v>680</v>
      </c>
      <c r="B66" s="103" t="s">
        <v>681</v>
      </c>
      <c r="C66" s="103" t="s">
        <v>210</v>
      </c>
      <c r="D66" s="103" t="s">
        <v>682</v>
      </c>
      <c r="E66" s="328">
        <f>F66</f>
        <v>4927300</v>
      </c>
      <c r="F66" s="462">
        <f>4927300</f>
        <v>4927300</v>
      </c>
      <c r="G66" s="462">
        <v>4038770</v>
      </c>
      <c r="H66" s="462"/>
      <c r="I66" s="462"/>
      <c r="J66" s="328">
        <f t="shared" ref="J66:J67" si="34">L66+O66</f>
        <v>0</v>
      </c>
      <c r="K66" s="462"/>
      <c r="L66" s="462"/>
      <c r="M66" s="462"/>
      <c r="N66" s="462"/>
      <c r="O66" s="459">
        <f t="shared" ref="O66:O67" si="35">K66</f>
        <v>0</v>
      </c>
      <c r="P66" s="328">
        <f t="shared" ref="P66:P73" si="36">E66+J66</f>
        <v>4927300</v>
      </c>
      <c r="Q66" s="20"/>
      <c r="R66" s="30"/>
    </row>
    <row r="67" spans="1:18" ht="93" thickTop="1" thickBot="1" x14ac:dyDescent="0.25">
      <c r="A67" s="103" t="s">
        <v>647</v>
      </c>
      <c r="B67" s="103" t="s">
        <v>648</v>
      </c>
      <c r="C67" s="103" t="s">
        <v>210</v>
      </c>
      <c r="D67" s="103" t="s">
        <v>649</v>
      </c>
      <c r="E67" s="328">
        <f t="shared" ref="E67:E91" si="37">F67</f>
        <v>4021213</v>
      </c>
      <c r="F67" s="462">
        <f>3648277+246000+47200+10970+37890+5200+24476+800+400</f>
        <v>4021213</v>
      </c>
      <c r="G67" s="462">
        <v>2990391</v>
      </c>
      <c r="H67" s="462">
        <f>37890+5200+24476+800</f>
        <v>68366</v>
      </c>
      <c r="I67" s="462"/>
      <c r="J67" s="328">
        <f t="shared" si="34"/>
        <v>0</v>
      </c>
      <c r="K67" s="462"/>
      <c r="L67" s="462"/>
      <c r="M67" s="462"/>
      <c r="N67" s="462"/>
      <c r="O67" s="459">
        <f t="shared" si="35"/>
        <v>0</v>
      </c>
      <c r="P67" s="328">
        <f t="shared" si="36"/>
        <v>4021213</v>
      </c>
      <c r="Q67" s="20"/>
      <c r="R67" s="26"/>
    </row>
    <row r="68" spans="1:18" s="33" customFormat="1" ht="93" hidden="1" thickTop="1" thickBot="1" x14ac:dyDescent="0.25">
      <c r="A68" s="144" t="s">
        <v>652</v>
      </c>
      <c r="B68" s="144" t="s">
        <v>653</v>
      </c>
      <c r="C68" s="144"/>
      <c r="D68" s="144" t="s">
        <v>654</v>
      </c>
      <c r="E68" s="145">
        <f t="shared" si="37"/>
        <v>0</v>
      </c>
      <c r="F68" s="145">
        <f>SUM(F69:F70)</f>
        <v>0</v>
      </c>
      <c r="G68" s="145">
        <f t="shared" ref="G68:I68" si="38">SUM(G69:G70)</f>
        <v>0</v>
      </c>
      <c r="H68" s="145">
        <f t="shared" si="38"/>
        <v>0</v>
      </c>
      <c r="I68" s="145">
        <f t="shared" si="38"/>
        <v>0</v>
      </c>
      <c r="J68" s="145">
        <f t="shared" si="20"/>
        <v>0</v>
      </c>
      <c r="K68" s="141">
        <f>SUM(K69:K70)</f>
        <v>0</v>
      </c>
      <c r="L68" s="145">
        <f t="shared" ref="L68:N68" si="39">SUM(L69:L70)</f>
        <v>0</v>
      </c>
      <c r="M68" s="145">
        <f t="shared" si="39"/>
        <v>0</v>
      </c>
      <c r="N68" s="145">
        <f t="shared" si="39"/>
        <v>0</v>
      </c>
      <c r="O68" s="145">
        <f>SUM(O69:O70)</f>
        <v>0</v>
      </c>
      <c r="P68" s="145">
        <f t="shared" si="36"/>
        <v>0</v>
      </c>
      <c r="Q68" s="36"/>
      <c r="R68" s="37"/>
    </row>
    <row r="69" spans="1:18" s="33" customFormat="1" ht="138.75" hidden="1" thickTop="1" thickBot="1" x14ac:dyDescent="0.25">
      <c r="A69" s="41" t="s">
        <v>655</v>
      </c>
      <c r="B69" s="41" t="s">
        <v>656</v>
      </c>
      <c r="C69" s="41" t="s">
        <v>210</v>
      </c>
      <c r="D69" s="41" t="s">
        <v>657</v>
      </c>
      <c r="E69" s="42">
        <f t="shared" si="37"/>
        <v>0</v>
      </c>
      <c r="F69" s="43"/>
      <c r="G69" s="43"/>
      <c r="H69" s="43"/>
      <c r="I69" s="43"/>
      <c r="J69" s="42">
        <f t="shared" si="20"/>
        <v>0</v>
      </c>
      <c r="K69" s="134"/>
      <c r="L69" s="43"/>
      <c r="M69" s="43"/>
      <c r="N69" s="43"/>
      <c r="O69" s="44">
        <f t="shared" ref="O69:O70" si="40">K69</f>
        <v>0</v>
      </c>
      <c r="P69" s="42">
        <f t="shared" si="36"/>
        <v>0</v>
      </c>
      <c r="Q69" s="36"/>
      <c r="R69" s="26"/>
    </row>
    <row r="70" spans="1:18" s="33" customFormat="1" ht="138.75" hidden="1" thickTop="1" thickBot="1" x14ac:dyDescent="0.25">
      <c r="A70" s="41" t="s">
        <v>979</v>
      </c>
      <c r="B70" s="41" t="s">
        <v>980</v>
      </c>
      <c r="C70" s="41" t="s">
        <v>210</v>
      </c>
      <c r="D70" s="41" t="s">
        <v>981</v>
      </c>
      <c r="E70" s="42">
        <f t="shared" si="37"/>
        <v>0</v>
      </c>
      <c r="F70" s="43"/>
      <c r="G70" s="43"/>
      <c r="H70" s="43"/>
      <c r="I70" s="43"/>
      <c r="J70" s="42">
        <f t="shared" si="20"/>
        <v>0</v>
      </c>
      <c r="K70" s="134"/>
      <c r="L70" s="43"/>
      <c r="M70" s="43"/>
      <c r="N70" s="43"/>
      <c r="O70" s="44">
        <f t="shared" si="40"/>
        <v>0</v>
      </c>
      <c r="P70" s="42">
        <f t="shared" si="36"/>
        <v>0</v>
      </c>
      <c r="Q70" s="36"/>
      <c r="R70" s="26"/>
    </row>
    <row r="71" spans="1:18" s="33" customFormat="1" ht="184.5" hidden="1" thickTop="1" thickBot="1" x14ac:dyDescent="0.25">
      <c r="A71" s="144" t="s">
        <v>998</v>
      </c>
      <c r="B71" s="144" t="s">
        <v>1000</v>
      </c>
      <c r="C71" s="144"/>
      <c r="D71" s="144" t="s">
        <v>1002</v>
      </c>
      <c r="E71" s="145">
        <f>E72+E73</f>
        <v>0</v>
      </c>
      <c r="F71" s="145">
        <f>F72+F73</f>
        <v>0</v>
      </c>
      <c r="G71" s="145">
        <f t="shared" ref="G71:I71" si="41">G72+G73</f>
        <v>0</v>
      </c>
      <c r="H71" s="145">
        <f t="shared" si="41"/>
        <v>0</v>
      </c>
      <c r="I71" s="145">
        <f t="shared" si="41"/>
        <v>0</v>
      </c>
      <c r="J71" s="145">
        <f>L71+O71</f>
        <v>0</v>
      </c>
      <c r="K71" s="141">
        <f t="shared" ref="K71:O71" si="42">K72+K73</f>
        <v>0</v>
      </c>
      <c r="L71" s="145">
        <f t="shared" si="42"/>
        <v>0</v>
      </c>
      <c r="M71" s="145">
        <f t="shared" si="42"/>
        <v>0</v>
      </c>
      <c r="N71" s="145">
        <f t="shared" si="42"/>
        <v>0</v>
      </c>
      <c r="O71" s="145">
        <f t="shared" si="42"/>
        <v>0</v>
      </c>
      <c r="P71" s="145">
        <f t="shared" si="36"/>
        <v>0</v>
      </c>
      <c r="Q71" s="36"/>
      <c r="R71" s="26"/>
    </row>
    <row r="72" spans="1:18" s="33" customFormat="1" ht="230.25" hidden="1" thickTop="1" thickBot="1" x14ac:dyDescent="0.25">
      <c r="A72" s="41" t="s">
        <v>999</v>
      </c>
      <c r="B72" s="41" t="s">
        <v>1001</v>
      </c>
      <c r="C72" s="41" t="s">
        <v>210</v>
      </c>
      <c r="D72" s="41" t="s">
        <v>1003</v>
      </c>
      <c r="E72" s="42">
        <f t="shared" ref="E72:E73" si="43">F72</f>
        <v>0</v>
      </c>
      <c r="F72" s="43"/>
      <c r="G72" s="43"/>
      <c r="H72" s="43"/>
      <c r="I72" s="43"/>
      <c r="J72" s="42">
        <f t="shared" ref="J72:J73" si="44">L72+O72</f>
        <v>0</v>
      </c>
      <c r="K72" s="134">
        <f>4547046.18-4547046.18</f>
        <v>0</v>
      </c>
      <c r="L72" s="43"/>
      <c r="M72" s="43"/>
      <c r="N72" s="43"/>
      <c r="O72" s="44">
        <f t="shared" ref="O72:O73" si="45">K72</f>
        <v>0</v>
      </c>
      <c r="P72" s="42">
        <f t="shared" si="36"/>
        <v>0</v>
      </c>
      <c r="Q72" s="36"/>
      <c r="R72" s="26"/>
    </row>
    <row r="73" spans="1:18" s="33" customFormat="1" ht="46.5" hidden="1" thickTop="1" thickBot="1" x14ac:dyDescent="0.25">
      <c r="A73" s="777" t="s">
        <v>1017</v>
      </c>
      <c r="B73" s="777" t="s">
        <v>1018</v>
      </c>
      <c r="C73" s="777" t="s">
        <v>210</v>
      </c>
      <c r="D73" s="777" t="s">
        <v>1019</v>
      </c>
      <c r="E73" s="771">
        <f t="shared" si="43"/>
        <v>0</v>
      </c>
      <c r="F73" s="771"/>
      <c r="G73" s="771"/>
      <c r="H73" s="771"/>
      <c r="I73" s="771"/>
      <c r="J73" s="771">
        <f t="shared" si="44"/>
        <v>0</v>
      </c>
      <c r="K73" s="788">
        <f>10623233.82-10623233.82</f>
        <v>0</v>
      </c>
      <c r="L73" s="771"/>
      <c r="M73" s="771"/>
      <c r="N73" s="771"/>
      <c r="O73" s="774">
        <f t="shared" si="45"/>
        <v>0</v>
      </c>
      <c r="P73" s="771">
        <f t="shared" si="36"/>
        <v>0</v>
      </c>
      <c r="Q73" s="36"/>
      <c r="R73" s="26"/>
    </row>
    <row r="74" spans="1:18" s="33" customFormat="1" ht="46.5" hidden="1" thickTop="1" thickBot="1" x14ac:dyDescent="0.25">
      <c r="A74" s="773"/>
      <c r="B74" s="773"/>
      <c r="C74" s="773"/>
      <c r="D74" s="773"/>
      <c r="E74" s="773"/>
      <c r="F74" s="773"/>
      <c r="G74" s="773"/>
      <c r="H74" s="773"/>
      <c r="I74" s="773"/>
      <c r="J74" s="773"/>
      <c r="K74" s="780"/>
      <c r="L74" s="773"/>
      <c r="M74" s="773"/>
      <c r="N74" s="773"/>
      <c r="O74" s="773"/>
      <c r="P74" s="773"/>
      <c r="Q74" s="36"/>
      <c r="R74" s="26"/>
    </row>
    <row r="75" spans="1:18" s="33" customFormat="1" ht="138.75" thickTop="1" thickBot="1" x14ac:dyDescent="0.25">
      <c r="A75" s="665" t="s">
        <v>644</v>
      </c>
      <c r="B75" s="665" t="s">
        <v>645</v>
      </c>
      <c r="C75" s="665" t="s">
        <v>210</v>
      </c>
      <c r="D75" s="665" t="s">
        <v>646</v>
      </c>
      <c r="E75" s="666">
        <f t="shared" si="37"/>
        <v>3668858</v>
      </c>
      <c r="F75" s="667">
        <v>3668858</v>
      </c>
      <c r="G75" s="667">
        <v>3007261</v>
      </c>
      <c r="H75" s="667"/>
      <c r="I75" s="667"/>
      <c r="J75" s="666">
        <f t="shared" ref="J75:J76" si="46">L75+O75</f>
        <v>0</v>
      </c>
      <c r="K75" s="667"/>
      <c r="L75" s="667"/>
      <c r="M75" s="667"/>
      <c r="N75" s="667"/>
      <c r="O75" s="668">
        <f t="shared" ref="O75:O76" si="47">K75</f>
        <v>0</v>
      </c>
      <c r="P75" s="666">
        <f t="shared" ref="P75:P76" si="48">E75+J75</f>
        <v>3668858</v>
      </c>
      <c r="Q75" s="36"/>
      <c r="R75" s="26"/>
    </row>
    <row r="76" spans="1:18" s="33" customFormat="1" ht="160.5" customHeight="1" thickTop="1" thickBot="1" x14ac:dyDescent="0.25">
      <c r="A76" s="665" t="s">
        <v>941</v>
      </c>
      <c r="B76" s="665" t="s">
        <v>942</v>
      </c>
      <c r="C76" s="665" t="s">
        <v>210</v>
      </c>
      <c r="D76" s="665" t="s">
        <v>1449</v>
      </c>
      <c r="E76" s="666">
        <f t="shared" si="37"/>
        <v>532739</v>
      </c>
      <c r="F76" s="667">
        <v>532739</v>
      </c>
      <c r="G76" s="667">
        <v>436671</v>
      </c>
      <c r="H76" s="667"/>
      <c r="I76" s="667"/>
      <c r="J76" s="666">
        <f t="shared" si="46"/>
        <v>0</v>
      </c>
      <c r="K76" s="667">
        <v>0</v>
      </c>
      <c r="L76" s="667"/>
      <c r="M76" s="667"/>
      <c r="N76" s="667"/>
      <c r="O76" s="668">
        <f t="shared" si="47"/>
        <v>0</v>
      </c>
      <c r="P76" s="666">
        <f t="shared" si="48"/>
        <v>532739</v>
      </c>
      <c r="Q76" s="36"/>
      <c r="R76" s="26"/>
    </row>
    <row r="77" spans="1:18" s="33" customFormat="1" ht="93" hidden="1" thickTop="1" thickBot="1" x14ac:dyDescent="0.25">
      <c r="A77" s="140" t="s">
        <v>1004</v>
      </c>
      <c r="B77" s="140" t="s">
        <v>1006</v>
      </c>
      <c r="C77" s="140"/>
      <c r="D77" s="140" t="s">
        <v>1441</v>
      </c>
      <c r="E77" s="141">
        <f>F77</f>
        <v>0</v>
      </c>
      <c r="F77" s="141">
        <f>SUM(F78:F79)</f>
        <v>0</v>
      </c>
      <c r="G77" s="141">
        <f>SUM(G78:G79)</f>
        <v>0</v>
      </c>
      <c r="H77" s="141">
        <f>SUM(H78:H79)</f>
        <v>0</v>
      </c>
      <c r="I77" s="141">
        <f>SUM(I78:I79)</f>
        <v>0</v>
      </c>
      <c r="J77" s="141">
        <f>L77+O77</f>
        <v>0</v>
      </c>
      <c r="K77" s="141">
        <f>SUM(K78:K79)</f>
        <v>0</v>
      </c>
      <c r="L77" s="141">
        <f>SUM(L78:L79)</f>
        <v>0</v>
      </c>
      <c r="M77" s="141">
        <f>SUM(M78:M79)</f>
        <v>0</v>
      </c>
      <c r="N77" s="141">
        <f>SUM(N78:N79)</f>
        <v>0</v>
      </c>
      <c r="O77" s="141">
        <f>SUM(O78:O79)</f>
        <v>0</v>
      </c>
      <c r="P77" s="141">
        <f>E77+J77</f>
        <v>0</v>
      </c>
      <c r="Q77" s="36"/>
      <c r="R77" s="26"/>
    </row>
    <row r="78" spans="1:18" s="33" customFormat="1" ht="138.75" hidden="1" thickTop="1" thickBot="1" x14ac:dyDescent="0.25">
      <c r="A78" s="128" t="s">
        <v>1005</v>
      </c>
      <c r="B78" s="128" t="s">
        <v>1007</v>
      </c>
      <c r="C78" s="128" t="s">
        <v>210</v>
      </c>
      <c r="D78" s="128" t="s">
        <v>1251</v>
      </c>
      <c r="E78" s="127">
        <f>F78</f>
        <v>0</v>
      </c>
      <c r="F78" s="134"/>
      <c r="G78" s="134"/>
      <c r="H78" s="134"/>
      <c r="I78" s="134"/>
      <c r="J78" s="127">
        <f t="shared" ref="J78:J79" si="49">L78+O78</f>
        <v>0</v>
      </c>
      <c r="K78" s="134"/>
      <c r="L78" s="134"/>
      <c r="M78" s="134"/>
      <c r="N78" s="134"/>
      <c r="O78" s="132">
        <f t="shared" ref="O78:O79" si="50">K78</f>
        <v>0</v>
      </c>
      <c r="P78" s="127">
        <f>E78+J78</f>
        <v>0</v>
      </c>
      <c r="Q78" s="36"/>
      <c r="R78" s="26"/>
    </row>
    <row r="79" spans="1:18" s="33" customFormat="1" ht="138.75" hidden="1" thickTop="1" thickBot="1" x14ac:dyDescent="0.25">
      <c r="A79" s="41" t="s">
        <v>1049</v>
      </c>
      <c r="B79" s="41" t="s">
        <v>1050</v>
      </c>
      <c r="C79" s="41" t="s">
        <v>210</v>
      </c>
      <c r="D79" s="41" t="s">
        <v>1048</v>
      </c>
      <c r="E79" s="127">
        <f>F79</f>
        <v>0</v>
      </c>
      <c r="F79" s="134">
        <f>(553900)-553900</f>
        <v>0</v>
      </c>
      <c r="G79" s="134"/>
      <c r="H79" s="134"/>
      <c r="I79" s="134"/>
      <c r="J79" s="127">
        <f t="shared" si="49"/>
        <v>0</v>
      </c>
      <c r="K79" s="134"/>
      <c r="L79" s="43"/>
      <c r="M79" s="43"/>
      <c r="N79" s="43"/>
      <c r="O79" s="44">
        <f t="shared" si="50"/>
        <v>0</v>
      </c>
      <c r="P79" s="42">
        <f>E79+J79</f>
        <v>0</v>
      </c>
      <c r="Q79" s="36"/>
      <c r="R79" s="26"/>
    </row>
    <row r="80" spans="1:18" s="33" customFormat="1" ht="114.75" customHeight="1" thickTop="1" thickBot="1" x14ac:dyDescent="0.25">
      <c r="A80" s="329" t="s">
        <v>1391</v>
      </c>
      <c r="B80" s="329" t="s">
        <v>1392</v>
      </c>
      <c r="C80" s="329"/>
      <c r="D80" s="329" t="s">
        <v>1552</v>
      </c>
      <c r="E80" s="325">
        <f>SUM(E81:E82)</f>
        <v>0</v>
      </c>
      <c r="F80" s="325">
        <f t="shared" ref="F80:P80" si="51">SUM(F81:F82)</f>
        <v>0</v>
      </c>
      <c r="G80" s="325">
        <f t="shared" si="51"/>
        <v>0</v>
      </c>
      <c r="H80" s="325">
        <f t="shared" si="51"/>
        <v>0</v>
      </c>
      <c r="I80" s="325">
        <f t="shared" si="51"/>
        <v>0</v>
      </c>
      <c r="J80" s="325">
        <f t="shared" si="51"/>
        <v>15000000</v>
      </c>
      <c r="K80" s="325">
        <f t="shared" si="51"/>
        <v>15000000</v>
      </c>
      <c r="L80" s="325">
        <f t="shared" si="51"/>
        <v>0</v>
      </c>
      <c r="M80" s="325">
        <f t="shared" si="51"/>
        <v>0</v>
      </c>
      <c r="N80" s="325">
        <f t="shared" si="51"/>
        <v>0</v>
      </c>
      <c r="O80" s="325">
        <f t="shared" si="51"/>
        <v>15000000</v>
      </c>
      <c r="P80" s="325">
        <f t="shared" si="51"/>
        <v>15000000</v>
      </c>
      <c r="Q80" s="36"/>
      <c r="R80" s="26"/>
    </row>
    <row r="81" spans="1:18" s="33" customFormat="1" ht="163.5" customHeight="1" thickTop="1" thickBot="1" x14ac:dyDescent="0.25">
      <c r="A81" s="103" t="s">
        <v>1393</v>
      </c>
      <c r="B81" s="103" t="s">
        <v>1394</v>
      </c>
      <c r="C81" s="103" t="s">
        <v>210</v>
      </c>
      <c r="D81" s="103" t="s">
        <v>1553</v>
      </c>
      <c r="E81" s="328">
        <f>F81</f>
        <v>0</v>
      </c>
      <c r="F81" s="462"/>
      <c r="G81" s="462"/>
      <c r="H81" s="462"/>
      <c r="I81" s="462"/>
      <c r="J81" s="328">
        <f t="shared" ref="J81:J82" si="52">L81+O81</f>
        <v>15000000</v>
      </c>
      <c r="K81" s="462">
        <f>(5000000)+10000000</f>
        <v>15000000</v>
      </c>
      <c r="L81" s="462"/>
      <c r="M81" s="462"/>
      <c r="N81" s="462"/>
      <c r="O81" s="459">
        <f t="shared" ref="O81:O82" si="53">K81</f>
        <v>15000000</v>
      </c>
      <c r="P81" s="328">
        <f>E81+J81</f>
        <v>15000000</v>
      </c>
      <c r="Q81" s="36"/>
      <c r="R81" s="26"/>
    </row>
    <row r="82" spans="1:18" s="33" customFormat="1" ht="138.75" hidden="1" thickTop="1" thickBot="1" x14ac:dyDescent="0.25">
      <c r="A82" s="128" t="s">
        <v>1395</v>
      </c>
      <c r="B82" s="128" t="s">
        <v>1396</v>
      </c>
      <c r="C82" s="128" t="s">
        <v>210</v>
      </c>
      <c r="D82" s="128" t="s">
        <v>1397</v>
      </c>
      <c r="E82" s="127">
        <f>F82</f>
        <v>0</v>
      </c>
      <c r="F82" s="134"/>
      <c r="G82" s="134"/>
      <c r="H82" s="134"/>
      <c r="I82" s="134"/>
      <c r="J82" s="127">
        <f t="shared" si="52"/>
        <v>0</v>
      </c>
      <c r="K82" s="134"/>
      <c r="L82" s="134"/>
      <c r="M82" s="134"/>
      <c r="N82" s="134"/>
      <c r="O82" s="132">
        <f t="shared" si="53"/>
        <v>0</v>
      </c>
      <c r="P82" s="127">
        <f>E82+J82</f>
        <v>0</v>
      </c>
      <c r="Q82" s="36"/>
      <c r="R82" s="26"/>
    </row>
    <row r="83" spans="1:18" s="33" customFormat="1" ht="138.75" hidden="1" thickTop="1" thickBot="1" x14ac:dyDescent="0.25">
      <c r="A83" s="140" t="s">
        <v>1462</v>
      </c>
      <c r="B83" s="140" t="s">
        <v>1461</v>
      </c>
      <c r="C83" s="140"/>
      <c r="D83" s="140" t="s">
        <v>1463</v>
      </c>
      <c r="E83" s="141">
        <f>SUM(E84:E85)</f>
        <v>0</v>
      </c>
      <c r="F83" s="141">
        <f t="shared" ref="F83:O83" si="54">SUM(F84:F85)</f>
        <v>0</v>
      </c>
      <c r="G83" s="141">
        <f t="shared" si="54"/>
        <v>0</v>
      </c>
      <c r="H83" s="141">
        <f t="shared" si="54"/>
        <v>0</v>
      </c>
      <c r="I83" s="141">
        <f t="shared" si="54"/>
        <v>0</v>
      </c>
      <c r="J83" s="141">
        <f t="shared" si="54"/>
        <v>0</v>
      </c>
      <c r="K83" s="141">
        <f t="shared" si="54"/>
        <v>0</v>
      </c>
      <c r="L83" s="141">
        <f t="shared" si="54"/>
        <v>0</v>
      </c>
      <c r="M83" s="141">
        <f t="shared" si="54"/>
        <v>0</v>
      </c>
      <c r="N83" s="141">
        <f t="shared" si="54"/>
        <v>0</v>
      </c>
      <c r="O83" s="141">
        <f t="shared" si="54"/>
        <v>0</v>
      </c>
      <c r="P83" s="141">
        <f>SUM(P84:P85)</f>
        <v>0</v>
      </c>
      <c r="Q83" s="36"/>
      <c r="R83" s="26"/>
    </row>
    <row r="84" spans="1:18" s="33" customFormat="1" ht="93" hidden="1" thickTop="1" thickBot="1" x14ac:dyDescent="0.25">
      <c r="A84" s="128" t="s">
        <v>1464</v>
      </c>
      <c r="B84" s="128" t="s">
        <v>1465</v>
      </c>
      <c r="C84" s="128" t="s">
        <v>210</v>
      </c>
      <c r="D84" s="128" t="s">
        <v>1469</v>
      </c>
      <c r="E84" s="127">
        <f t="shared" ref="E84:E85" si="55">F84</f>
        <v>0</v>
      </c>
      <c r="F84" s="134">
        <v>0</v>
      </c>
      <c r="G84" s="134"/>
      <c r="H84" s="134"/>
      <c r="I84" s="134"/>
      <c r="J84" s="127">
        <f t="shared" ref="J84:J85" si="56">L84+O84</f>
        <v>0</v>
      </c>
      <c r="K84" s="134"/>
      <c r="L84" s="134"/>
      <c r="M84" s="134"/>
      <c r="N84" s="134"/>
      <c r="O84" s="132">
        <f t="shared" ref="O84" si="57">K84</f>
        <v>0</v>
      </c>
      <c r="P84" s="127">
        <f t="shared" ref="P84:P85" si="58">E84+J84</f>
        <v>0</v>
      </c>
      <c r="Q84" s="36"/>
      <c r="R84" s="26"/>
    </row>
    <row r="85" spans="1:18" s="33" customFormat="1" ht="138.75" hidden="1" thickTop="1" thickBot="1" x14ac:dyDescent="0.25">
      <c r="A85" s="128" t="s">
        <v>1466</v>
      </c>
      <c r="B85" s="128" t="s">
        <v>1467</v>
      </c>
      <c r="C85" s="128" t="s">
        <v>210</v>
      </c>
      <c r="D85" s="128" t="s">
        <v>1468</v>
      </c>
      <c r="E85" s="127">
        <f t="shared" si="55"/>
        <v>0</v>
      </c>
      <c r="F85" s="134"/>
      <c r="G85" s="134"/>
      <c r="H85" s="134"/>
      <c r="I85" s="134"/>
      <c r="J85" s="127">
        <f t="shared" si="56"/>
        <v>0</v>
      </c>
      <c r="K85" s="134"/>
      <c r="L85" s="134"/>
      <c r="M85" s="134"/>
      <c r="N85" s="134"/>
      <c r="O85" s="132">
        <f>K85</f>
        <v>0</v>
      </c>
      <c r="P85" s="127">
        <f t="shared" si="58"/>
        <v>0</v>
      </c>
      <c r="Q85" s="36"/>
      <c r="R85" s="26"/>
    </row>
    <row r="86" spans="1:18" s="33" customFormat="1" ht="213" customHeight="1" thickTop="1" thickBot="1" x14ac:dyDescent="0.25">
      <c r="A86" s="329" t="s">
        <v>1568</v>
      </c>
      <c r="B86" s="329" t="s">
        <v>1570</v>
      </c>
      <c r="C86" s="128"/>
      <c r="D86" s="329" t="s">
        <v>1567</v>
      </c>
      <c r="E86" s="325">
        <f>SUM(E87:E88)</f>
        <v>2032.85</v>
      </c>
      <c r="F86" s="325">
        <f t="shared" ref="F86:P86" si="59">SUM(F87:F88)</f>
        <v>2032.85</v>
      </c>
      <c r="G86" s="325">
        <f t="shared" si="59"/>
        <v>0</v>
      </c>
      <c r="H86" s="325">
        <f t="shared" si="59"/>
        <v>0</v>
      </c>
      <c r="I86" s="325">
        <f t="shared" si="59"/>
        <v>0</v>
      </c>
      <c r="J86" s="325">
        <f t="shared" si="59"/>
        <v>8491504.1500000004</v>
      </c>
      <c r="K86" s="325">
        <f t="shared" si="59"/>
        <v>150704</v>
      </c>
      <c r="L86" s="325">
        <f t="shared" si="59"/>
        <v>4737.1499999999996</v>
      </c>
      <c r="M86" s="325">
        <f t="shared" si="59"/>
        <v>0</v>
      </c>
      <c r="N86" s="325">
        <f t="shared" si="59"/>
        <v>0</v>
      </c>
      <c r="O86" s="325">
        <f t="shared" si="59"/>
        <v>8486767</v>
      </c>
      <c r="P86" s="325">
        <f t="shared" si="59"/>
        <v>8493537</v>
      </c>
      <c r="Q86" s="36"/>
      <c r="R86" s="26"/>
    </row>
    <row r="87" spans="1:18" s="33" customFormat="1" ht="230.25" thickTop="1" thickBot="1" x14ac:dyDescent="0.25">
      <c r="A87" s="103" t="s">
        <v>1571</v>
      </c>
      <c r="B87" s="103" t="s">
        <v>1569</v>
      </c>
      <c r="C87" s="103" t="s">
        <v>210</v>
      </c>
      <c r="D87" s="103" t="s">
        <v>1572</v>
      </c>
      <c r="E87" s="328">
        <f>F87</f>
        <v>2032.85</v>
      </c>
      <c r="F87" s="462">
        <v>2032.85</v>
      </c>
      <c r="G87" s="462"/>
      <c r="H87" s="462"/>
      <c r="I87" s="462"/>
      <c r="J87" s="328">
        <f t="shared" ref="J87:J88" si="60">L87+O87</f>
        <v>150704</v>
      </c>
      <c r="K87" s="462">
        <v>150704</v>
      </c>
      <c r="L87" s="462"/>
      <c r="M87" s="462"/>
      <c r="N87" s="462"/>
      <c r="O87" s="459">
        <f t="shared" ref="O87" si="61">K87</f>
        <v>150704</v>
      </c>
      <c r="P87" s="328">
        <f>E87+J87</f>
        <v>152736.85</v>
      </c>
      <c r="Q87" s="36"/>
      <c r="R87" s="26"/>
    </row>
    <row r="88" spans="1:18" s="33" customFormat="1" ht="219" customHeight="1" thickTop="1" thickBot="1" x14ac:dyDescent="0.25">
      <c r="A88" s="103" t="s">
        <v>1573</v>
      </c>
      <c r="B88" s="103" t="s">
        <v>1574</v>
      </c>
      <c r="C88" s="103" t="s">
        <v>210</v>
      </c>
      <c r="D88" s="103" t="s">
        <v>1575</v>
      </c>
      <c r="E88" s="328">
        <f>F88</f>
        <v>0</v>
      </c>
      <c r="F88" s="462"/>
      <c r="G88" s="462"/>
      <c r="H88" s="462"/>
      <c r="I88" s="462"/>
      <c r="J88" s="328">
        <f t="shared" si="60"/>
        <v>8340800.1500000004</v>
      </c>
      <c r="K88" s="462"/>
      <c r="L88" s="462">
        <v>4737.1499999999996</v>
      </c>
      <c r="M88" s="462"/>
      <c r="N88" s="462"/>
      <c r="O88" s="459">
        <f>K88+8336063</f>
        <v>8336063</v>
      </c>
      <c r="P88" s="328">
        <f>E88+J88</f>
        <v>8340800.1500000004</v>
      </c>
      <c r="Q88" s="36"/>
      <c r="R88" s="26"/>
    </row>
    <row r="89" spans="1:18" s="33" customFormat="1" ht="47.25" thickTop="1" thickBot="1" x14ac:dyDescent="0.25">
      <c r="A89" s="311" t="s">
        <v>710</v>
      </c>
      <c r="B89" s="311" t="s">
        <v>711</v>
      </c>
      <c r="C89" s="311"/>
      <c r="D89" s="311" t="s">
        <v>712</v>
      </c>
      <c r="E89" s="328">
        <f>SUM(E90:E91)</f>
        <v>2474600</v>
      </c>
      <c r="F89" s="328">
        <f t="shared" ref="F89:P89" si="62">SUM(F90:F91)</f>
        <v>2474600</v>
      </c>
      <c r="G89" s="328">
        <f t="shared" si="62"/>
        <v>0</v>
      </c>
      <c r="H89" s="328">
        <f t="shared" si="62"/>
        <v>590600</v>
      </c>
      <c r="I89" s="328">
        <f t="shared" si="62"/>
        <v>0</v>
      </c>
      <c r="J89" s="328">
        <f t="shared" si="62"/>
        <v>0</v>
      </c>
      <c r="K89" s="328">
        <f t="shared" si="62"/>
        <v>0</v>
      </c>
      <c r="L89" s="328">
        <f t="shared" si="62"/>
        <v>0</v>
      </c>
      <c r="M89" s="328">
        <f t="shared" si="62"/>
        <v>0</v>
      </c>
      <c r="N89" s="328">
        <f t="shared" si="62"/>
        <v>0</v>
      </c>
      <c r="O89" s="328">
        <f t="shared" si="62"/>
        <v>0</v>
      </c>
      <c r="P89" s="328">
        <f t="shared" si="62"/>
        <v>2474600</v>
      </c>
      <c r="Q89" s="36"/>
      <c r="R89" s="26"/>
    </row>
    <row r="90" spans="1:18" s="33" customFormat="1" ht="167.25" customHeight="1" thickTop="1" thickBot="1" x14ac:dyDescent="0.25">
      <c r="A90" s="103" t="s">
        <v>431</v>
      </c>
      <c r="B90" s="103" t="s">
        <v>432</v>
      </c>
      <c r="C90" s="103" t="s">
        <v>185</v>
      </c>
      <c r="D90" s="103" t="s">
        <v>430</v>
      </c>
      <c r="E90" s="328">
        <f t="shared" si="37"/>
        <v>715000</v>
      </c>
      <c r="F90" s="462">
        <v>715000</v>
      </c>
      <c r="G90" s="462"/>
      <c r="H90" s="462"/>
      <c r="I90" s="462"/>
      <c r="J90" s="328">
        <f>L90+O90</f>
        <v>0</v>
      </c>
      <c r="K90" s="462"/>
      <c r="L90" s="462"/>
      <c r="M90" s="462"/>
      <c r="N90" s="462"/>
      <c r="O90" s="459">
        <f>K90</f>
        <v>0</v>
      </c>
      <c r="P90" s="328">
        <f>E90+J90</f>
        <v>715000</v>
      </c>
      <c r="Q90" s="36"/>
      <c r="R90" s="39"/>
    </row>
    <row r="91" spans="1:18" s="33" customFormat="1" ht="114.75" customHeight="1" thickTop="1" thickBot="1" x14ac:dyDescent="0.25">
      <c r="A91" s="103" t="s">
        <v>1233</v>
      </c>
      <c r="B91" s="103" t="s">
        <v>1200</v>
      </c>
      <c r="C91" s="103" t="s">
        <v>206</v>
      </c>
      <c r="D91" s="470" t="s">
        <v>1201</v>
      </c>
      <c r="E91" s="328">
        <f t="shared" si="37"/>
        <v>1759600</v>
      </c>
      <c r="F91" s="462">
        <v>1759600</v>
      </c>
      <c r="G91" s="462"/>
      <c r="H91" s="462">
        <v>590600</v>
      </c>
      <c r="I91" s="462"/>
      <c r="J91" s="328">
        <f>L91+O91</f>
        <v>0</v>
      </c>
      <c r="K91" s="462"/>
      <c r="L91" s="462"/>
      <c r="M91" s="462"/>
      <c r="N91" s="462"/>
      <c r="O91" s="459">
        <f>K91</f>
        <v>0</v>
      </c>
      <c r="P91" s="328">
        <f>E91+J91</f>
        <v>1759600</v>
      </c>
      <c r="Q91" s="36"/>
      <c r="R91" s="39"/>
    </row>
    <row r="92" spans="1:18" s="33" customFormat="1" ht="57" customHeight="1" thickTop="1" thickBot="1" x14ac:dyDescent="0.25">
      <c r="A92" s="311" t="s">
        <v>1089</v>
      </c>
      <c r="B92" s="311" t="s">
        <v>748</v>
      </c>
      <c r="C92" s="311"/>
      <c r="D92" s="311" t="s">
        <v>1088</v>
      </c>
      <c r="E92" s="328">
        <f>E93+E96</f>
        <v>0</v>
      </c>
      <c r="F92" s="328">
        <f t="shared" ref="F92:P92" si="63">F93+F96</f>
        <v>0</v>
      </c>
      <c r="G92" s="328">
        <f t="shared" si="63"/>
        <v>0</v>
      </c>
      <c r="H92" s="328">
        <f t="shared" si="63"/>
        <v>0</v>
      </c>
      <c r="I92" s="328">
        <f t="shared" si="63"/>
        <v>0</v>
      </c>
      <c r="J92" s="328">
        <f t="shared" si="63"/>
        <v>49716204.380000003</v>
      </c>
      <c r="K92" s="328">
        <f t="shared" si="63"/>
        <v>49716204.380000003</v>
      </c>
      <c r="L92" s="328">
        <f t="shared" si="63"/>
        <v>0</v>
      </c>
      <c r="M92" s="328">
        <f t="shared" si="63"/>
        <v>0</v>
      </c>
      <c r="N92" s="328">
        <f t="shared" si="63"/>
        <v>0</v>
      </c>
      <c r="O92" s="328">
        <f t="shared" si="63"/>
        <v>49716204.380000003</v>
      </c>
      <c r="P92" s="328">
        <f t="shared" si="63"/>
        <v>49716204.380000003</v>
      </c>
      <c r="Q92" s="36"/>
      <c r="R92" s="26"/>
    </row>
    <row r="93" spans="1:18" s="33" customFormat="1" ht="57" customHeight="1" thickTop="1" thickBot="1" x14ac:dyDescent="0.25">
      <c r="A93" s="313" t="s">
        <v>1087</v>
      </c>
      <c r="B93" s="313" t="s">
        <v>803</v>
      </c>
      <c r="C93" s="313"/>
      <c r="D93" s="313" t="s">
        <v>804</v>
      </c>
      <c r="E93" s="315">
        <f>E94</f>
        <v>0</v>
      </c>
      <c r="F93" s="315">
        <f t="shared" ref="F93:P94" si="64">F94</f>
        <v>0</v>
      </c>
      <c r="G93" s="315">
        <f t="shared" si="64"/>
        <v>0</v>
      </c>
      <c r="H93" s="315">
        <f t="shared" si="64"/>
        <v>0</v>
      </c>
      <c r="I93" s="315">
        <f t="shared" si="64"/>
        <v>0</v>
      </c>
      <c r="J93" s="315">
        <f t="shared" si="64"/>
        <v>31260227.260000002</v>
      </c>
      <c r="K93" s="315">
        <f t="shared" si="64"/>
        <v>31260227.260000002</v>
      </c>
      <c r="L93" s="315">
        <f t="shared" si="64"/>
        <v>0</v>
      </c>
      <c r="M93" s="315">
        <f t="shared" si="64"/>
        <v>0</v>
      </c>
      <c r="N93" s="315">
        <f t="shared" si="64"/>
        <v>0</v>
      </c>
      <c r="O93" s="315">
        <f t="shared" si="64"/>
        <v>31260227.260000002</v>
      </c>
      <c r="P93" s="315">
        <f t="shared" si="64"/>
        <v>31260227.260000002</v>
      </c>
      <c r="Q93" s="36"/>
      <c r="R93" s="26"/>
    </row>
    <row r="94" spans="1:18" s="33" customFormat="1" ht="54" thickTop="1" thickBot="1" x14ac:dyDescent="0.25">
      <c r="A94" s="329" t="s">
        <v>1090</v>
      </c>
      <c r="B94" s="329" t="s">
        <v>821</v>
      </c>
      <c r="C94" s="329"/>
      <c r="D94" s="329" t="s">
        <v>1524</v>
      </c>
      <c r="E94" s="325">
        <f>E95</f>
        <v>0</v>
      </c>
      <c r="F94" s="325">
        <f t="shared" si="64"/>
        <v>0</v>
      </c>
      <c r="G94" s="325">
        <f t="shared" si="64"/>
        <v>0</v>
      </c>
      <c r="H94" s="325">
        <f t="shared" si="64"/>
        <v>0</v>
      </c>
      <c r="I94" s="325">
        <f t="shared" si="64"/>
        <v>0</v>
      </c>
      <c r="J94" s="325">
        <f t="shared" si="64"/>
        <v>31260227.260000002</v>
      </c>
      <c r="K94" s="325">
        <f t="shared" si="64"/>
        <v>31260227.260000002</v>
      </c>
      <c r="L94" s="325">
        <f t="shared" si="64"/>
        <v>0</v>
      </c>
      <c r="M94" s="325">
        <f t="shared" si="64"/>
        <v>0</v>
      </c>
      <c r="N94" s="325">
        <f t="shared" si="64"/>
        <v>0</v>
      </c>
      <c r="O94" s="325">
        <f t="shared" si="64"/>
        <v>31260227.260000002</v>
      </c>
      <c r="P94" s="325">
        <f t="shared" si="64"/>
        <v>31260227.260000002</v>
      </c>
      <c r="Q94" s="36"/>
      <c r="R94" s="26"/>
    </row>
    <row r="95" spans="1:18" s="33" customFormat="1" ht="57" customHeight="1" thickTop="1" thickBot="1" x14ac:dyDescent="0.25">
      <c r="A95" s="103" t="s">
        <v>1102</v>
      </c>
      <c r="B95" s="103" t="s">
        <v>311</v>
      </c>
      <c r="C95" s="103" t="s">
        <v>304</v>
      </c>
      <c r="D95" s="103" t="s">
        <v>1504</v>
      </c>
      <c r="E95" s="328">
        <f t="shared" ref="E95" si="65">F95</f>
        <v>0</v>
      </c>
      <c r="F95" s="462"/>
      <c r="G95" s="462"/>
      <c r="H95" s="462"/>
      <c r="I95" s="462"/>
      <c r="J95" s="328">
        <f t="shared" ref="J95" si="66">L95+O95</f>
        <v>31260227.260000002</v>
      </c>
      <c r="K95" s="462">
        <f>(2000000+5000000+2000000+2000000)+20260227.26</f>
        <v>31260227.260000002</v>
      </c>
      <c r="L95" s="462"/>
      <c r="M95" s="462"/>
      <c r="N95" s="462"/>
      <c r="O95" s="459">
        <f t="shared" ref="O95" si="67">K95</f>
        <v>31260227.260000002</v>
      </c>
      <c r="P95" s="328">
        <f>E95+J95</f>
        <v>31260227.260000002</v>
      </c>
      <c r="Q95" s="30"/>
      <c r="R95" s="26"/>
    </row>
    <row r="96" spans="1:18" s="33" customFormat="1" ht="57" customHeight="1" thickTop="1" thickBot="1" x14ac:dyDescent="0.25">
      <c r="A96" s="313" t="s">
        <v>1091</v>
      </c>
      <c r="B96" s="313" t="s">
        <v>691</v>
      </c>
      <c r="C96" s="313"/>
      <c r="D96" s="313" t="s">
        <v>689</v>
      </c>
      <c r="E96" s="315">
        <f>E97</f>
        <v>0</v>
      </c>
      <c r="F96" s="315">
        <f t="shared" ref="F96:P96" si="68">F97</f>
        <v>0</v>
      </c>
      <c r="G96" s="315">
        <f t="shared" si="68"/>
        <v>0</v>
      </c>
      <c r="H96" s="315">
        <f t="shared" si="68"/>
        <v>0</v>
      </c>
      <c r="I96" s="315">
        <f t="shared" si="68"/>
        <v>0</v>
      </c>
      <c r="J96" s="315">
        <f t="shared" si="68"/>
        <v>18455977.120000001</v>
      </c>
      <c r="K96" s="315">
        <f t="shared" si="68"/>
        <v>18455977.120000001</v>
      </c>
      <c r="L96" s="315">
        <f t="shared" si="68"/>
        <v>0</v>
      </c>
      <c r="M96" s="315">
        <f t="shared" si="68"/>
        <v>0</v>
      </c>
      <c r="N96" s="315">
        <f t="shared" si="68"/>
        <v>0</v>
      </c>
      <c r="O96" s="315">
        <f t="shared" si="68"/>
        <v>18455977.120000001</v>
      </c>
      <c r="P96" s="315">
        <f t="shared" si="68"/>
        <v>18455977.120000001</v>
      </c>
      <c r="Q96" s="30"/>
      <c r="R96" s="26"/>
    </row>
    <row r="97" spans="1:18" s="33" customFormat="1" ht="57" customHeight="1" thickTop="1" thickBot="1" x14ac:dyDescent="0.25">
      <c r="A97" s="103" t="s">
        <v>1092</v>
      </c>
      <c r="B97" s="103" t="s">
        <v>212</v>
      </c>
      <c r="C97" s="103" t="s">
        <v>213</v>
      </c>
      <c r="D97" s="103" t="s">
        <v>41</v>
      </c>
      <c r="E97" s="328">
        <f t="shared" ref="E97" si="69">F97</f>
        <v>0</v>
      </c>
      <c r="F97" s="462"/>
      <c r="G97" s="462"/>
      <c r="H97" s="462"/>
      <c r="I97" s="462"/>
      <c r="J97" s="328">
        <f t="shared" ref="J97" si="70">L97+O97</f>
        <v>18455977.120000001</v>
      </c>
      <c r="K97" s="462">
        <f>(7500000+7500000)+3455977.12</f>
        <v>18455977.120000001</v>
      </c>
      <c r="L97" s="462"/>
      <c r="M97" s="462"/>
      <c r="N97" s="462"/>
      <c r="O97" s="459">
        <f t="shared" ref="O97" si="71">K97</f>
        <v>18455977.120000001</v>
      </c>
      <c r="P97" s="328">
        <f>E97+J97</f>
        <v>18455977.120000001</v>
      </c>
      <c r="Q97" s="30"/>
      <c r="R97" s="26"/>
    </row>
    <row r="98" spans="1:18" s="33" customFormat="1" ht="47.25" hidden="1" thickTop="1" thickBot="1" x14ac:dyDescent="0.25">
      <c r="A98" s="125" t="s">
        <v>1224</v>
      </c>
      <c r="B98" s="125" t="s">
        <v>696</v>
      </c>
      <c r="C98" s="125"/>
      <c r="D98" s="125" t="s">
        <v>697</v>
      </c>
      <c r="E98" s="127">
        <f t="shared" ref="E98:P99" si="72">E99</f>
        <v>0</v>
      </c>
      <c r="F98" s="127">
        <f t="shared" si="72"/>
        <v>0</v>
      </c>
      <c r="G98" s="127">
        <f t="shared" si="72"/>
        <v>0</v>
      </c>
      <c r="H98" s="127">
        <f t="shared" si="72"/>
        <v>0</v>
      </c>
      <c r="I98" s="127">
        <f t="shared" si="72"/>
        <v>0</v>
      </c>
      <c r="J98" s="127">
        <f t="shared" si="72"/>
        <v>0</v>
      </c>
      <c r="K98" s="127">
        <f t="shared" si="72"/>
        <v>0</v>
      </c>
      <c r="L98" s="127">
        <f t="shared" si="72"/>
        <v>0</v>
      </c>
      <c r="M98" s="127">
        <f t="shared" si="72"/>
        <v>0</v>
      </c>
      <c r="N98" s="127">
        <f t="shared" si="72"/>
        <v>0</v>
      </c>
      <c r="O98" s="127">
        <f t="shared" si="72"/>
        <v>0</v>
      </c>
      <c r="P98" s="127">
        <f t="shared" si="72"/>
        <v>0</v>
      </c>
      <c r="Q98" s="30"/>
      <c r="R98" s="26"/>
    </row>
    <row r="99" spans="1:18" s="33" customFormat="1" ht="47.25" hidden="1" thickTop="1" thickBot="1" x14ac:dyDescent="0.25">
      <c r="A99" s="136" t="s">
        <v>1225</v>
      </c>
      <c r="B99" s="136" t="s">
        <v>1186</v>
      </c>
      <c r="C99" s="136"/>
      <c r="D99" s="136" t="s">
        <v>1184</v>
      </c>
      <c r="E99" s="137">
        <f t="shared" si="72"/>
        <v>0</v>
      </c>
      <c r="F99" s="137">
        <f t="shared" si="72"/>
        <v>0</v>
      </c>
      <c r="G99" s="137">
        <f t="shared" si="72"/>
        <v>0</v>
      </c>
      <c r="H99" s="137">
        <f t="shared" si="72"/>
        <v>0</v>
      </c>
      <c r="I99" s="137">
        <f t="shared" si="72"/>
        <v>0</v>
      </c>
      <c r="J99" s="137">
        <f t="shared" si="72"/>
        <v>0</v>
      </c>
      <c r="K99" s="137">
        <f t="shared" si="72"/>
        <v>0</v>
      </c>
      <c r="L99" s="137">
        <f t="shared" si="72"/>
        <v>0</v>
      </c>
      <c r="M99" s="137">
        <f t="shared" si="72"/>
        <v>0</v>
      </c>
      <c r="N99" s="137">
        <f t="shared" si="72"/>
        <v>0</v>
      </c>
      <c r="O99" s="137">
        <f t="shared" si="72"/>
        <v>0</v>
      </c>
      <c r="P99" s="137">
        <f t="shared" si="72"/>
        <v>0</v>
      </c>
      <c r="Q99" s="30"/>
      <c r="R99" s="26"/>
    </row>
    <row r="100" spans="1:18" s="33" customFormat="1" ht="48" hidden="1" thickTop="1" thickBot="1" x14ac:dyDescent="0.25">
      <c r="A100" s="128" t="s">
        <v>1226</v>
      </c>
      <c r="B100" s="128" t="s">
        <v>1190</v>
      </c>
      <c r="C100" s="128" t="s">
        <v>1188</v>
      </c>
      <c r="D100" s="128" t="s">
        <v>1187</v>
      </c>
      <c r="E100" s="127">
        <f>F100</f>
        <v>0</v>
      </c>
      <c r="F100" s="134"/>
      <c r="G100" s="134"/>
      <c r="H100" s="134"/>
      <c r="I100" s="134"/>
      <c r="J100" s="127">
        <f>L100+O100</f>
        <v>0</v>
      </c>
      <c r="K100" s="134">
        <v>0</v>
      </c>
      <c r="L100" s="134"/>
      <c r="M100" s="134"/>
      <c r="N100" s="134"/>
      <c r="O100" s="132">
        <f>K100</f>
        <v>0</v>
      </c>
      <c r="P100" s="127">
        <f>E100+J100</f>
        <v>0</v>
      </c>
      <c r="Q100" s="30"/>
      <c r="R100" s="26"/>
    </row>
    <row r="101" spans="1:18" s="33" customFormat="1" ht="47.25" hidden="1" customHeight="1" thickTop="1" thickBot="1" x14ac:dyDescent="0.25">
      <c r="A101" s="146" t="s">
        <v>1028</v>
      </c>
      <c r="B101" s="146" t="s">
        <v>702</v>
      </c>
      <c r="C101" s="146"/>
      <c r="D101" s="146" t="s">
        <v>703</v>
      </c>
      <c r="E101" s="42">
        <f>E102</f>
        <v>0</v>
      </c>
      <c r="F101" s="42">
        <f t="shared" ref="F101:P102" si="73">F102</f>
        <v>0</v>
      </c>
      <c r="G101" s="42">
        <f t="shared" si="73"/>
        <v>0</v>
      </c>
      <c r="H101" s="42">
        <f t="shared" si="73"/>
        <v>0</v>
      </c>
      <c r="I101" s="42">
        <f t="shared" si="73"/>
        <v>0</v>
      </c>
      <c r="J101" s="42">
        <f t="shared" si="73"/>
        <v>0</v>
      </c>
      <c r="K101" s="42">
        <f t="shared" si="73"/>
        <v>0</v>
      </c>
      <c r="L101" s="42">
        <f t="shared" si="73"/>
        <v>0</v>
      </c>
      <c r="M101" s="42">
        <f t="shared" si="73"/>
        <v>0</v>
      </c>
      <c r="N101" s="42">
        <f t="shared" si="73"/>
        <v>0</v>
      </c>
      <c r="O101" s="42">
        <f t="shared" si="73"/>
        <v>0</v>
      </c>
      <c r="P101" s="42">
        <f t="shared" si="73"/>
        <v>0</v>
      </c>
      <c r="Q101" s="36"/>
      <c r="R101" s="26"/>
    </row>
    <row r="102" spans="1:18" s="33" customFormat="1" ht="91.5" hidden="1" thickTop="1" thickBot="1" x14ac:dyDescent="0.25">
      <c r="A102" s="147" t="s">
        <v>1029</v>
      </c>
      <c r="B102" s="147" t="s">
        <v>705</v>
      </c>
      <c r="C102" s="147"/>
      <c r="D102" s="147" t="s">
        <v>706</v>
      </c>
      <c r="E102" s="148">
        <f>E103</f>
        <v>0</v>
      </c>
      <c r="F102" s="148">
        <f t="shared" si="73"/>
        <v>0</v>
      </c>
      <c r="G102" s="148">
        <f t="shared" si="73"/>
        <v>0</v>
      </c>
      <c r="H102" s="148">
        <f t="shared" si="73"/>
        <v>0</v>
      </c>
      <c r="I102" s="148">
        <f t="shared" si="73"/>
        <v>0</v>
      </c>
      <c r="J102" s="148">
        <f t="shared" si="73"/>
        <v>0</v>
      </c>
      <c r="K102" s="148">
        <f t="shared" si="73"/>
        <v>0</v>
      </c>
      <c r="L102" s="148">
        <f t="shared" si="73"/>
        <v>0</v>
      </c>
      <c r="M102" s="148">
        <f t="shared" si="73"/>
        <v>0</v>
      </c>
      <c r="N102" s="148">
        <f t="shared" si="73"/>
        <v>0</v>
      </c>
      <c r="O102" s="148">
        <f t="shared" si="73"/>
        <v>0</v>
      </c>
      <c r="P102" s="148">
        <f t="shared" si="73"/>
        <v>0</v>
      </c>
      <c r="Q102" s="36"/>
      <c r="R102" s="26"/>
    </row>
    <row r="103" spans="1:18" s="33" customFormat="1" ht="48" hidden="1" thickTop="1" thickBot="1" x14ac:dyDescent="0.25">
      <c r="A103" s="41" t="s">
        <v>1030</v>
      </c>
      <c r="B103" s="41" t="s">
        <v>363</v>
      </c>
      <c r="C103" s="41" t="s">
        <v>43</v>
      </c>
      <c r="D103" s="41" t="s">
        <v>364</v>
      </c>
      <c r="E103" s="42">
        <f t="shared" ref="E103" si="74">F103</f>
        <v>0</v>
      </c>
      <c r="F103" s="43"/>
      <c r="G103" s="43"/>
      <c r="H103" s="43"/>
      <c r="I103" s="43"/>
      <c r="J103" s="42">
        <f>L103+O103</f>
        <v>0</v>
      </c>
      <c r="K103" s="43"/>
      <c r="L103" s="43"/>
      <c r="M103" s="43"/>
      <c r="N103" s="43"/>
      <c r="O103" s="44">
        <f>K103</f>
        <v>0</v>
      </c>
      <c r="P103" s="42">
        <f>E103+J103</f>
        <v>0</v>
      </c>
      <c r="Q103" s="36"/>
      <c r="R103" s="26"/>
    </row>
    <row r="104" spans="1:18" ht="120" customHeight="1" thickTop="1" thickBot="1" x14ac:dyDescent="0.25">
      <c r="A104" s="661" t="s">
        <v>154</v>
      </c>
      <c r="B104" s="661"/>
      <c r="C104" s="661"/>
      <c r="D104" s="662" t="s">
        <v>18</v>
      </c>
      <c r="E104" s="663">
        <f>E105</f>
        <v>94061866</v>
      </c>
      <c r="F104" s="664">
        <f t="shared" ref="F104:G104" si="75">F105</f>
        <v>94061866</v>
      </c>
      <c r="G104" s="664">
        <f t="shared" si="75"/>
        <v>5749881</v>
      </c>
      <c r="H104" s="664">
        <f>H105</f>
        <v>399960</v>
      </c>
      <c r="I104" s="664">
        <f t="shared" ref="I104" si="76">I105</f>
        <v>0</v>
      </c>
      <c r="J104" s="663">
        <f>J105</f>
        <v>21500635.990000002</v>
      </c>
      <c r="K104" s="664">
        <f>K105</f>
        <v>21500635.990000002</v>
      </c>
      <c r="L104" s="664">
        <f>L105</f>
        <v>0</v>
      </c>
      <c r="M104" s="664">
        <f t="shared" ref="M104" si="77">M105</f>
        <v>0</v>
      </c>
      <c r="N104" s="664">
        <f>N105</f>
        <v>0</v>
      </c>
      <c r="O104" s="663">
        <f>O105</f>
        <v>21500635.990000002</v>
      </c>
      <c r="P104" s="664">
        <f>P105</f>
        <v>115562501.98999999</v>
      </c>
      <c r="Q104" s="20"/>
    </row>
    <row r="105" spans="1:18" ht="120" customHeight="1" thickTop="1" thickBot="1" x14ac:dyDescent="0.25">
      <c r="A105" s="658" t="s">
        <v>155</v>
      </c>
      <c r="B105" s="658"/>
      <c r="C105" s="658"/>
      <c r="D105" s="659" t="s">
        <v>36</v>
      </c>
      <c r="E105" s="660">
        <f>E106+E109+E124+E122</f>
        <v>94061866</v>
      </c>
      <c r="F105" s="660">
        <f t="shared" ref="F105:P105" si="78">F106+F109+F124+F122</f>
        <v>94061866</v>
      </c>
      <c r="G105" s="660">
        <f t="shared" si="78"/>
        <v>5749881</v>
      </c>
      <c r="H105" s="660">
        <f t="shared" si="78"/>
        <v>399960</v>
      </c>
      <c r="I105" s="660">
        <f t="shared" si="78"/>
        <v>0</v>
      </c>
      <c r="J105" s="660">
        <f t="shared" si="78"/>
        <v>21500635.990000002</v>
      </c>
      <c r="K105" s="660">
        <f t="shared" si="78"/>
        <v>21500635.990000002</v>
      </c>
      <c r="L105" s="660">
        <f t="shared" si="78"/>
        <v>0</v>
      </c>
      <c r="M105" s="660">
        <f t="shared" si="78"/>
        <v>0</v>
      </c>
      <c r="N105" s="660">
        <f t="shared" si="78"/>
        <v>0</v>
      </c>
      <c r="O105" s="660">
        <f t="shared" si="78"/>
        <v>21500635.990000002</v>
      </c>
      <c r="P105" s="660">
        <f t="shared" si="78"/>
        <v>115562501.98999999</v>
      </c>
      <c r="Q105" s="565" t="b">
        <f>P105=P107+P110+P111+P112+P113+P116+P120+P121+P123+P127</f>
        <v>1</v>
      </c>
      <c r="R105" s="26"/>
    </row>
    <row r="106" spans="1:18" ht="47.25" thickTop="1" thickBot="1" x14ac:dyDescent="0.25">
      <c r="A106" s="311" t="s">
        <v>713</v>
      </c>
      <c r="B106" s="311" t="s">
        <v>684</v>
      </c>
      <c r="C106" s="311"/>
      <c r="D106" s="311" t="s">
        <v>685</v>
      </c>
      <c r="E106" s="328">
        <f>SUM(E107:E108)</f>
        <v>3390311</v>
      </c>
      <c r="F106" s="328">
        <f t="shared" ref="F106:P106" si="79">SUM(F107:F108)</f>
        <v>3390311</v>
      </c>
      <c r="G106" s="328">
        <f t="shared" si="79"/>
        <v>2480000</v>
      </c>
      <c r="H106" s="328">
        <f t="shared" si="79"/>
        <v>191160</v>
      </c>
      <c r="I106" s="328">
        <f t="shared" si="79"/>
        <v>0</v>
      </c>
      <c r="J106" s="328">
        <f t="shared" si="79"/>
        <v>0</v>
      </c>
      <c r="K106" s="328">
        <f t="shared" si="79"/>
        <v>0</v>
      </c>
      <c r="L106" s="328">
        <f t="shared" si="79"/>
        <v>0</v>
      </c>
      <c r="M106" s="328">
        <f t="shared" si="79"/>
        <v>0</v>
      </c>
      <c r="N106" s="328">
        <f t="shared" si="79"/>
        <v>0</v>
      </c>
      <c r="O106" s="328">
        <f t="shared" si="79"/>
        <v>0</v>
      </c>
      <c r="P106" s="328">
        <f t="shared" si="79"/>
        <v>3390311</v>
      </c>
      <c r="Q106" s="30"/>
      <c r="R106" s="26"/>
    </row>
    <row r="107" spans="1:18" ht="93" thickTop="1" thickBot="1" x14ac:dyDescent="0.25">
      <c r="A107" s="103" t="s">
        <v>416</v>
      </c>
      <c r="B107" s="103" t="s">
        <v>236</v>
      </c>
      <c r="C107" s="103" t="s">
        <v>234</v>
      </c>
      <c r="D107" s="103" t="s">
        <v>235</v>
      </c>
      <c r="E107" s="328">
        <f>F107</f>
        <v>3390311</v>
      </c>
      <c r="F107" s="462">
        <v>3390311</v>
      </c>
      <c r="G107" s="462">
        <v>2480000</v>
      </c>
      <c r="H107" s="462">
        <v>191160</v>
      </c>
      <c r="I107" s="462"/>
      <c r="J107" s="328">
        <f t="shared" ref="J107:J133" si="80">L107+O107</f>
        <v>0</v>
      </c>
      <c r="K107" s="462">
        <v>0</v>
      </c>
      <c r="L107" s="462"/>
      <c r="M107" s="462"/>
      <c r="N107" s="462"/>
      <c r="O107" s="459">
        <f>K107</f>
        <v>0</v>
      </c>
      <c r="P107" s="328">
        <f t="shared" ref="P107:P133" si="81">E107+J107</f>
        <v>3390311</v>
      </c>
      <c r="Q107" s="39"/>
      <c r="R107" s="26"/>
    </row>
    <row r="108" spans="1:18" ht="93" hidden="1" thickTop="1" thickBot="1" x14ac:dyDescent="0.25">
      <c r="A108" s="128" t="s">
        <v>1257</v>
      </c>
      <c r="B108" s="128" t="s">
        <v>362</v>
      </c>
      <c r="C108" s="128" t="s">
        <v>625</v>
      </c>
      <c r="D108" s="128" t="s">
        <v>626</v>
      </c>
      <c r="E108" s="127">
        <f>F108</f>
        <v>0</v>
      </c>
      <c r="F108" s="134">
        <v>0</v>
      </c>
      <c r="G108" s="134"/>
      <c r="H108" s="134"/>
      <c r="I108" s="134"/>
      <c r="J108" s="127">
        <f t="shared" si="80"/>
        <v>0</v>
      </c>
      <c r="K108" s="134"/>
      <c r="L108" s="134"/>
      <c r="M108" s="134"/>
      <c r="N108" s="134"/>
      <c r="O108" s="132">
        <f>K108</f>
        <v>0</v>
      </c>
      <c r="P108" s="127">
        <f t="shared" si="81"/>
        <v>0</v>
      </c>
      <c r="Q108" s="39"/>
      <c r="R108" s="26"/>
    </row>
    <row r="109" spans="1:18" ht="47.25" thickTop="1" thickBot="1" x14ac:dyDescent="0.25">
      <c r="A109" s="311" t="s">
        <v>714</v>
      </c>
      <c r="B109" s="311" t="s">
        <v>715</v>
      </c>
      <c r="C109" s="311"/>
      <c r="D109" s="311" t="s">
        <v>716</v>
      </c>
      <c r="E109" s="328">
        <f>SUM(E110:E121)-E115-E117-E119</f>
        <v>90571555</v>
      </c>
      <c r="F109" s="328">
        <f t="shared" ref="F109:P109" si="82">SUM(F110:F121)-F115-F117-F119</f>
        <v>90571555</v>
      </c>
      <c r="G109" s="328">
        <f t="shared" si="82"/>
        <v>3269881</v>
      </c>
      <c r="H109" s="328">
        <f t="shared" si="82"/>
        <v>208800</v>
      </c>
      <c r="I109" s="328">
        <f t="shared" si="82"/>
        <v>0</v>
      </c>
      <c r="J109" s="328">
        <f t="shared" si="82"/>
        <v>18441711</v>
      </c>
      <c r="K109" s="328">
        <f t="shared" si="82"/>
        <v>18441711</v>
      </c>
      <c r="L109" s="328">
        <f t="shared" si="82"/>
        <v>0</v>
      </c>
      <c r="M109" s="328">
        <f t="shared" si="82"/>
        <v>0</v>
      </c>
      <c r="N109" s="328">
        <f t="shared" si="82"/>
        <v>0</v>
      </c>
      <c r="O109" s="328">
        <f t="shared" si="82"/>
        <v>18441711</v>
      </c>
      <c r="P109" s="328">
        <f t="shared" si="82"/>
        <v>109013266</v>
      </c>
      <c r="Q109" s="39"/>
      <c r="R109" s="39"/>
    </row>
    <row r="110" spans="1:18" ht="48" thickTop="1" thickBot="1" x14ac:dyDescent="0.25">
      <c r="A110" s="103" t="s">
        <v>214</v>
      </c>
      <c r="B110" s="103" t="s">
        <v>211</v>
      </c>
      <c r="C110" s="103" t="s">
        <v>215</v>
      </c>
      <c r="D110" s="103" t="s">
        <v>19</v>
      </c>
      <c r="E110" s="328">
        <f>F110</f>
        <v>18839100</v>
      </c>
      <c r="F110" s="462">
        <f>24239100-5400000</f>
        <v>18839100</v>
      </c>
      <c r="G110" s="462"/>
      <c r="H110" s="462"/>
      <c r="I110" s="462"/>
      <c r="J110" s="328">
        <f t="shared" si="80"/>
        <v>12012000</v>
      </c>
      <c r="K110" s="462">
        <f>(6800000)+5212000</f>
        <v>12012000</v>
      </c>
      <c r="L110" s="462"/>
      <c r="M110" s="462"/>
      <c r="N110" s="462"/>
      <c r="O110" s="459">
        <f>K110</f>
        <v>12012000</v>
      </c>
      <c r="P110" s="328">
        <f t="shared" si="81"/>
        <v>30851100</v>
      </c>
      <c r="Q110" s="20"/>
      <c r="R110" s="30"/>
    </row>
    <row r="111" spans="1:18" ht="48" thickTop="1" thickBot="1" x14ac:dyDescent="0.25">
      <c r="A111" s="103" t="s">
        <v>505</v>
      </c>
      <c r="B111" s="103" t="s">
        <v>508</v>
      </c>
      <c r="C111" s="103" t="s">
        <v>507</v>
      </c>
      <c r="D111" s="103" t="s">
        <v>506</v>
      </c>
      <c r="E111" s="328">
        <f>F111</f>
        <v>9660600</v>
      </c>
      <c r="F111" s="462">
        <f>10860600-1200000</f>
        <v>9660600</v>
      </c>
      <c r="G111" s="462"/>
      <c r="H111" s="462"/>
      <c r="I111" s="462"/>
      <c r="J111" s="328">
        <f t="shared" si="80"/>
        <v>0</v>
      </c>
      <c r="K111" s="462"/>
      <c r="L111" s="462"/>
      <c r="M111" s="462"/>
      <c r="N111" s="462"/>
      <c r="O111" s="459">
        <f>K111</f>
        <v>0</v>
      </c>
      <c r="P111" s="328">
        <f t="shared" si="81"/>
        <v>9660600</v>
      </c>
      <c r="Q111" s="20"/>
      <c r="R111" s="39"/>
    </row>
    <row r="112" spans="1:18" ht="48" thickTop="1" thickBot="1" x14ac:dyDescent="0.25">
      <c r="A112" s="103" t="s">
        <v>216</v>
      </c>
      <c r="B112" s="103" t="s">
        <v>217</v>
      </c>
      <c r="C112" s="103" t="s">
        <v>218</v>
      </c>
      <c r="D112" s="103" t="s">
        <v>219</v>
      </c>
      <c r="E112" s="328">
        <f t="shared" ref="E112:E133" si="83">F112</f>
        <v>8081900</v>
      </c>
      <c r="F112" s="462">
        <f>9381900-1300000</f>
        <v>8081900</v>
      </c>
      <c r="G112" s="462"/>
      <c r="H112" s="462"/>
      <c r="I112" s="462"/>
      <c r="J112" s="328">
        <f t="shared" si="80"/>
        <v>6429711</v>
      </c>
      <c r="K112" s="462">
        <f>(2400000)+4029711</f>
        <v>6429711</v>
      </c>
      <c r="L112" s="462"/>
      <c r="M112" s="462"/>
      <c r="N112" s="462"/>
      <c r="O112" s="459">
        <f>K112</f>
        <v>6429711</v>
      </c>
      <c r="P112" s="328">
        <f t="shared" si="81"/>
        <v>14511611</v>
      </c>
      <c r="Q112" s="20"/>
      <c r="R112" s="39"/>
    </row>
    <row r="113" spans="1:18" ht="93" thickTop="1" thickBot="1" x14ac:dyDescent="0.25">
      <c r="A113" s="103" t="s">
        <v>220</v>
      </c>
      <c r="B113" s="103" t="s">
        <v>221</v>
      </c>
      <c r="C113" s="103" t="s">
        <v>222</v>
      </c>
      <c r="D113" s="103" t="s">
        <v>345</v>
      </c>
      <c r="E113" s="328">
        <f t="shared" si="83"/>
        <v>25012900</v>
      </c>
      <c r="F113" s="462">
        <f>26512900-1500000</f>
        <v>25012900</v>
      </c>
      <c r="G113" s="134"/>
      <c r="H113" s="134"/>
      <c r="I113" s="134"/>
      <c r="J113" s="328">
        <f t="shared" si="80"/>
        <v>0</v>
      </c>
      <c r="K113" s="462"/>
      <c r="L113" s="462"/>
      <c r="M113" s="462"/>
      <c r="N113" s="462"/>
      <c r="O113" s="459">
        <f>K113</f>
        <v>0</v>
      </c>
      <c r="P113" s="328">
        <f t="shared" si="81"/>
        <v>25012900</v>
      </c>
      <c r="Q113" s="20"/>
      <c r="R113" s="39"/>
    </row>
    <row r="114" spans="1:18" ht="48" hidden="1" thickTop="1" thickBot="1" x14ac:dyDescent="0.25">
      <c r="A114" s="128" t="s">
        <v>223</v>
      </c>
      <c r="B114" s="128" t="s">
        <v>224</v>
      </c>
      <c r="C114" s="128" t="s">
        <v>225</v>
      </c>
      <c r="D114" s="128" t="s">
        <v>226</v>
      </c>
      <c r="E114" s="127">
        <f t="shared" si="83"/>
        <v>0</v>
      </c>
      <c r="F114" s="134">
        <f>(7556300)-7556300</f>
        <v>0</v>
      </c>
      <c r="G114" s="134"/>
      <c r="H114" s="134"/>
      <c r="I114" s="134"/>
      <c r="J114" s="328">
        <f t="shared" si="80"/>
        <v>0</v>
      </c>
      <c r="K114" s="462">
        <f>(200000)-200000</f>
        <v>0</v>
      </c>
      <c r="L114" s="462"/>
      <c r="M114" s="462"/>
      <c r="N114" s="462"/>
      <c r="O114" s="459">
        <f>K114</f>
        <v>0</v>
      </c>
      <c r="P114" s="328">
        <f t="shared" si="81"/>
        <v>0</v>
      </c>
      <c r="Q114" s="20"/>
      <c r="R114" s="39"/>
    </row>
    <row r="115" spans="1:18" ht="48" thickTop="1" thickBot="1" x14ac:dyDescent="0.25">
      <c r="A115" s="329" t="s">
        <v>717</v>
      </c>
      <c r="B115" s="329" t="s">
        <v>718</v>
      </c>
      <c r="C115" s="329"/>
      <c r="D115" s="329" t="s">
        <v>719</v>
      </c>
      <c r="E115" s="325">
        <f>E116</f>
        <v>19127800</v>
      </c>
      <c r="F115" s="325">
        <f t="shared" ref="F115:P115" si="84">F116</f>
        <v>19127800</v>
      </c>
      <c r="G115" s="325">
        <f t="shared" si="84"/>
        <v>0</v>
      </c>
      <c r="H115" s="325">
        <f t="shared" si="84"/>
        <v>0</v>
      </c>
      <c r="I115" s="325">
        <f t="shared" si="84"/>
        <v>0</v>
      </c>
      <c r="J115" s="325">
        <f t="shared" si="84"/>
        <v>0</v>
      </c>
      <c r="K115" s="325">
        <f t="shared" si="84"/>
        <v>0</v>
      </c>
      <c r="L115" s="325">
        <f t="shared" si="84"/>
        <v>0</v>
      </c>
      <c r="M115" s="325">
        <f t="shared" si="84"/>
        <v>0</v>
      </c>
      <c r="N115" s="325">
        <f t="shared" si="84"/>
        <v>0</v>
      </c>
      <c r="O115" s="325">
        <f t="shared" si="84"/>
        <v>0</v>
      </c>
      <c r="P115" s="325">
        <f t="shared" si="84"/>
        <v>19127800</v>
      </c>
      <c r="Q115" s="20"/>
      <c r="R115" s="39"/>
    </row>
    <row r="116" spans="1:18" ht="93" thickTop="1" thickBot="1" x14ac:dyDescent="0.25">
      <c r="A116" s="103" t="s">
        <v>227</v>
      </c>
      <c r="B116" s="103" t="s">
        <v>228</v>
      </c>
      <c r="C116" s="103" t="s">
        <v>346</v>
      </c>
      <c r="D116" s="103" t="s">
        <v>229</v>
      </c>
      <c r="E116" s="328">
        <f t="shared" si="83"/>
        <v>19127800</v>
      </c>
      <c r="F116" s="462">
        <f>19727800-600000</f>
        <v>19127800</v>
      </c>
      <c r="G116" s="462"/>
      <c r="H116" s="462"/>
      <c r="I116" s="462"/>
      <c r="J116" s="328">
        <f t="shared" si="80"/>
        <v>0</v>
      </c>
      <c r="K116" s="462"/>
      <c r="L116" s="462"/>
      <c r="M116" s="462"/>
      <c r="N116" s="462"/>
      <c r="O116" s="459">
        <f t="shared" ref="O116:O133" si="85">K116</f>
        <v>0</v>
      </c>
      <c r="P116" s="328">
        <f t="shared" si="81"/>
        <v>19127800</v>
      </c>
      <c r="Q116" s="20"/>
      <c r="R116" s="39"/>
    </row>
    <row r="117" spans="1:18" ht="48" hidden="1" thickTop="1" thickBot="1" x14ac:dyDescent="0.25">
      <c r="A117" s="140" t="s">
        <v>720</v>
      </c>
      <c r="B117" s="140" t="s">
        <v>721</v>
      </c>
      <c r="C117" s="140"/>
      <c r="D117" s="140" t="s">
        <v>722</v>
      </c>
      <c r="E117" s="141">
        <f>E118</f>
        <v>0</v>
      </c>
      <c r="F117" s="141">
        <f t="shared" ref="F117:P117" si="86">F118</f>
        <v>0</v>
      </c>
      <c r="G117" s="141">
        <f t="shared" si="86"/>
        <v>0</v>
      </c>
      <c r="H117" s="141">
        <f t="shared" si="86"/>
        <v>0</v>
      </c>
      <c r="I117" s="141">
        <f t="shared" si="86"/>
        <v>0</v>
      </c>
      <c r="J117" s="591">
        <f t="shared" si="86"/>
        <v>0</v>
      </c>
      <c r="K117" s="591">
        <f t="shared" si="86"/>
        <v>0</v>
      </c>
      <c r="L117" s="591">
        <f t="shared" si="86"/>
        <v>0</v>
      </c>
      <c r="M117" s="591">
        <f t="shared" si="86"/>
        <v>0</v>
      </c>
      <c r="N117" s="591">
        <f t="shared" si="86"/>
        <v>0</v>
      </c>
      <c r="O117" s="591">
        <f t="shared" si="86"/>
        <v>0</v>
      </c>
      <c r="P117" s="591">
        <f t="shared" si="86"/>
        <v>0</v>
      </c>
      <c r="Q117" s="20"/>
      <c r="R117" s="39"/>
    </row>
    <row r="118" spans="1:18" ht="48" hidden="1" thickTop="1" thickBot="1" x14ac:dyDescent="0.25">
      <c r="A118" s="128" t="s">
        <v>475</v>
      </c>
      <c r="B118" s="128" t="s">
        <v>476</v>
      </c>
      <c r="C118" s="128" t="s">
        <v>230</v>
      </c>
      <c r="D118" s="128" t="s">
        <v>477</v>
      </c>
      <c r="E118" s="127">
        <f t="shared" si="83"/>
        <v>0</v>
      </c>
      <c r="F118" s="134">
        <v>0</v>
      </c>
      <c r="G118" s="134"/>
      <c r="H118" s="134"/>
      <c r="I118" s="134"/>
      <c r="J118" s="592">
        <f t="shared" si="80"/>
        <v>0</v>
      </c>
      <c r="K118" s="593"/>
      <c r="L118" s="593"/>
      <c r="M118" s="593"/>
      <c r="N118" s="593"/>
      <c r="O118" s="594">
        <f t="shared" si="85"/>
        <v>0</v>
      </c>
      <c r="P118" s="592">
        <f t="shared" si="81"/>
        <v>0</v>
      </c>
      <c r="Q118" s="20"/>
      <c r="R118" s="39"/>
    </row>
    <row r="119" spans="1:18" ht="48" thickTop="1" thickBot="1" x14ac:dyDescent="0.25">
      <c r="A119" s="329" t="s">
        <v>723</v>
      </c>
      <c r="B119" s="329" t="s">
        <v>724</v>
      </c>
      <c r="C119" s="329"/>
      <c r="D119" s="329" t="s">
        <v>725</v>
      </c>
      <c r="E119" s="325">
        <f>SUM(E120:E121)</f>
        <v>9849255</v>
      </c>
      <c r="F119" s="325">
        <f t="shared" ref="F119:P119" si="87">SUM(F120:F121)</f>
        <v>9849255</v>
      </c>
      <c r="G119" s="325">
        <f t="shared" si="87"/>
        <v>3269881</v>
      </c>
      <c r="H119" s="325">
        <f t="shared" si="87"/>
        <v>208800</v>
      </c>
      <c r="I119" s="325">
        <f t="shared" si="87"/>
        <v>0</v>
      </c>
      <c r="J119" s="325">
        <f t="shared" si="87"/>
        <v>0</v>
      </c>
      <c r="K119" s="325">
        <f t="shared" si="87"/>
        <v>0</v>
      </c>
      <c r="L119" s="325">
        <f t="shared" si="87"/>
        <v>0</v>
      </c>
      <c r="M119" s="325">
        <f t="shared" si="87"/>
        <v>0</v>
      </c>
      <c r="N119" s="325">
        <f t="shared" si="87"/>
        <v>0</v>
      </c>
      <c r="O119" s="325">
        <f t="shared" si="87"/>
        <v>0</v>
      </c>
      <c r="P119" s="325">
        <f t="shared" si="87"/>
        <v>9849255</v>
      </c>
      <c r="Q119" s="20"/>
      <c r="R119" s="39"/>
    </row>
    <row r="120" spans="1:18" s="33" customFormat="1" ht="48" thickTop="1" thickBot="1" x14ac:dyDescent="0.25">
      <c r="A120" s="103" t="s">
        <v>321</v>
      </c>
      <c r="B120" s="103" t="s">
        <v>323</v>
      </c>
      <c r="C120" s="103" t="s">
        <v>230</v>
      </c>
      <c r="D120" s="470" t="s">
        <v>319</v>
      </c>
      <c r="E120" s="328">
        <f t="shared" si="83"/>
        <v>4423055</v>
      </c>
      <c r="F120" s="462">
        <v>4423055</v>
      </c>
      <c r="G120" s="462">
        <v>3269881</v>
      </c>
      <c r="H120" s="462">
        <v>208800</v>
      </c>
      <c r="I120" s="462"/>
      <c r="J120" s="328">
        <f t="shared" si="80"/>
        <v>0</v>
      </c>
      <c r="K120" s="462"/>
      <c r="L120" s="462"/>
      <c r="M120" s="462"/>
      <c r="N120" s="462"/>
      <c r="O120" s="459">
        <f t="shared" si="85"/>
        <v>0</v>
      </c>
      <c r="P120" s="328">
        <f t="shared" si="81"/>
        <v>4423055</v>
      </c>
      <c r="Q120" s="36"/>
      <c r="R120" s="26"/>
    </row>
    <row r="121" spans="1:18" s="33" customFormat="1" ht="48" thickTop="1" thickBot="1" x14ac:dyDescent="0.25">
      <c r="A121" s="103" t="s">
        <v>322</v>
      </c>
      <c r="B121" s="103" t="s">
        <v>324</v>
      </c>
      <c r="C121" s="103" t="s">
        <v>230</v>
      </c>
      <c r="D121" s="470" t="s">
        <v>320</v>
      </c>
      <c r="E121" s="328">
        <f t="shared" si="83"/>
        <v>5426200</v>
      </c>
      <c r="F121" s="462">
        <v>5426200</v>
      </c>
      <c r="G121" s="462"/>
      <c r="H121" s="462"/>
      <c r="I121" s="462"/>
      <c r="J121" s="328">
        <f t="shared" si="80"/>
        <v>0</v>
      </c>
      <c r="K121" s="462"/>
      <c r="L121" s="462"/>
      <c r="M121" s="462"/>
      <c r="N121" s="462"/>
      <c r="O121" s="459">
        <f t="shared" si="85"/>
        <v>0</v>
      </c>
      <c r="P121" s="328">
        <f t="shared" si="81"/>
        <v>5426200</v>
      </c>
      <c r="Q121" s="36"/>
      <c r="R121" s="39"/>
    </row>
    <row r="122" spans="1:18" s="33" customFormat="1" ht="47.25" thickTop="1" thickBot="1" x14ac:dyDescent="0.25">
      <c r="A122" s="311" t="s">
        <v>1198</v>
      </c>
      <c r="B122" s="311" t="s">
        <v>711</v>
      </c>
      <c r="C122" s="311"/>
      <c r="D122" s="311" t="s">
        <v>712</v>
      </c>
      <c r="E122" s="328">
        <f>E123</f>
        <v>100000</v>
      </c>
      <c r="F122" s="328">
        <f t="shared" ref="F122:P122" si="88">F123</f>
        <v>100000</v>
      </c>
      <c r="G122" s="328">
        <f t="shared" si="88"/>
        <v>0</v>
      </c>
      <c r="H122" s="328">
        <f t="shared" si="88"/>
        <v>0</v>
      </c>
      <c r="I122" s="328">
        <f t="shared" si="88"/>
        <v>0</v>
      </c>
      <c r="J122" s="328">
        <f t="shared" si="88"/>
        <v>0</v>
      </c>
      <c r="K122" s="328">
        <f t="shared" si="88"/>
        <v>0</v>
      </c>
      <c r="L122" s="328">
        <f t="shared" si="88"/>
        <v>0</v>
      </c>
      <c r="M122" s="328">
        <f t="shared" si="88"/>
        <v>0</v>
      </c>
      <c r="N122" s="328">
        <f t="shared" si="88"/>
        <v>0</v>
      </c>
      <c r="O122" s="328">
        <f t="shared" si="88"/>
        <v>0</v>
      </c>
      <c r="P122" s="328">
        <f t="shared" si="88"/>
        <v>100000</v>
      </c>
      <c r="Q122" s="36"/>
      <c r="R122" s="39"/>
    </row>
    <row r="123" spans="1:18" s="33" customFormat="1" ht="93" thickTop="1" thickBot="1" x14ac:dyDescent="0.25">
      <c r="A123" s="103" t="s">
        <v>1199</v>
      </c>
      <c r="B123" s="103" t="s">
        <v>1200</v>
      </c>
      <c r="C123" s="103" t="s">
        <v>206</v>
      </c>
      <c r="D123" s="470" t="s">
        <v>1201</v>
      </c>
      <c r="E123" s="328">
        <f t="shared" ref="E123" si="89">F123</f>
        <v>100000</v>
      </c>
      <c r="F123" s="462">
        <v>100000</v>
      </c>
      <c r="G123" s="462"/>
      <c r="H123" s="462"/>
      <c r="I123" s="462"/>
      <c r="J123" s="328">
        <f t="shared" ref="J123" si="90">L123+O123</f>
        <v>0</v>
      </c>
      <c r="K123" s="462"/>
      <c r="L123" s="462"/>
      <c r="M123" s="462"/>
      <c r="N123" s="462"/>
      <c r="O123" s="459">
        <f t="shared" ref="O123" si="91">K123</f>
        <v>0</v>
      </c>
      <c r="P123" s="328">
        <f t="shared" ref="P123" si="92">E123+J123</f>
        <v>100000</v>
      </c>
      <c r="Q123" s="36"/>
      <c r="R123" s="39"/>
    </row>
    <row r="124" spans="1:18" s="33" customFormat="1" ht="47.25" thickTop="1" thickBot="1" x14ac:dyDescent="0.25">
      <c r="A124" s="311" t="s">
        <v>750</v>
      </c>
      <c r="B124" s="311" t="s">
        <v>748</v>
      </c>
      <c r="C124" s="311"/>
      <c r="D124" s="311" t="s">
        <v>749</v>
      </c>
      <c r="E124" s="328">
        <f>SUM(E130)+E125</f>
        <v>0</v>
      </c>
      <c r="F124" s="328">
        <f t="shared" ref="F124:P124" si="93">SUM(F130)+F125</f>
        <v>0</v>
      </c>
      <c r="G124" s="328">
        <f t="shared" si="93"/>
        <v>0</v>
      </c>
      <c r="H124" s="328">
        <f t="shared" si="93"/>
        <v>0</v>
      </c>
      <c r="I124" s="328">
        <f t="shared" si="93"/>
        <v>0</v>
      </c>
      <c r="J124" s="328">
        <f t="shared" si="93"/>
        <v>3058924.99</v>
      </c>
      <c r="K124" s="328">
        <f t="shared" si="93"/>
        <v>3058924.99</v>
      </c>
      <c r="L124" s="328">
        <f t="shared" si="93"/>
        <v>0</v>
      </c>
      <c r="M124" s="328">
        <f t="shared" si="93"/>
        <v>0</v>
      </c>
      <c r="N124" s="328">
        <f t="shared" si="93"/>
        <v>0</v>
      </c>
      <c r="O124" s="328">
        <f t="shared" si="93"/>
        <v>3058924.99</v>
      </c>
      <c r="P124" s="328">
        <f t="shared" si="93"/>
        <v>3058924.99</v>
      </c>
      <c r="Q124" s="36"/>
      <c r="R124" s="39"/>
    </row>
    <row r="125" spans="1:18" s="33" customFormat="1" ht="47.25" thickTop="1" thickBot="1" x14ac:dyDescent="0.25">
      <c r="A125" s="313" t="s">
        <v>1053</v>
      </c>
      <c r="B125" s="313" t="s">
        <v>803</v>
      </c>
      <c r="C125" s="313"/>
      <c r="D125" s="313" t="s">
        <v>804</v>
      </c>
      <c r="E125" s="315">
        <f>E128+E126</f>
        <v>0</v>
      </c>
      <c r="F125" s="315">
        <f t="shared" ref="F125:P125" si="94">F128+F126</f>
        <v>0</v>
      </c>
      <c r="G125" s="315">
        <f t="shared" si="94"/>
        <v>0</v>
      </c>
      <c r="H125" s="315">
        <f t="shared" si="94"/>
        <v>0</v>
      </c>
      <c r="I125" s="315">
        <f t="shared" si="94"/>
        <v>0</v>
      </c>
      <c r="J125" s="315">
        <f t="shared" si="94"/>
        <v>3058924.99</v>
      </c>
      <c r="K125" s="315">
        <f t="shared" si="94"/>
        <v>3058924.99</v>
      </c>
      <c r="L125" s="315">
        <f t="shared" si="94"/>
        <v>0</v>
      </c>
      <c r="M125" s="315">
        <f t="shared" si="94"/>
        <v>0</v>
      </c>
      <c r="N125" s="315">
        <f t="shared" si="94"/>
        <v>0</v>
      </c>
      <c r="O125" s="315">
        <f t="shared" si="94"/>
        <v>3058924.99</v>
      </c>
      <c r="P125" s="315">
        <f t="shared" si="94"/>
        <v>3058924.99</v>
      </c>
      <c r="Q125" s="36"/>
      <c r="R125" s="39"/>
    </row>
    <row r="126" spans="1:18" s="33" customFormat="1" ht="54.75" thickTop="1" thickBot="1" x14ac:dyDescent="0.25">
      <c r="A126" s="329" t="s">
        <v>1180</v>
      </c>
      <c r="B126" s="329" t="s">
        <v>821</v>
      </c>
      <c r="C126" s="329"/>
      <c r="D126" s="329" t="s">
        <v>1508</v>
      </c>
      <c r="E126" s="325">
        <f>E127</f>
        <v>0</v>
      </c>
      <c r="F126" s="325">
        <f t="shared" ref="F126:P126" si="95">F127</f>
        <v>0</v>
      </c>
      <c r="G126" s="325">
        <f t="shared" si="95"/>
        <v>0</v>
      </c>
      <c r="H126" s="325">
        <f t="shared" si="95"/>
        <v>0</v>
      </c>
      <c r="I126" s="325">
        <f t="shared" si="95"/>
        <v>0</v>
      </c>
      <c r="J126" s="325">
        <f t="shared" si="95"/>
        <v>3058924.99</v>
      </c>
      <c r="K126" s="325">
        <f t="shared" si="95"/>
        <v>3058924.99</v>
      </c>
      <c r="L126" s="325">
        <f t="shared" si="95"/>
        <v>0</v>
      </c>
      <c r="M126" s="325">
        <f t="shared" si="95"/>
        <v>0</v>
      </c>
      <c r="N126" s="325">
        <f t="shared" si="95"/>
        <v>0</v>
      </c>
      <c r="O126" s="325">
        <f t="shared" si="95"/>
        <v>3058924.99</v>
      </c>
      <c r="P126" s="325">
        <f t="shared" si="95"/>
        <v>3058924.99</v>
      </c>
      <c r="Q126" s="36"/>
      <c r="R126" s="39"/>
    </row>
    <row r="127" spans="1:18" s="33" customFormat="1" ht="54" thickTop="1" thickBot="1" x14ac:dyDescent="0.25">
      <c r="A127" s="103" t="s">
        <v>1179</v>
      </c>
      <c r="B127" s="103" t="s">
        <v>1181</v>
      </c>
      <c r="C127" s="103" t="s">
        <v>304</v>
      </c>
      <c r="D127" s="103" t="s">
        <v>1530</v>
      </c>
      <c r="E127" s="328">
        <f t="shared" ref="E127" si="96">F127</f>
        <v>0</v>
      </c>
      <c r="F127" s="462"/>
      <c r="G127" s="462"/>
      <c r="H127" s="462"/>
      <c r="I127" s="462"/>
      <c r="J127" s="328">
        <f t="shared" ref="J127" si="97">L127+O127</f>
        <v>3058924.99</v>
      </c>
      <c r="K127" s="462">
        <f>(1000000)+2058924.99</f>
        <v>3058924.99</v>
      </c>
      <c r="L127" s="462"/>
      <c r="M127" s="462"/>
      <c r="N127" s="462"/>
      <c r="O127" s="459">
        <f>K127</f>
        <v>3058924.99</v>
      </c>
      <c r="P127" s="328">
        <f t="shared" ref="P127" si="98">E127+J127</f>
        <v>3058924.99</v>
      </c>
      <c r="Q127" s="36"/>
      <c r="R127" s="39"/>
    </row>
    <row r="128" spans="1:18" s="33" customFormat="1" ht="48" hidden="1" thickTop="1" thickBot="1" x14ac:dyDescent="0.25">
      <c r="A128" s="144" t="s">
        <v>1054</v>
      </c>
      <c r="B128" s="144" t="s">
        <v>1052</v>
      </c>
      <c r="C128" s="144"/>
      <c r="D128" s="144" t="s">
        <v>1051</v>
      </c>
      <c r="E128" s="145">
        <f>E129</f>
        <v>0</v>
      </c>
      <c r="F128" s="145">
        <f t="shared" ref="F128:P128" si="99">F129</f>
        <v>0</v>
      </c>
      <c r="G128" s="145">
        <f t="shared" si="99"/>
        <v>0</v>
      </c>
      <c r="H128" s="145">
        <f t="shared" si="99"/>
        <v>0</v>
      </c>
      <c r="I128" s="145">
        <f t="shared" si="99"/>
        <v>0</v>
      </c>
      <c r="J128" s="145">
        <f t="shared" si="99"/>
        <v>0</v>
      </c>
      <c r="K128" s="145">
        <f t="shared" si="99"/>
        <v>0</v>
      </c>
      <c r="L128" s="145">
        <f t="shared" si="99"/>
        <v>0</v>
      </c>
      <c r="M128" s="145">
        <f t="shared" si="99"/>
        <v>0</v>
      </c>
      <c r="N128" s="145">
        <f t="shared" si="99"/>
        <v>0</v>
      </c>
      <c r="O128" s="145">
        <f t="shared" si="99"/>
        <v>0</v>
      </c>
      <c r="P128" s="145">
        <f t="shared" si="99"/>
        <v>0</v>
      </c>
      <c r="Q128" s="36"/>
      <c r="R128" s="39"/>
    </row>
    <row r="129" spans="1:20" s="33" customFormat="1" ht="93" hidden="1" thickTop="1" thickBot="1" x14ac:dyDescent="0.25">
      <c r="A129" s="41" t="s">
        <v>1055</v>
      </c>
      <c r="B129" s="41" t="s">
        <v>1056</v>
      </c>
      <c r="C129" s="41" t="s">
        <v>170</v>
      </c>
      <c r="D129" s="41" t="s">
        <v>1057</v>
      </c>
      <c r="E129" s="42">
        <f t="shared" si="83"/>
        <v>0</v>
      </c>
      <c r="F129" s="43"/>
      <c r="G129" s="43"/>
      <c r="H129" s="43"/>
      <c r="I129" s="43"/>
      <c r="J129" s="42">
        <f t="shared" si="80"/>
        <v>0</v>
      </c>
      <c r="K129" s="43"/>
      <c r="L129" s="43"/>
      <c r="M129" s="43"/>
      <c r="N129" s="43"/>
      <c r="O129" s="44">
        <f>K129</f>
        <v>0</v>
      </c>
      <c r="P129" s="42">
        <f t="shared" si="81"/>
        <v>0</v>
      </c>
      <c r="Q129" s="36"/>
      <c r="R129" s="26"/>
    </row>
    <row r="130" spans="1:20" s="28" customFormat="1" ht="47.25" hidden="1" thickTop="1" thickBot="1" x14ac:dyDescent="0.25">
      <c r="A130" s="136" t="s">
        <v>726</v>
      </c>
      <c r="B130" s="136" t="s">
        <v>691</v>
      </c>
      <c r="C130" s="136"/>
      <c r="D130" s="136" t="s">
        <v>689</v>
      </c>
      <c r="E130" s="137">
        <f>E131</f>
        <v>0</v>
      </c>
      <c r="F130" s="137">
        <f t="shared" ref="F130:P130" si="100">F131</f>
        <v>0</v>
      </c>
      <c r="G130" s="137">
        <f t="shared" si="100"/>
        <v>0</v>
      </c>
      <c r="H130" s="137">
        <f t="shared" si="100"/>
        <v>0</v>
      </c>
      <c r="I130" s="137">
        <f t="shared" si="100"/>
        <v>0</v>
      </c>
      <c r="J130" s="137">
        <f t="shared" si="100"/>
        <v>0</v>
      </c>
      <c r="K130" s="137">
        <f t="shared" si="100"/>
        <v>0</v>
      </c>
      <c r="L130" s="137">
        <f t="shared" si="100"/>
        <v>0</v>
      </c>
      <c r="M130" s="137">
        <f t="shared" si="100"/>
        <v>0</v>
      </c>
      <c r="N130" s="137">
        <f t="shared" si="100"/>
        <v>0</v>
      </c>
      <c r="O130" s="137">
        <f t="shared" si="100"/>
        <v>0</v>
      </c>
      <c r="P130" s="137">
        <f t="shared" si="100"/>
        <v>0</v>
      </c>
      <c r="Q130" s="149"/>
      <c r="R130" s="40"/>
    </row>
    <row r="131" spans="1:20" s="28" customFormat="1" ht="48" hidden="1" thickTop="1" thickBot="1" x14ac:dyDescent="0.25">
      <c r="A131" s="128" t="s">
        <v>1255</v>
      </c>
      <c r="B131" s="128" t="s">
        <v>212</v>
      </c>
      <c r="C131" s="128" t="s">
        <v>213</v>
      </c>
      <c r="D131" s="128" t="s">
        <v>41</v>
      </c>
      <c r="E131" s="127">
        <f t="shared" si="83"/>
        <v>0</v>
      </c>
      <c r="F131" s="134"/>
      <c r="G131" s="134"/>
      <c r="H131" s="134"/>
      <c r="I131" s="134"/>
      <c r="J131" s="127">
        <f t="shared" ref="J131" si="101">L131+O131</f>
        <v>0</v>
      </c>
      <c r="K131" s="134"/>
      <c r="L131" s="134"/>
      <c r="M131" s="134"/>
      <c r="N131" s="134"/>
      <c r="O131" s="132">
        <f t="shared" ref="O131" si="102">K131</f>
        <v>0</v>
      </c>
      <c r="P131" s="127">
        <f t="shared" si="81"/>
        <v>0</v>
      </c>
      <c r="Q131" s="149"/>
      <c r="R131" s="40"/>
    </row>
    <row r="132" spans="1:20" s="33" customFormat="1" ht="48" hidden="1" thickTop="1" thickBot="1" x14ac:dyDescent="0.25">
      <c r="A132" s="41" t="s">
        <v>435</v>
      </c>
      <c r="B132" s="41" t="s">
        <v>197</v>
      </c>
      <c r="C132" s="41" t="s">
        <v>170</v>
      </c>
      <c r="D132" s="41" t="s">
        <v>34</v>
      </c>
      <c r="E132" s="42">
        <f t="shared" si="83"/>
        <v>0</v>
      </c>
      <c r="F132" s="43"/>
      <c r="G132" s="43"/>
      <c r="H132" s="43"/>
      <c r="I132" s="43"/>
      <c r="J132" s="42">
        <f t="shared" si="80"/>
        <v>0</v>
      </c>
      <c r="K132" s="43"/>
      <c r="L132" s="43"/>
      <c r="M132" s="43"/>
      <c r="N132" s="43"/>
      <c r="O132" s="44">
        <f t="shared" si="85"/>
        <v>0</v>
      </c>
      <c r="P132" s="42">
        <f t="shared" si="81"/>
        <v>0</v>
      </c>
      <c r="Q132" s="36"/>
      <c r="R132" s="26"/>
    </row>
    <row r="133" spans="1:20" s="33" customFormat="1" ht="48" hidden="1" thickTop="1" thickBot="1" x14ac:dyDescent="0.25">
      <c r="A133" s="41" t="s">
        <v>509</v>
      </c>
      <c r="B133" s="41" t="s">
        <v>363</v>
      </c>
      <c r="C133" s="41" t="s">
        <v>43</v>
      </c>
      <c r="D133" s="41" t="s">
        <v>364</v>
      </c>
      <c r="E133" s="42">
        <f t="shared" si="83"/>
        <v>0</v>
      </c>
      <c r="F133" s="43"/>
      <c r="G133" s="43"/>
      <c r="H133" s="43"/>
      <c r="I133" s="43"/>
      <c r="J133" s="42">
        <f t="shared" si="80"/>
        <v>0</v>
      </c>
      <c r="K133" s="43"/>
      <c r="L133" s="43"/>
      <c r="M133" s="43"/>
      <c r="N133" s="43"/>
      <c r="O133" s="44">
        <f t="shared" si="85"/>
        <v>0</v>
      </c>
      <c r="P133" s="42">
        <f t="shared" si="81"/>
        <v>0</v>
      </c>
      <c r="Q133" s="36"/>
      <c r="R133" s="30"/>
    </row>
    <row r="134" spans="1:20" ht="120" customHeight="1" thickTop="1" thickBot="1" x14ac:dyDescent="0.25">
      <c r="A134" s="661" t="s">
        <v>156</v>
      </c>
      <c r="B134" s="661"/>
      <c r="C134" s="661"/>
      <c r="D134" s="662" t="s">
        <v>37</v>
      </c>
      <c r="E134" s="663">
        <f>E135</f>
        <v>313741462.50999999</v>
      </c>
      <c r="F134" s="664">
        <f t="shared" ref="F134:G134" si="103">F135</f>
        <v>313741462.50999999</v>
      </c>
      <c r="G134" s="664">
        <f t="shared" si="103"/>
        <v>100966833</v>
      </c>
      <c r="H134" s="664">
        <f>H135</f>
        <v>5127991.2800000012</v>
      </c>
      <c r="I134" s="664">
        <f t="shared" ref="I134" si="104">I135</f>
        <v>0</v>
      </c>
      <c r="J134" s="663">
        <f>J135</f>
        <v>101398382.53999999</v>
      </c>
      <c r="K134" s="664">
        <f>K135</f>
        <v>95135122.539999992</v>
      </c>
      <c r="L134" s="664">
        <f>L135</f>
        <v>6239260</v>
      </c>
      <c r="M134" s="664">
        <f t="shared" ref="M134" si="105">M135</f>
        <v>2604685</v>
      </c>
      <c r="N134" s="664">
        <f>N135</f>
        <v>705805</v>
      </c>
      <c r="O134" s="663">
        <f>O135</f>
        <v>95159122.539999992</v>
      </c>
      <c r="P134" s="664">
        <f>P135</f>
        <v>415139845.04999995</v>
      </c>
      <c r="Q134" s="20"/>
    </row>
    <row r="135" spans="1:20" ht="120" customHeight="1" thickTop="1" thickBot="1" x14ac:dyDescent="0.25">
      <c r="A135" s="658" t="s">
        <v>157</v>
      </c>
      <c r="B135" s="658"/>
      <c r="C135" s="658"/>
      <c r="D135" s="659" t="s">
        <v>38</v>
      </c>
      <c r="E135" s="660">
        <f>E136+E140+E181+E185</f>
        <v>313741462.50999999</v>
      </c>
      <c r="F135" s="660">
        <f>F136+F140+F181+F185</f>
        <v>313741462.50999999</v>
      </c>
      <c r="G135" s="660">
        <f>G136+G140+G181+G185</f>
        <v>100966833</v>
      </c>
      <c r="H135" s="660">
        <f>H136+H140+H181+H185</f>
        <v>5127991.2800000012</v>
      </c>
      <c r="I135" s="660">
        <f>I136+I140+I181+I185</f>
        <v>0</v>
      </c>
      <c r="J135" s="660">
        <f t="shared" ref="J135:J161" si="106">L135+O135</f>
        <v>101398382.53999999</v>
      </c>
      <c r="K135" s="660">
        <f>K136+K140+K181+K185</f>
        <v>95135122.539999992</v>
      </c>
      <c r="L135" s="660">
        <f>L136+L140+L181+L185</f>
        <v>6239260</v>
      </c>
      <c r="M135" s="660">
        <f>M136+M140+M181+M185</f>
        <v>2604685</v>
      </c>
      <c r="N135" s="660">
        <f>N136+N140+N181+N185</f>
        <v>705805</v>
      </c>
      <c r="O135" s="660">
        <f>O136+O140+O181+O185</f>
        <v>95159122.539999992</v>
      </c>
      <c r="P135" s="660">
        <f>E135+J135</f>
        <v>415139845.04999995</v>
      </c>
      <c r="Q135" s="503" t="b">
        <f>P135=P137+P139+P142+P143+P144+P145+P146+P147+P148+P149+P151+P152+P154+P155+P157+P158+P160+P161+P177+P179+P180+P183+P190</f>
        <v>1</v>
      </c>
      <c r="R135" s="46"/>
      <c r="S135" s="46"/>
      <c r="T135" s="45"/>
    </row>
    <row r="136" spans="1:20" ht="47.25" thickTop="1" thickBot="1" x14ac:dyDescent="0.25">
      <c r="A136" s="311" t="s">
        <v>727</v>
      </c>
      <c r="B136" s="311" t="s">
        <v>684</v>
      </c>
      <c r="C136" s="311"/>
      <c r="D136" s="311" t="s">
        <v>685</v>
      </c>
      <c r="E136" s="328">
        <f t="shared" ref="E136:P136" si="107">SUM(E137:E139)</f>
        <v>58832582</v>
      </c>
      <c r="F136" s="328">
        <f t="shared" si="107"/>
        <v>58832582</v>
      </c>
      <c r="G136" s="328">
        <f t="shared" si="107"/>
        <v>43735000</v>
      </c>
      <c r="H136" s="328">
        <f t="shared" si="107"/>
        <v>2080882</v>
      </c>
      <c r="I136" s="328">
        <f t="shared" si="107"/>
        <v>0</v>
      </c>
      <c r="J136" s="328">
        <f t="shared" si="107"/>
        <v>700000</v>
      </c>
      <c r="K136" s="328">
        <f t="shared" si="107"/>
        <v>700000</v>
      </c>
      <c r="L136" s="328">
        <f t="shared" si="107"/>
        <v>0</v>
      </c>
      <c r="M136" s="328">
        <f t="shared" si="107"/>
        <v>0</v>
      </c>
      <c r="N136" s="328">
        <f t="shared" si="107"/>
        <v>0</v>
      </c>
      <c r="O136" s="328">
        <f t="shared" si="107"/>
        <v>700000</v>
      </c>
      <c r="P136" s="328">
        <f t="shared" si="107"/>
        <v>59532582</v>
      </c>
      <c r="Q136" s="47"/>
      <c r="R136" s="46"/>
      <c r="T136" s="45"/>
    </row>
    <row r="137" spans="1:20" ht="93" thickTop="1" thickBot="1" x14ac:dyDescent="0.25">
      <c r="A137" s="103" t="s">
        <v>415</v>
      </c>
      <c r="B137" s="103" t="s">
        <v>236</v>
      </c>
      <c r="C137" s="103" t="s">
        <v>234</v>
      </c>
      <c r="D137" s="103" t="s">
        <v>235</v>
      </c>
      <c r="E137" s="328">
        <f t="shared" ref="E137:E139" si="108">F137</f>
        <v>58802582</v>
      </c>
      <c r="F137" s="462">
        <v>58802582</v>
      </c>
      <c r="G137" s="462">
        <v>43735000</v>
      </c>
      <c r="H137" s="462">
        <v>2080882</v>
      </c>
      <c r="I137" s="462"/>
      <c r="J137" s="328">
        <f t="shared" si="106"/>
        <v>700000</v>
      </c>
      <c r="K137" s="462">
        <v>700000</v>
      </c>
      <c r="L137" s="462"/>
      <c r="M137" s="462"/>
      <c r="N137" s="462"/>
      <c r="O137" s="459">
        <f>K137</f>
        <v>700000</v>
      </c>
      <c r="P137" s="328">
        <f t="shared" ref="P137:P152" si="109">E137+J137</f>
        <v>59502582</v>
      </c>
      <c r="Q137" s="47"/>
      <c r="R137" s="46"/>
      <c r="T137" s="45"/>
    </row>
    <row r="138" spans="1:20" ht="93" hidden="1" thickTop="1" thickBot="1" x14ac:dyDescent="0.25">
      <c r="A138" s="103" t="s">
        <v>628</v>
      </c>
      <c r="B138" s="103" t="s">
        <v>362</v>
      </c>
      <c r="C138" s="103" t="s">
        <v>625</v>
      </c>
      <c r="D138" s="103" t="s">
        <v>626</v>
      </c>
      <c r="E138" s="328">
        <f t="shared" si="108"/>
        <v>0</v>
      </c>
      <c r="F138" s="462">
        <v>0</v>
      </c>
      <c r="G138" s="462"/>
      <c r="H138" s="462"/>
      <c r="I138" s="462"/>
      <c r="J138" s="328">
        <f t="shared" si="106"/>
        <v>0</v>
      </c>
      <c r="K138" s="462"/>
      <c r="L138" s="462"/>
      <c r="M138" s="462"/>
      <c r="N138" s="462"/>
      <c r="O138" s="459">
        <f>K138</f>
        <v>0</v>
      </c>
      <c r="P138" s="328">
        <f t="shared" si="109"/>
        <v>0</v>
      </c>
      <c r="Q138" s="47"/>
      <c r="R138" s="46"/>
      <c r="T138" s="45"/>
    </row>
    <row r="139" spans="1:20" ht="48" thickTop="1" thickBot="1" x14ac:dyDescent="0.25">
      <c r="A139" s="103" t="s">
        <v>919</v>
      </c>
      <c r="B139" s="103" t="s">
        <v>43</v>
      </c>
      <c r="C139" s="103" t="s">
        <v>42</v>
      </c>
      <c r="D139" s="103" t="s">
        <v>248</v>
      </c>
      <c r="E139" s="328">
        <f t="shared" si="108"/>
        <v>30000</v>
      </c>
      <c r="F139" s="462">
        <v>30000</v>
      </c>
      <c r="G139" s="462"/>
      <c r="H139" s="462"/>
      <c r="I139" s="462"/>
      <c r="J139" s="328">
        <f t="shared" si="106"/>
        <v>0</v>
      </c>
      <c r="K139" s="462"/>
      <c r="L139" s="462"/>
      <c r="M139" s="462"/>
      <c r="N139" s="462"/>
      <c r="O139" s="459"/>
      <c r="P139" s="328">
        <f t="shared" si="109"/>
        <v>30000</v>
      </c>
      <c r="Q139" s="47"/>
      <c r="R139" s="46"/>
      <c r="T139" s="45"/>
    </row>
    <row r="140" spans="1:20" ht="47.25" thickTop="1" thickBot="1" x14ac:dyDescent="0.25">
      <c r="A140" s="311" t="s">
        <v>728</v>
      </c>
      <c r="B140" s="311" t="s">
        <v>711</v>
      </c>
      <c r="C140" s="311"/>
      <c r="D140" s="311" t="s">
        <v>712</v>
      </c>
      <c r="E140" s="328">
        <f t="shared" ref="E140:P140" si="110">SUM(E141:E180)-E141-E150-E159-E162-E178-E156-E153</f>
        <v>254908880.50999999</v>
      </c>
      <c r="F140" s="328">
        <f t="shared" si="110"/>
        <v>254908880.50999999</v>
      </c>
      <c r="G140" s="328">
        <f t="shared" si="110"/>
        <v>57231833</v>
      </c>
      <c r="H140" s="328">
        <f t="shared" si="110"/>
        <v>3047109.2800000007</v>
      </c>
      <c r="I140" s="328">
        <f t="shared" si="110"/>
        <v>0</v>
      </c>
      <c r="J140" s="328">
        <f t="shared" si="110"/>
        <v>74684722.539999992</v>
      </c>
      <c r="K140" s="328">
        <f t="shared" si="110"/>
        <v>68421462.539999992</v>
      </c>
      <c r="L140" s="328">
        <f t="shared" si="110"/>
        <v>6239260</v>
      </c>
      <c r="M140" s="328">
        <f t="shared" si="110"/>
        <v>2604685</v>
      </c>
      <c r="N140" s="328">
        <f t="shared" si="110"/>
        <v>705805</v>
      </c>
      <c r="O140" s="328">
        <f t="shared" si="110"/>
        <v>68445462.539999992</v>
      </c>
      <c r="P140" s="328">
        <f t="shared" si="110"/>
        <v>329593603.04999995</v>
      </c>
      <c r="Q140" s="47"/>
      <c r="R140" s="46"/>
      <c r="T140" s="45"/>
    </row>
    <row r="141" spans="1:20" ht="138.75" thickTop="1" thickBot="1" x14ac:dyDescent="0.25">
      <c r="A141" s="329" t="s">
        <v>729</v>
      </c>
      <c r="B141" s="329" t="s">
        <v>730</v>
      </c>
      <c r="C141" s="329"/>
      <c r="D141" s="329" t="s">
        <v>731</v>
      </c>
      <c r="E141" s="325">
        <f>SUM(E142:E146)</f>
        <v>79408000</v>
      </c>
      <c r="F141" s="325">
        <f t="shared" ref="F141:P141" si="111">SUM(F142:F146)</f>
        <v>79408000</v>
      </c>
      <c r="G141" s="325">
        <f t="shared" si="111"/>
        <v>0</v>
      </c>
      <c r="H141" s="325">
        <f t="shared" si="111"/>
        <v>0</v>
      </c>
      <c r="I141" s="325">
        <f t="shared" si="111"/>
        <v>0</v>
      </c>
      <c r="J141" s="325">
        <f t="shared" si="111"/>
        <v>50000</v>
      </c>
      <c r="K141" s="325">
        <f t="shared" si="111"/>
        <v>50000</v>
      </c>
      <c r="L141" s="325">
        <f t="shared" si="111"/>
        <v>0</v>
      </c>
      <c r="M141" s="325">
        <f t="shared" si="111"/>
        <v>0</v>
      </c>
      <c r="N141" s="325">
        <f t="shared" si="111"/>
        <v>0</v>
      </c>
      <c r="O141" s="325">
        <f t="shared" si="111"/>
        <v>50000</v>
      </c>
      <c r="P141" s="325">
        <f t="shared" si="111"/>
        <v>79458000</v>
      </c>
      <c r="Q141" s="150"/>
      <c r="R141" s="48"/>
      <c r="T141" s="49"/>
    </row>
    <row r="142" spans="1:20" s="33" customFormat="1" ht="93" thickTop="1" thickBot="1" x14ac:dyDescent="0.25">
      <c r="A142" s="103" t="s">
        <v>269</v>
      </c>
      <c r="B142" s="103" t="s">
        <v>270</v>
      </c>
      <c r="C142" s="103" t="s">
        <v>205</v>
      </c>
      <c r="D142" s="330" t="s">
        <v>271</v>
      </c>
      <c r="E142" s="328">
        <f>F142</f>
        <v>858000</v>
      </c>
      <c r="F142" s="462">
        <f>(835000)+23000</f>
        <v>858000</v>
      </c>
      <c r="G142" s="462"/>
      <c r="H142" s="462"/>
      <c r="I142" s="462"/>
      <c r="J142" s="328">
        <f t="shared" si="106"/>
        <v>50000</v>
      </c>
      <c r="K142" s="462">
        <v>50000</v>
      </c>
      <c r="L142" s="462"/>
      <c r="M142" s="462"/>
      <c r="N142" s="462"/>
      <c r="O142" s="459">
        <f t="shared" ref="O142:O161" si="112">K142</f>
        <v>50000</v>
      </c>
      <c r="P142" s="328">
        <f t="shared" si="109"/>
        <v>908000</v>
      </c>
      <c r="Q142" s="36"/>
      <c r="R142" s="46"/>
    </row>
    <row r="143" spans="1:20" s="33" customFormat="1" ht="48" thickTop="1" thickBot="1" x14ac:dyDescent="0.25">
      <c r="A143" s="103" t="s">
        <v>272</v>
      </c>
      <c r="B143" s="103" t="s">
        <v>273</v>
      </c>
      <c r="C143" s="103" t="s">
        <v>206</v>
      </c>
      <c r="D143" s="103" t="s">
        <v>6</v>
      </c>
      <c r="E143" s="328">
        <f t="shared" ref="E143:E192" si="113">F143</f>
        <v>650000</v>
      </c>
      <c r="F143" s="462">
        <v>650000</v>
      </c>
      <c r="G143" s="462"/>
      <c r="H143" s="462"/>
      <c r="I143" s="462"/>
      <c r="J143" s="328">
        <f t="shared" si="106"/>
        <v>0</v>
      </c>
      <c r="K143" s="462"/>
      <c r="L143" s="462"/>
      <c r="M143" s="462"/>
      <c r="N143" s="462"/>
      <c r="O143" s="459">
        <f t="shared" si="112"/>
        <v>0</v>
      </c>
      <c r="P143" s="328">
        <f t="shared" si="109"/>
        <v>650000</v>
      </c>
      <c r="Q143" s="36"/>
      <c r="R143" s="50"/>
    </row>
    <row r="144" spans="1:20" s="33" customFormat="1" ht="93" thickTop="1" thickBot="1" x14ac:dyDescent="0.25">
      <c r="A144" s="103" t="s">
        <v>275</v>
      </c>
      <c r="B144" s="103" t="s">
        <v>276</v>
      </c>
      <c r="C144" s="103" t="s">
        <v>206</v>
      </c>
      <c r="D144" s="103" t="s">
        <v>7</v>
      </c>
      <c r="E144" s="328">
        <f t="shared" si="113"/>
        <v>19200000</v>
      </c>
      <c r="F144" s="462">
        <v>19200000</v>
      </c>
      <c r="G144" s="462"/>
      <c r="H144" s="462"/>
      <c r="I144" s="462"/>
      <c r="J144" s="328">
        <f t="shared" si="106"/>
        <v>0</v>
      </c>
      <c r="K144" s="462"/>
      <c r="L144" s="462"/>
      <c r="M144" s="462"/>
      <c r="N144" s="462"/>
      <c r="O144" s="459">
        <f t="shared" si="112"/>
        <v>0</v>
      </c>
      <c r="P144" s="328">
        <f t="shared" si="109"/>
        <v>19200000</v>
      </c>
      <c r="Q144" s="36"/>
      <c r="R144" s="50"/>
    </row>
    <row r="145" spans="1:18" s="33" customFormat="1" ht="93" thickTop="1" thickBot="1" x14ac:dyDescent="0.25">
      <c r="A145" s="103" t="s">
        <v>277</v>
      </c>
      <c r="B145" s="103" t="s">
        <v>274</v>
      </c>
      <c r="C145" s="103" t="s">
        <v>206</v>
      </c>
      <c r="D145" s="103" t="s">
        <v>8</v>
      </c>
      <c r="E145" s="328">
        <f t="shared" si="113"/>
        <v>700000</v>
      </c>
      <c r="F145" s="462">
        <v>700000</v>
      </c>
      <c r="G145" s="462"/>
      <c r="H145" s="462"/>
      <c r="I145" s="462"/>
      <c r="J145" s="328">
        <f t="shared" si="106"/>
        <v>0</v>
      </c>
      <c r="K145" s="462"/>
      <c r="L145" s="462"/>
      <c r="M145" s="462"/>
      <c r="N145" s="462"/>
      <c r="O145" s="459">
        <f t="shared" si="112"/>
        <v>0</v>
      </c>
      <c r="P145" s="328">
        <f t="shared" si="109"/>
        <v>700000</v>
      </c>
      <c r="Q145" s="36"/>
      <c r="R145" s="50"/>
    </row>
    <row r="146" spans="1:18" s="33" customFormat="1" ht="93" thickTop="1" thickBot="1" x14ac:dyDescent="0.25">
      <c r="A146" s="103" t="s">
        <v>278</v>
      </c>
      <c r="B146" s="103" t="s">
        <v>279</v>
      </c>
      <c r="C146" s="103" t="s">
        <v>206</v>
      </c>
      <c r="D146" s="103" t="s">
        <v>9</v>
      </c>
      <c r="E146" s="328">
        <f t="shared" si="113"/>
        <v>58000000</v>
      </c>
      <c r="F146" s="462">
        <v>58000000</v>
      </c>
      <c r="G146" s="462"/>
      <c r="H146" s="462"/>
      <c r="I146" s="462"/>
      <c r="J146" s="328">
        <f t="shared" si="106"/>
        <v>0</v>
      </c>
      <c r="K146" s="462"/>
      <c r="L146" s="462"/>
      <c r="M146" s="462"/>
      <c r="N146" s="462"/>
      <c r="O146" s="459">
        <f t="shared" si="112"/>
        <v>0</v>
      </c>
      <c r="P146" s="328">
        <f t="shared" si="109"/>
        <v>58000000</v>
      </c>
      <c r="Q146" s="36"/>
      <c r="R146" s="50"/>
    </row>
    <row r="147" spans="1:18" s="33" customFormat="1" ht="93" thickTop="1" thickBot="1" x14ac:dyDescent="0.25">
      <c r="A147" s="103" t="s">
        <v>478</v>
      </c>
      <c r="B147" s="103" t="s">
        <v>479</v>
      </c>
      <c r="C147" s="103" t="s">
        <v>206</v>
      </c>
      <c r="D147" s="103" t="s">
        <v>480</v>
      </c>
      <c r="E147" s="328">
        <f t="shared" si="113"/>
        <v>362971</v>
      </c>
      <c r="F147" s="462">
        <v>362971</v>
      </c>
      <c r="G147" s="462"/>
      <c r="H147" s="462"/>
      <c r="I147" s="462"/>
      <c r="J147" s="328">
        <f t="shared" si="106"/>
        <v>0</v>
      </c>
      <c r="K147" s="462"/>
      <c r="L147" s="462"/>
      <c r="M147" s="462"/>
      <c r="N147" s="462"/>
      <c r="O147" s="459">
        <f t="shared" si="112"/>
        <v>0</v>
      </c>
      <c r="P147" s="328">
        <f t="shared" si="109"/>
        <v>362971</v>
      </c>
      <c r="Q147" s="36"/>
      <c r="R147" s="50"/>
    </row>
    <row r="148" spans="1:18" s="33" customFormat="1" ht="93" thickTop="1" thickBot="1" x14ac:dyDescent="0.25">
      <c r="A148" s="103" t="s">
        <v>920</v>
      </c>
      <c r="B148" s="103" t="s">
        <v>921</v>
      </c>
      <c r="C148" s="103" t="s">
        <v>206</v>
      </c>
      <c r="D148" s="103" t="s">
        <v>922</v>
      </c>
      <c r="E148" s="328">
        <f t="shared" si="113"/>
        <v>1500000</v>
      </c>
      <c r="F148" s="462">
        <v>1500000</v>
      </c>
      <c r="G148" s="462"/>
      <c r="H148" s="462"/>
      <c r="I148" s="462"/>
      <c r="J148" s="328">
        <f t="shared" si="106"/>
        <v>0</v>
      </c>
      <c r="K148" s="462"/>
      <c r="L148" s="462"/>
      <c r="M148" s="462"/>
      <c r="N148" s="462"/>
      <c r="O148" s="459">
        <f t="shared" si="112"/>
        <v>0</v>
      </c>
      <c r="P148" s="328">
        <f t="shared" si="109"/>
        <v>1500000</v>
      </c>
      <c r="Q148" s="36"/>
      <c r="R148" s="50"/>
    </row>
    <row r="149" spans="1:18" ht="93" thickTop="1" thickBot="1" x14ac:dyDescent="0.25">
      <c r="A149" s="103" t="s">
        <v>481</v>
      </c>
      <c r="B149" s="103" t="s">
        <v>482</v>
      </c>
      <c r="C149" s="103" t="s">
        <v>205</v>
      </c>
      <c r="D149" s="103" t="s">
        <v>483</v>
      </c>
      <c r="E149" s="328">
        <f t="shared" si="113"/>
        <v>470456</v>
      </c>
      <c r="F149" s="462">
        <v>470456</v>
      </c>
      <c r="G149" s="462"/>
      <c r="H149" s="462"/>
      <c r="I149" s="462"/>
      <c r="J149" s="328">
        <f t="shared" si="106"/>
        <v>0</v>
      </c>
      <c r="K149" s="462"/>
      <c r="L149" s="462"/>
      <c r="M149" s="462"/>
      <c r="N149" s="462"/>
      <c r="O149" s="459">
        <f>K149</f>
        <v>0</v>
      </c>
      <c r="P149" s="328">
        <f t="shared" si="109"/>
        <v>470456</v>
      </c>
      <c r="Q149" s="20"/>
      <c r="R149" s="50"/>
    </row>
    <row r="150" spans="1:18" s="33" customFormat="1" ht="138.75" thickTop="1" thickBot="1" x14ac:dyDescent="0.25">
      <c r="A150" s="329" t="s">
        <v>732</v>
      </c>
      <c r="B150" s="329" t="s">
        <v>733</v>
      </c>
      <c r="C150" s="329"/>
      <c r="D150" s="329" t="s">
        <v>734</v>
      </c>
      <c r="E150" s="325">
        <f>SUM(E151:E152)</f>
        <v>64818452.719999999</v>
      </c>
      <c r="F150" s="325">
        <f t="shared" ref="F150:P150" si="114">SUM(F151:F152)</f>
        <v>64818452.719999999</v>
      </c>
      <c r="G150" s="325">
        <f t="shared" si="114"/>
        <v>34554767</v>
      </c>
      <c r="H150" s="325">
        <f t="shared" si="114"/>
        <v>1322837.72</v>
      </c>
      <c r="I150" s="325">
        <f t="shared" si="114"/>
        <v>0</v>
      </c>
      <c r="J150" s="325">
        <f t="shared" si="114"/>
        <v>1271000</v>
      </c>
      <c r="K150" s="325">
        <f t="shared" si="114"/>
        <v>0</v>
      </c>
      <c r="L150" s="325">
        <f t="shared" si="114"/>
        <v>1271000</v>
      </c>
      <c r="M150" s="325">
        <f t="shared" si="114"/>
        <v>719000</v>
      </c>
      <c r="N150" s="325">
        <f t="shared" si="114"/>
        <v>150000</v>
      </c>
      <c r="O150" s="325">
        <f t="shared" si="114"/>
        <v>0</v>
      </c>
      <c r="P150" s="325">
        <f t="shared" si="114"/>
        <v>66089452.719999999</v>
      </c>
      <c r="Q150" s="36"/>
      <c r="R150" s="51"/>
    </row>
    <row r="151" spans="1:18" ht="138.75" thickTop="1" thickBot="1" x14ac:dyDescent="0.25">
      <c r="A151" s="103" t="s">
        <v>267</v>
      </c>
      <c r="B151" s="103" t="s">
        <v>265</v>
      </c>
      <c r="C151" s="103" t="s">
        <v>200</v>
      </c>
      <c r="D151" s="103" t="s">
        <v>17</v>
      </c>
      <c r="E151" s="328">
        <f t="shared" si="113"/>
        <v>53507717.719999999</v>
      </c>
      <c r="F151" s="462">
        <v>53507717.719999999</v>
      </c>
      <c r="G151" s="462">
        <v>26679366</v>
      </c>
      <c r="H151" s="462">
        <v>621472.72</v>
      </c>
      <c r="I151" s="462"/>
      <c r="J151" s="328">
        <f t="shared" si="106"/>
        <v>1271000</v>
      </c>
      <c r="K151" s="462">
        <v>0</v>
      </c>
      <c r="L151" s="462">
        <v>1271000</v>
      </c>
      <c r="M151" s="462">
        <v>719000</v>
      </c>
      <c r="N151" s="462">
        <f>70000+10000+70000</f>
        <v>150000</v>
      </c>
      <c r="O151" s="459">
        <f>K151</f>
        <v>0</v>
      </c>
      <c r="P151" s="328">
        <f t="shared" si="109"/>
        <v>54778717.719999999</v>
      </c>
      <c r="Q151" s="20"/>
      <c r="R151" s="46"/>
    </row>
    <row r="152" spans="1:18" ht="93" thickTop="1" thickBot="1" x14ac:dyDescent="0.25">
      <c r="A152" s="103" t="s">
        <v>268</v>
      </c>
      <c r="B152" s="103" t="s">
        <v>266</v>
      </c>
      <c r="C152" s="103" t="s">
        <v>199</v>
      </c>
      <c r="D152" s="103" t="s">
        <v>455</v>
      </c>
      <c r="E152" s="328">
        <f t="shared" si="113"/>
        <v>11310735</v>
      </c>
      <c r="F152" s="462">
        <v>11310735</v>
      </c>
      <c r="G152" s="462">
        <f>4675746+3199655</f>
        <v>7875401</v>
      </c>
      <c r="H152" s="462">
        <f>299371+9225+63300+833+266401+8754+53172+309</f>
        <v>701365</v>
      </c>
      <c r="I152" s="462"/>
      <c r="J152" s="328">
        <f t="shared" si="106"/>
        <v>0</v>
      </c>
      <c r="K152" s="462">
        <v>0</v>
      </c>
      <c r="L152" s="462"/>
      <c r="M152" s="462"/>
      <c r="N152" s="462"/>
      <c r="O152" s="459">
        <f t="shared" si="112"/>
        <v>0</v>
      </c>
      <c r="P152" s="328">
        <f t="shared" si="109"/>
        <v>11310735</v>
      </c>
      <c r="Q152" s="20"/>
      <c r="R152" s="46"/>
    </row>
    <row r="153" spans="1:18" ht="48" thickTop="1" thickBot="1" x14ac:dyDescent="0.25">
      <c r="A153" s="329" t="s">
        <v>1020</v>
      </c>
      <c r="B153" s="329" t="s">
        <v>765</v>
      </c>
      <c r="C153" s="329"/>
      <c r="D153" s="329" t="s">
        <v>766</v>
      </c>
      <c r="E153" s="325">
        <f>E154</f>
        <v>11137235.51</v>
      </c>
      <c r="F153" s="325">
        <f t="shared" ref="F153:P153" si="115">F154</f>
        <v>11137235.51</v>
      </c>
      <c r="G153" s="325">
        <f t="shared" si="115"/>
        <v>7875924</v>
      </c>
      <c r="H153" s="325">
        <f t="shared" si="115"/>
        <v>303560.56</v>
      </c>
      <c r="I153" s="325">
        <f t="shared" si="115"/>
        <v>0</v>
      </c>
      <c r="J153" s="325">
        <f t="shared" si="115"/>
        <v>0</v>
      </c>
      <c r="K153" s="325">
        <f t="shared" si="115"/>
        <v>0</v>
      </c>
      <c r="L153" s="325">
        <f t="shared" si="115"/>
        <v>0</v>
      </c>
      <c r="M153" s="325">
        <f t="shared" si="115"/>
        <v>0</v>
      </c>
      <c r="N153" s="325">
        <f t="shared" si="115"/>
        <v>0</v>
      </c>
      <c r="O153" s="325">
        <f t="shared" si="115"/>
        <v>0</v>
      </c>
      <c r="P153" s="325">
        <f t="shared" si="115"/>
        <v>11137235.51</v>
      </c>
      <c r="Q153" s="20"/>
      <c r="R153" s="46"/>
    </row>
    <row r="154" spans="1:18" ht="48" thickTop="1" thickBot="1" x14ac:dyDescent="0.25">
      <c r="A154" s="103" t="s">
        <v>1215</v>
      </c>
      <c r="B154" s="103" t="s">
        <v>184</v>
      </c>
      <c r="C154" s="103" t="s">
        <v>185</v>
      </c>
      <c r="D154" s="103" t="s">
        <v>638</v>
      </c>
      <c r="E154" s="312">
        <f t="shared" ref="E154" si="116">F154</f>
        <v>11137235.51</v>
      </c>
      <c r="F154" s="326">
        <f>(10726813)+198876.95+190000+6003.73+15541.83</f>
        <v>11137235.51</v>
      </c>
      <c r="G154" s="326">
        <v>7875924</v>
      </c>
      <c r="H154" s="326">
        <f>(120805+10790+84400+66020)+6003.73+15541.83</f>
        <v>303560.56</v>
      </c>
      <c r="I154" s="326"/>
      <c r="J154" s="328">
        <f t="shared" ref="J154" si="117">L154+O154</f>
        <v>0</v>
      </c>
      <c r="K154" s="326"/>
      <c r="L154" s="458"/>
      <c r="M154" s="458"/>
      <c r="N154" s="458"/>
      <c r="O154" s="459">
        <f t="shared" ref="O154" si="118">K154</f>
        <v>0</v>
      </c>
      <c r="P154" s="328">
        <f>+J154+E154</f>
        <v>11137235.51</v>
      </c>
      <c r="Q154" s="20"/>
      <c r="R154" s="46"/>
    </row>
    <row r="155" spans="1:18" ht="184.5" thickTop="1" thickBot="1" x14ac:dyDescent="0.25">
      <c r="A155" s="103" t="s">
        <v>263</v>
      </c>
      <c r="B155" s="103" t="s">
        <v>264</v>
      </c>
      <c r="C155" s="103" t="s">
        <v>199</v>
      </c>
      <c r="D155" s="103" t="s">
        <v>453</v>
      </c>
      <c r="E155" s="328">
        <f t="shared" si="113"/>
        <v>5126500</v>
      </c>
      <c r="F155" s="462">
        <v>5126500</v>
      </c>
      <c r="G155" s="462"/>
      <c r="H155" s="462"/>
      <c r="I155" s="462"/>
      <c r="J155" s="328">
        <f t="shared" si="106"/>
        <v>0</v>
      </c>
      <c r="K155" s="328"/>
      <c r="L155" s="462"/>
      <c r="M155" s="462"/>
      <c r="N155" s="462"/>
      <c r="O155" s="459">
        <f t="shared" si="112"/>
        <v>0</v>
      </c>
      <c r="P155" s="328">
        <f>+J155+E155</f>
        <v>5126500</v>
      </c>
      <c r="Q155" s="20"/>
      <c r="R155" s="50"/>
    </row>
    <row r="156" spans="1:18" ht="48" thickTop="1" thickBot="1" x14ac:dyDescent="0.25">
      <c r="A156" s="329" t="s">
        <v>881</v>
      </c>
      <c r="B156" s="329" t="s">
        <v>882</v>
      </c>
      <c r="C156" s="329"/>
      <c r="D156" s="329" t="s">
        <v>883</v>
      </c>
      <c r="E156" s="325">
        <f t="shared" si="113"/>
        <v>184607</v>
      </c>
      <c r="F156" s="325">
        <f>F157</f>
        <v>184607</v>
      </c>
      <c r="G156" s="325">
        <f t="shared" ref="G156:I156" si="119">G157</f>
        <v>0</v>
      </c>
      <c r="H156" s="325">
        <f t="shared" si="119"/>
        <v>0</v>
      </c>
      <c r="I156" s="325">
        <f t="shared" si="119"/>
        <v>0</v>
      </c>
      <c r="J156" s="325">
        <f t="shared" si="106"/>
        <v>0</v>
      </c>
      <c r="K156" s="325">
        <f t="shared" ref="K156:N156" si="120">K157</f>
        <v>0</v>
      </c>
      <c r="L156" s="325">
        <f t="shared" si="120"/>
        <v>0</v>
      </c>
      <c r="M156" s="325">
        <f t="shared" si="120"/>
        <v>0</v>
      </c>
      <c r="N156" s="325">
        <f t="shared" si="120"/>
        <v>0</v>
      </c>
      <c r="O156" s="325">
        <f t="shared" si="112"/>
        <v>0</v>
      </c>
      <c r="P156" s="325">
        <f>+J156+E156</f>
        <v>184607</v>
      </c>
      <c r="Q156" s="20"/>
      <c r="R156" s="50"/>
    </row>
    <row r="157" spans="1:18" ht="93" thickTop="1" thickBot="1" x14ac:dyDescent="0.25">
      <c r="A157" s="103" t="s">
        <v>484</v>
      </c>
      <c r="B157" s="103" t="s">
        <v>485</v>
      </c>
      <c r="C157" s="103" t="s">
        <v>199</v>
      </c>
      <c r="D157" s="103" t="s">
        <v>486</v>
      </c>
      <c r="E157" s="328">
        <f t="shared" si="113"/>
        <v>184607</v>
      </c>
      <c r="F157" s="462">
        <v>184607</v>
      </c>
      <c r="G157" s="462"/>
      <c r="H157" s="462"/>
      <c r="I157" s="462"/>
      <c r="J157" s="328">
        <f t="shared" si="106"/>
        <v>0</v>
      </c>
      <c r="K157" s="328"/>
      <c r="L157" s="462"/>
      <c r="M157" s="462"/>
      <c r="N157" s="462"/>
      <c r="O157" s="459">
        <f t="shared" si="112"/>
        <v>0</v>
      </c>
      <c r="P157" s="328">
        <f>+J157+E157</f>
        <v>184607</v>
      </c>
      <c r="Q157" s="20"/>
      <c r="R157" s="50"/>
    </row>
    <row r="158" spans="1:18" ht="138.75" thickTop="1" thickBot="1" x14ac:dyDescent="0.25">
      <c r="A158" s="103" t="s">
        <v>348</v>
      </c>
      <c r="B158" s="103" t="s">
        <v>347</v>
      </c>
      <c r="C158" s="103" t="s">
        <v>50</v>
      </c>
      <c r="D158" s="103" t="s">
        <v>454</v>
      </c>
      <c r="E158" s="328">
        <f t="shared" si="113"/>
        <v>2687933.28</v>
      </c>
      <c r="F158" s="462">
        <v>2687933.28</v>
      </c>
      <c r="G158" s="462"/>
      <c r="H158" s="462"/>
      <c r="I158" s="462"/>
      <c r="J158" s="328">
        <f t="shared" si="106"/>
        <v>0</v>
      </c>
      <c r="K158" s="328"/>
      <c r="L158" s="462"/>
      <c r="M158" s="462"/>
      <c r="N158" s="462"/>
      <c r="O158" s="459">
        <f t="shared" si="112"/>
        <v>0</v>
      </c>
      <c r="P158" s="328">
        <f>E158+J158</f>
        <v>2687933.28</v>
      </c>
      <c r="Q158" s="20"/>
      <c r="R158" s="50"/>
    </row>
    <row r="159" spans="1:18" s="33" customFormat="1" ht="48" thickTop="1" thickBot="1" x14ac:dyDescent="0.25">
      <c r="A159" s="329" t="s">
        <v>735</v>
      </c>
      <c r="B159" s="329" t="s">
        <v>736</v>
      </c>
      <c r="C159" s="329"/>
      <c r="D159" s="329" t="s">
        <v>737</v>
      </c>
      <c r="E159" s="325">
        <f>E160</f>
        <v>1000000</v>
      </c>
      <c r="F159" s="325">
        <f t="shared" ref="F159:P159" si="121">F160</f>
        <v>1000000</v>
      </c>
      <c r="G159" s="325">
        <f t="shared" si="121"/>
        <v>0</v>
      </c>
      <c r="H159" s="325">
        <f t="shared" si="121"/>
        <v>0</v>
      </c>
      <c r="I159" s="325">
        <f t="shared" si="121"/>
        <v>0</v>
      </c>
      <c r="J159" s="325">
        <f t="shared" si="121"/>
        <v>0</v>
      </c>
      <c r="K159" s="325">
        <f t="shared" si="121"/>
        <v>0</v>
      </c>
      <c r="L159" s="325">
        <f t="shared" si="121"/>
        <v>0</v>
      </c>
      <c r="M159" s="325">
        <f t="shared" si="121"/>
        <v>0</v>
      </c>
      <c r="N159" s="325">
        <f t="shared" si="121"/>
        <v>0</v>
      </c>
      <c r="O159" s="325">
        <f t="shared" si="121"/>
        <v>0</v>
      </c>
      <c r="P159" s="325">
        <f t="shared" si="121"/>
        <v>1000000</v>
      </c>
      <c r="Q159" s="36"/>
      <c r="R159" s="51"/>
    </row>
    <row r="160" spans="1:18" ht="93" thickTop="1" thickBot="1" x14ac:dyDescent="0.25">
      <c r="A160" s="103" t="s">
        <v>325</v>
      </c>
      <c r="B160" s="103" t="s">
        <v>326</v>
      </c>
      <c r="C160" s="103" t="s">
        <v>205</v>
      </c>
      <c r="D160" s="103" t="s">
        <v>635</v>
      </c>
      <c r="E160" s="328">
        <f t="shared" si="113"/>
        <v>1000000</v>
      </c>
      <c r="F160" s="462">
        <v>1000000</v>
      </c>
      <c r="G160" s="462"/>
      <c r="H160" s="462"/>
      <c r="I160" s="462"/>
      <c r="J160" s="328">
        <f t="shared" si="106"/>
        <v>0</v>
      </c>
      <c r="K160" s="462"/>
      <c r="L160" s="462"/>
      <c r="M160" s="462"/>
      <c r="N160" s="462"/>
      <c r="O160" s="459">
        <f t="shared" si="112"/>
        <v>0</v>
      </c>
      <c r="P160" s="328">
        <f>E160+J160</f>
        <v>1000000</v>
      </c>
      <c r="Q160" s="20"/>
      <c r="R160" s="50"/>
    </row>
    <row r="161" spans="1:18" ht="48" thickTop="1" thickBot="1" x14ac:dyDescent="0.25">
      <c r="A161" s="103" t="s">
        <v>428</v>
      </c>
      <c r="B161" s="103" t="s">
        <v>372</v>
      </c>
      <c r="C161" s="103" t="s">
        <v>373</v>
      </c>
      <c r="D161" s="103" t="s">
        <v>371</v>
      </c>
      <c r="E161" s="553">
        <f t="shared" si="113"/>
        <v>117000</v>
      </c>
      <c r="F161" s="462">
        <v>117000</v>
      </c>
      <c r="G161" s="462">
        <v>90000</v>
      </c>
      <c r="H161" s="462"/>
      <c r="I161" s="462"/>
      <c r="J161" s="328">
        <f t="shared" si="106"/>
        <v>0</v>
      </c>
      <c r="K161" s="462"/>
      <c r="L161" s="462"/>
      <c r="M161" s="462"/>
      <c r="N161" s="462"/>
      <c r="O161" s="459">
        <f t="shared" si="112"/>
        <v>0</v>
      </c>
      <c r="P161" s="328">
        <f>E161+J161</f>
        <v>117000</v>
      </c>
      <c r="Q161" s="20"/>
      <c r="R161" s="50"/>
    </row>
    <row r="162" spans="1:18" ht="93" hidden="1" thickTop="1" thickBot="1" x14ac:dyDescent="0.25">
      <c r="A162" s="140" t="s">
        <v>1059</v>
      </c>
      <c r="B162" s="140" t="s">
        <v>1060</v>
      </c>
      <c r="C162" s="140"/>
      <c r="D162" s="140" t="s">
        <v>1058</v>
      </c>
      <c r="E162" s="141">
        <f>E163+E167+E171+E174</f>
        <v>0</v>
      </c>
      <c r="F162" s="141">
        <f t="shared" ref="F162:P162" si="122">F163+F167+F171+F174</f>
        <v>0</v>
      </c>
      <c r="G162" s="141">
        <f t="shared" si="122"/>
        <v>0</v>
      </c>
      <c r="H162" s="141">
        <f t="shared" si="122"/>
        <v>0</v>
      </c>
      <c r="I162" s="141">
        <f t="shared" si="122"/>
        <v>0</v>
      </c>
      <c r="J162" s="141">
        <f t="shared" si="122"/>
        <v>0</v>
      </c>
      <c r="K162" s="141">
        <f t="shared" si="122"/>
        <v>0</v>
      </c>
      <c r="L162" s="141">
        <f t="shared" si="122"/>
        <v>0</v>
      </c>
      <c r="M162" s="141">
        <f t="shared" si="122"/>
        <v>0</v>
      </c>
      <c r="N162" s="141">
        <f t="shared" si="122"/>
        <v>0</v>
      </c>
      <c r="O162" s="141">
        <f t="shared" si="122"/>
        <v>0</v>
      </c>
      <c r="P162" s="141">
        <f t="shared" si="122"/>
        <v>0</v>
      </c>
      <c r="Q162" s="20"/>
      <c r="R162" s="50"/>
    </row>
    <row r="163" spans="1:18" ht="256.5" hidden="1" customHeight="1" thickTop="1" x14ac:dyDescent="0.65">
      <c r="A163" s="789" t="s">
        <v>1061</v>
      </c>
      <c r="B163" s="789" t="s">
        <v>1062</v>
      </c>
      <c r="C163" s="789" t="s">
        <v>50</v>
      </c>
      <c r="D163" s="403" t="s">
        <v>1432</v>
      </c>
      <c r="E163" s="778">
        <f t="shared" ref="E163:E167" si="123">F163</f>
        <v>0</v>
      </c>
      <c r="F163" s="778"/>
      <c r="G163" s="778"/>
      <c r="H163" s="778"/>
      <c r="I163" s="778"/>
      <c r="J163" s="778">
        <f t="shared" ref="J163:J167" si="124">L163+O163</f>
        <v>0</v>
      </c>
      <c r="K163" s="788">
        <v>0</v>
      </c>
      <c r="L163" s="778"/>
      <c r="M163" s="778"/>
      <c r="N163" s="778"/>
      <c r="O163" s="788">
        <f t="shared" ref="O163:O167" si="125">K163</f>
        <v>0</v>
      </c>
      <c r="P163" s="778">
        <f t="shared" ref="P163:P167" si="126">E163+J163</f>
        <v>0</v>
      </c>
      <c r="Q163" s="791"/>
      <c r="R163" s="775"/>
    </row>
    <row r="164" spans="1:18" ht="238.5" hidden="1" customHeight="1" x14ac:dyDescent="0.2">
      <c r="A164" s="779"/>
      <c r="B164" s="779"/>
      <c r="C164" s="779"/>
      <c r="D164" s="404" t="s">
        <v>1433</v>
      </c>
      <c r="E164" s="779"/>
      <c r="F164" s="779"/>
      <c r="G164" s="779"/>
      <c r="H164" s="779"/>
      <c r="I164" s="779"/>
      <c r="J164" s="779"/>
      <c r="K164" s="779"/>
      <c r="L164" s="779"/>
      <c r="M164" s="779"/>
      <c r="N164" s="779"/>
      <c r="O164" s="779"/>
      <c r="P164" s="779"/>
      <c r="Q164" s="791"/>
      <c r="R164" s="776"/>
    </row>
    <row r="165" spans="1:18" ht="220.5" hidden="1" customHeight="1" x14ac:dyDescent="0.2">
      <c r="A165" s="779"/>
      <c r="B165" s="779"/>
      <c r="C165" s="779"/>
      <c r="D165" s="404" t="s">
        <v>1434</v>
      </c>
      <c r="E165" s="779"/>
      <c r="F165" s="779"/>
      <c r="G165" s="779"/>
      <c r="H165" s="779"/>
      <c r="I165" s="779"/>
      <c r="J165" s="779"/>
      <c r="K165" s="779"/>
      <c r="L165" s="779"/>
      <c r="M165" s="779"/>
      <c r="N165" s="779"/>
      <c r="O165" s="779"/>
      <c r="P165" s="779"/>
      <c r="Q165" s="791"/>
      <c r="R165" s="776"/>
    </row>
    <row r="166" spans="1:18" ht="166.5" hidden="1" customHeight="1" thickBot="1" x14ac:dyDescent="0.25">
      <c r="A166" s="780"/>
      <c r="B166" s="780"/>
      <c r="C166" s="780"/>
      <c r="D166" s="405" t="s">
        <v>1435</v>
      </c>
      <c r="E166" s="780"/>
      <c r="F166" s="780"/>
      <c r="G166" s="780"/>
      <c r="H166" s="780"/>
      <c r="I166" s="780"/>
      <c r="J166" s="780"/>
      <c r="K166" s="780"/>
      <c r="L166" s="780"/>
      <c r="M166" s="780"/>
      <c r="N166" s="780"/>
      <c r="O166" s="780"/>
      <c r="P166" s="780"/>
      <c r="Q166" s="791"/>
      <c r="R166" s="776"/>
    </row>
    <row r="167" spans="1:18" ht="277.5" hidden="1" customHeight="1" thickTop="1" x14ac:dyDescent="0.65">
      <c r="A167" s="789" t="s">
        <v>1064</v>
      </c>
      <c r="B167" s="789" t="s">
        <v>1065</v>
      </c>
      <c r="C167" s="789" t="s">
        <v>50</v>
      </c>
      <c r="D167" s="403" t="s">
        <v>1063</v>
      </c>
      <c r="E167" s="778">
        <f t="shared" si="123"/>
        <v>0</v>
      </c>
      <c r="F167" s="778"/>
      <c r="G167" s="778"/>
      <c r="H167" s="778"/>
      <c r="I167" s="778"/>
      <c r="J167" s="778">
        <f t="shared" si="124"/>
        <v>0</v>
      </c>
      <c r="K167" s="788">
        <v>0</v>
      </c>
      <c r="L167" s="778"/>
      <c r="M167" s="778"/>
      <c r="N167" s="778"/>
      <c r="O167" s="778">
        <f t="shared" si="125"/>
        <v>0</v>
      </c>
      <c r="P167" s="778">
        <f t="shared" si="126"/>
        <v>0</v>
      </c>
      <c r="Q167" s="20"/>
      <c r="R167" s="775"/>
    </row>
    <row r="168" spans="1:18" ht="298.5" hidden="1" customHeight="1" x14ac:dyDescent="0.2">
      <c r="A168" s="779"/>
      <c r="B168" s="779"/>
      <c r="C168" s="779"/>
      <c r="D168" s="404" t="s">
        <v>1436</v>
      </c>
      <c r="E168" s="779"/>
      <c r="F168" s="779"/>
      <c r="G168" s="779"/>
      <c r="H168" s="779"/>
      <c r="I168" s="779"/>
      <c r="J168" s="779"/>
      <c r="K168" s="779"/>
      <c r="L168" s="779"/>
      <c r="M168" s="779"/>
      <c r="N168" s="779"/>
      <c r="O168" s="779"/>
      <c r="P168" s="779"/>
      <c r="Q168" s="20"/>
      <c r="R168" s="790"/>
    </row>
    <row r="169" spans="1:18" ht="283.5" hidden="1" customHeight="1" x14ac:dyDescent="0.2">
      <c r="A169" s="779"/>
      <c r="B169" s="779"/>
      <c r="C169" s="779"/>
      <c r="D169" s="404" t="s">
        <v>1437</v>
      </c>
      <c r="E169" s="779"/>
      <c r="F169" s="779"/>
      <c r="G169" s="779"/>
      <c r="H169" s="779"/>
      <c r="I169" s="779"/>
      <c r="J169" s="779"/>
      <c r="K169" s="779"/>
      <c r="L169" s="779"/>
      <c r="M169" s="779"/>
      <c r="N169" s="779"/>
      <c r="O169" s="779"/>
      <c r="P169" s="779"/>
      <c r="Q169" s="20"/>
      <c r="R169" s="790"/>
    </row>
    <row r="170" spans="1:18" ht="93" hidden="1" thickTop="1" thickBot="1" x14ac:dyDescent="0.25">
      <c r="A170" s="780"/>
      <c r="B170" s="780"/>
      <c r="C170" s="780"/>
      <c r="D170" s="405" t="s">
        <v>1438</v>
      </c>
      <c r="E170" s="780"/>
      <c r="F170" s="780"/>
      <c r="G170" s="780"/>
      <c r="H170" s="780"/>
      <c r="I170" s="780"/>
      <c r="J170" s="780"/>
      <c r="K170" s="780"/>
      <c r="L170" s="780"/>
      <c r="M170" s="780"/>
      <c r="N170" s="780"/>
      <c r="O170" s="780"/>
      <c r="P170" s="780"/>
      <c r="Q170" s="20"/>
      <c r="R170" s="790"/>
    </row>
    <row r="171" spans="1:18" ht="310.5" hidden="1" customHeight="1" thickTop="1" x14ac:dyDescent="0.65">
      <c r="A171" s="789" t="s">
        <v>1066</v>
      </c>
      <c r="B171" s="789" t="s">
        <v>1067</v>
      </c>
      <c r="C171" s="789" t="s">
        <v>50</v>
      </c>
      <c r="D171" s="403" t="s">
        <v>1439</v>
      </c>
      <c r="E171" s="778">
        <f t="shared" ref="E171" si="127">F171</f>
        <v>0</v>
      </c>
      <c r="F171" s="778"/>
      <c r="G171" s="778"/>
      <c r="H171" s="778"/>
      <c r="I171" s="778"/>
      <c r="J171" s="778">
        <f t="shared" ref="J171" si="128">L171+O171</f>
        <v>0</v>
      </c>
      <c r="K171" s="788">
        <v>0</v>
      </c>
      <c r="L171" s="778"/>
      <c r="M171" s="778"/>
      <c r="N171" s="778"/>
      <c r="O171" s="788">
        <f t="shared" ref="O171" si="129">K171</f>
        <v>0</v>
      </c>
      <c r="P171" s="778">
        <f t="shared" ref="P171" si="130">E171+J171</f>
        <v>0</v>
      </c>
      <c r="Q171" s="20"/>
      <c r="R171" s="775"/>
    </row>
    <row r="172" spans="1:18" ht="268.5" hidden="1" customHeight="1" x14ac:dyDescent="0.2">
      <c r="A172" s="779"/>
      <c r="B172" s="779"/>
      <c r="C172" s="779"/>
      <c r="D172" s="404" t="s">
        <v>1440</v>
      </c>
      <c r="E172" s="779"/>
      <c r="F172" s="779"/>
      <c r="G172" s="779"/>
      <c r="H172" s="779"/>
      <c r="I172" s="779"/>
      <c r="J172" s="779"/>
      <c r="K172" s="779"/>
      <c r="L172" s="779"/>
      <c r="M172" s="779"/>
      <c r="N172" s="779"/>
      <c r="O172" s="779"/>
      <c r="P172" s="779"/>
      <c r="Q172" s="20"/>
      <c r="R172" s="776"/>
    </row>
    <row r="173" spans="1:18" ht="93" hidden="1" thickTop="1" thickBot="1" x14ac:dyDescent="0.25">
      <c r="A173" s="780"/>
      <c r="B173" s="780"/>
      <c r="C173" s="780"/>
      <c r="D173" s="405" t="s">
        <v>1068</v>
      </c>
      <c r="E173" s="780"/>
      <c r="F173" s="780"/>
      <c r="G173" s="780"/>
      <c r="H173" s="780"/>
      <c r="I173" s="780"/>
      <c r="J173" s="780"/>
      <c r="K173" s="780"/>
      <c r="L173" s="780"/>
      <c r="M173" s="780"/>
      <c r="N173" s="780"/>
      <c r="O173" s="780"/>
      <c r="P173" s="780"/>
      <c r="Q173" s="20"/>
      <c r="R173" s="776"/>
    </row>
    <row r="174" spans="1:18" ht="184.5" hidden="1" thickTop="1" thickBot="1" x14ac:dyDescent="0.7">
      <c r="A174" s="777" t="s">
        <v>1072</v>
      </c>
      <c r="B174" s="777" t="s">
        <v>1073</v>
      </c>
      <c r="C174" s="777" t="s">
        <v>50</v>
      </c>
      <c r="D174" s="406" t="s">
        <v>1069</v>
      </c>
      <c r="E174" s="778">
        <f t="shared" ref="E174" si="131">F174</f>
        <v>0</v>
      </c>
      <c r="F174" s="778"/>
      <c r="G174" s="778"/>
      <c r="H174" s="778"/>
      <c r="I174" s="778"/>
      <c r="J174" s="778">
        <f t="shared" ref="J174" si="132">L174+O174</f>
        <v>0</v>
      </c>
      <c r="K174" s="774">
        <v>0</v>
      </c>
      <c r="L174" s="771"/>
      <c r="M174" s="771"/>
      <c r="N174" s="771"/>
      <c r="O174" s="774">
        <f t="shared" ref="O174" si="133">K174</f>
        <v>0</v>
      </c>
      <c r="P174" s="771">
        <f t="shared" ref="P174" si="134">E174+J174</f>
        <v>0</v>
      </c>
      <c r="Q174" s="20"/>
      <c r="R174" s="775"/>
    </row>
    <row r="175" spans="1:18" ht="184.5" hidden="1" thickTop="1" thickBot="1" x14ac:dyDescent="0.25">
      <c r="A175" s="772"/>
      <c r="B175" s="772"/>
      <c r="C175" s="772"/>
      <c r="D175" s="126" t="s">
        <v>1070</v>
      </c>
      <c r="E175" s="779"/>
      <c r="F175" s="779"/>
      <c r="G175" s="779"/>
      <c r="H175" s="779"/>
      <c r="I175" s="779"/>
      <c r="J175" s="779"/>
      <c r="K175" s="772"/>
      <c r="L175" s="772"/>
      <c r="M175" s="772"/>
      <c r="N175" s="772"/>
      <c r="O175" s="772"/>
      <c r="P175" s="772"/>
      <c r="Q175" s="20"/>
      <c r="R175" s="776"/>
    </row>
    <row r="176" spans="1:18" ht="47.25" hidden="1" thickTop="1" thickBot="1" x14ac:dyDescent="0.25">
      <c r="A176" s="773"/>
      <c r="B176" s="773"/>
      <c r="C176" s="773"/>
      <c r="D176" s="407" t="s">
        <v>1071</v>
      </c>
      <c r="E176" s="780"/>
      <c r="F176" s="780"/>
      <c r="G176" s="780"/>
      <c r="H176" s="780"/>
      <c r="I176" s="780"/>
      <c r="J176" s="780"/>
      <c r="K176" s="773"/>
      <c r="L176" s="773"/>
      <c r="M176" s="773"/>
      <c r="N176" s="773"/>
      <c r="O176" s="773"/>
      <c r="P176" s="773"/>
      <c r="Q176" s="20"/>
      <c r="R176" s="776"/>
    </row>
    <row r="177" spans="1:18" ht="93" thickTop="1" thickBot="1" x14ac:dyDescent="0.25">
      <c r="A177" s="103" t="s">
        <v>1203</v>
      </c>
      <c r="B177" s="103" t="s">
        <v>1200</v>
      </c>
      <c r="C177" s="103" t="s">
        <v>206</v>
      </c>
      <c r="D177" s="470" t="s">
        <v>1201</v>
      </c>
      <c r="E177" s="553">
        <f t="shared" ref="E177" si="135">F177</f>
        <v>7143709</v>
      </c>
      <c r="F177" s="462">
        <f>(5975529)+1168180</f>
        <v>7143709</v>
      </c>
      <c r="G177" s="134"/>
      <c r="H177" s="134"/>
      <c r="I177" s="134"/>
      <c r="J177" s="328">
        <f t="shared" ref="J177" si="136">L177+O177</f>
        <v>44268862.539999999</v>
      </c>
      <c r="K177" s="462">
        <f>(30767856.02)+16737530.6-3236524.08</f>
        <v>44268862.539999999</v>
      </c>
      <c r="L177" s="462"/>
      <c r="M177" s="462"/>
      <c r="N177" s="462"/>
      <c r="O177" s="459">
        <f t="shared" ref="O177" si="137">K177</f>
        <v>44268862.539999999</v>
      </c>
      <c r="P177" s="328">
        <f>E177+J177</f>
        <v>51412571.539999999</v>
      </c>
      <c r="Q177" s="20"/>
      <c r="R177" s="21"/>
    </row>
    <row r="178" spans="1:18" s="33" customFormat="1" ht="48" thickTop="1" thickBot="1" x14ac:dyDescent="0.25">
      <c r="A178" s="329" t="s">
        <v>738</v>
      </c>
      <c r="B178" s="329" t="s">
        <v>739</v>
      </c>
      <c r="C178" s="329"/>
      <c r="D178" s="329" t="s">
        <v>740</v>
      </c>
      <c r="E178" s="325">
        <f>SUM(E179:E180)</f>
        <v>80952016</v>
      </c>
      <c r="F178" s="325">
        <f t="shared" ref="F178:P178" si="138">SUM(F179:F180)</f>
        <v>80952016</v>
      </c>
      <c r="G178" s="325">
        <f t="shared" si="138"/>
        <v>14711142</v>
      </c>
      <c r="H178" s="325">
        <f t="shared" si="138"/>
        <v>1420711</v>
      </c>
      <c r="I178" s="325">
        <f t="shared" si="138"/>
        <v>0</v>
      </c>
      <c r="J178" s="325">
        <f t="shared" si="138"/>
        <v>29094860</v>
      </c>
      <c r="K178" s="325">
        <f t="shared" si="138"/>
        <v>24102600</v>
      </c>
      <c r="L178" s="325">
        <f t="shared" si="138"/>
        <v>4968260</v>
      </c>
      <c r="M178" s="325">
        <f t="shared" si="138"/>
        <v>1885685</v>
      </c>
      <c r="N178" s="325">
        <f t="shared" si="138"/>
        <v>555805</v>
      </c>
      <c r="O178" s="325">
        <f t="shared" si="138"/>
        <v>24126600</v>
      </c>
      <c r="P178" s="325">
        <f t="shared" si="138"/>
        <v>110046876</v>
      </c>
      <c r="Q178" s="36"/>
      <c r="R178" s="51"/>
    </row>
    <row r="179" spans="1:18" ht="93" thickTop="1" thickBot="1" x14ac:dyDescent="0.25">
      <c r="A179" s="103" t="s">
        <v>327</v>
      </c>
      <c r="B179" s="103" t="s">
        <v>329</v>
      </c>
      <c r="C179" s="103" t="s">
        <v>191</v>
      </c>
      <c r="D179" s="470" t="s">
        <v>331</v>
      </c>
      <c r="E179" s="328">
        <f t="shared" si="113"/>
        <v>30498926</v>
      </c>
      <c r="F179" s="462">
        <f>(24773656)+2282350+2871000+571920</f>
        <v>30498926</v>
      </c>
      <c r="G179" s="326">
        <f>(3231579+4596637+3505606)+1568320+1809000</f>
        <v>14711142</v>
      </c>
      <c r="H179" s="326">
        <f>(35600+197918+78510+15030+337600+219800+437423+28830)+70000</f>
        <v>1420711</v>
      </c>
      <c r="I179" s="462"/>
      <c r="J179" s="328">
        <f t="shared" ref="J179:J192" si="139">L179+O179</f>
        <v>4992260</v>
      </c>
      <c r="K179" s="462">
        <v>0</v>
      </c>
      <c r="L179" s="462">
        <f>4992260-24000</f>
        <v>4968260</v>
      </c>
      <c r="M179" s="462">
        <v>1885685</v>
      </c>
      <c r="N179" s="462">
        <f>34805+338560+116750+65690</f>
        <v>555805</v>
      </c>
      <c r="O179" s="459">
        <f>(K179)+24000</f>
        <v>24000</v>
      </c>
      <c r="P179" s="328">
        <f t="shared" ref="P179:P192" si="140">E179+J179</f>
        <v>35491186</v>
      </c>
      <c r="Q179" s="20"/>
      <c r="R179" s="46"/>
    </row>
    <row r="180" spans="1:18" ht="48" thickTop="1" thickBot="1" x14ac:dyDescent="0.25">
      <c r="A180" s="103" t="s">
        <v>328</v>
      </c>
      <c r="B180" s="103" t="s">
        <v>330</v>
      </c>
      <c r="C180" s="103" t="s">
        <v>191</v>
      </c>
      <c r="D180" s="470" t="s">
        <v>332</v>
      </c>
      <c r="E180" s="328">
        <f t="shared" si="113"/>
        <v>50453090</v>
      </c>
      <c r="F180" s="462">
        <f>(43653090)+5000000+1800000</f>
        <v>50453090</v>
      </c>
      <c r="G180" s="134"/>
      <c r="H180" s="134"/>
      <c r="I180" s="134"/>
      <c r="J180" s="328">
        <f t="shared" si="139"/>
        <v>24102600</v>
      </c>
      <c r="K180" s="462">
        <f>(24000000)+102600</f>
        <v>24102600</v>
      </c>
      <c r="L180" s="462"/>
      <c r="M180" s="462"/>
      <c r="N180" s="462"/>
      <c r="O180" s="459">
        <f t="shared" ref="O180:O192" si="141">K180</f>
        <v>24102600</v>
      </c>
      <c r="P180" s="328">
        <f t="shared" si="140"/>
        <v>74555690</v>
      </c>
      <c r="Q180" s="20"/>
      <c r="R180" s="46"/>
    </row>
    <row r="181" spans="1:18" ht="47.25" thickTop="1" thickBot="1" x14ac:dyDescent="0.25">
      <c r="A181" s="311" t="s">
        <v>741</v>
      </c>
      <c r="B181" s="311" t="s">
        <v>742</v>
      </c>
      <c r="C181" s="311"/>
      <c r="D181" s="347" t="s">
        <v>743</v>
      </c>
      <c r="E181" s="328">
        <f>SUM(E182)</f>
        <v>0</v>
      </c>
      <c r="F181" s="328">
        <f t="shared" ref="F181:P181" si="142">SUM(F182)</f>
        <v>0</v>
      </c>
      <c r="G181" s="328">
        <f t="shared" si="142"/>
        <v>0</v>
      </c>
      <c r="H181" s="328">
        <f t="shared" si="142"/>
        <v>0</v>
      </c>
      <c r="I181" s="328">
        <f t="shared" si="142"/>
        <v>0</v>
      </c>
      <c r="J181" s="328">
        <f>SUM(J182)</f>
        <v>26000000</v>
      </c>
      <c r="K181" s="328">
        <f t="shared" si="142"/>
        <v>26000000</v>
      </c>
      <c r="L181" s="328">
        <f t="shared" si="142"/>
        <v>0</v>
      </c>
      <c r="M181" s="328">
        <f t="shared" si="142"/>
        <v>0</v>
      </c>
      <c r="N181" s="328">
        <f t="shared" si="142"/>
        <v>0</v>
      </c>
      <c r="O181" s="328">
        <f t="shared" si="142"/>
        <v>26000000</v>
      </c>
      <c r="P181" s="328">
        <f t="shared" si="142"/>
        <v>26000000</v>
      </c>
      <c r="Q181" s="20"/>
      <c r="R181" s="46"/>
    </row>
    <row r="182" spans="1:18" s="33" customFormat="1" ht="48" thickTop="1" thickBot="1" x14ac:dyDescent="0.25">
      <c r="A182" s="329" t="s">
        <v>744</v>
      </c>
      <c r="B182" s="329" t="s">
        <v>745</v>
      </c>
      <c r="C182" s="329"/>
      <c r="D182" s="552" t="s">
        <v>746</v>
      </c>
      <c r="E182" s="325">
        <f>SUM(E183:E184)</f>
        <v>0</v>
      </c>
      <c r="F182" s="325">
        <f>SUM(F183:F184)</f>
        <v>0</v>
      </c>
      <c r="G182" s="325">
        <f>SUM(G183:G184)</f>
        <v>0</v>
      </c>
      <c r="H182" s="325">
        <f>SUM(H183:H184)</f>
        <v>0</v>
      </c>
      <c r="I182" s="325">
        <f>SUM(I183:I184)</f>
        <v>0</v>
      </c>
      <c r="J182" s="325">
        <f t="shared" ref="J182:O182" si="143">SUM(J183:J184)</f>
        <v>26000000</v>
      </c>
      <c r="K182" s="325">
        <f t="shared" si="143"/>
        <v>26000000</v>
      </c>
      <c r="L182" s="325">
        <f t="shared" si="143"/>
        <v>0</v>
      </c>
      <c r="M182" s="325">
        <f t="shared" si="143"/>
        <v>0</v>
      </c>
      <c r="N182" s="325">
        <f t="shared" si="143"/>
        <v>0</v>
      </c>
      <c r="O182" s="325">
        <f t="shared" si="143"/>
        <v>26000000</v>
      </c>
      <c r="P182" s="325">
        <f>SUM(P183:P184)</f>
        <v>26000000</v>
      </c>
      <c r="Q182" s="36"/>
      <c r="R182" s="52"/>
    </row>
    <row r="183" spans="1:18" ht="93" thickTop="1" thickBot="1" x14ac:dyDescent="0.25">
      <c r="A183" s="103" t="s">
        <v>367</v>
      </c>
      <c r="B183" s="103" t="s">
        <v>365</v>
      </c>
      <c r="C183" s="103" t="s">
        <v>340</v>
      </c>
      <c r="D183" s="470" t="s">
        <v>366</v>
      </c>
      <c r="E183" s="328">
        <f t="shared" si="113"/>
        <v>0</v>
      </c>
      <c r="F183" s="462"/>
      <c r="G183" s="462"/>
      <c r="H183" s="462"/>
      <c r="I183" s="462"/>
      <c r="J183" s="328">
        <f t="shared" si="139"/>
        <v>26000000</v>
      </c>
      <c r="K183" s="462">
        <f>(20000000)+6000000</f>
        <v>26000000</v>
      </c>
      <c r="L183" s="462"/>
      <c r="M183" s="462"/>
      <c r="N183" s="462"/>
      <c r="O183" s="459">
        <f t="shared" si="141"/>
        <v>26000000</v>
      </c>
      <c r="P183" s="328">
        <f t="shared" si="140"/>
        <v>26000000</v>
      </c>
      <c r="Q183" s="20"/>
      <c r="R183" s="46"/>
    </row>
    <row r="184" spans="1:18" ht="184.5" hidden="1" thickTop="1" thickBot="1" x14ac:dyDescent="0.25">
      <c r="A184" s="41" t="s">
        <v>1074</v>
      </c>
      <c r="B184" s="41" t="s">
        <v>1075</v>
      </c>
      <c r="C184" s="41" t="s">
        <v>340</v>
      </c>
      <c r="D184" s="154" t="s">
        <v>1076</v>
      </c>
      <c r="E184" s="42">
        <f t="shared" si="113"/>
        <v>0</v>
      </c>
      <c r="F184" s="43"/>
      <c r="G184" s="43"/>
      <c r="H184" s="43"/>
      <c r="I184" s="43"/>
      <c r="J184" s="42">
        <f t="shared" si="139"/>
        <v>0</v>
      </c>
      <c r="K184" s="43">
        <v>0</v>
      </c>
      <c r="L184" s="43"/>
      <c r="M184" s="43"/>
      <c r="N184" s="43"/>
      <c r="O184" s="44">
        <f t="shared" si="141"/>
        <v>0</v>
      </c>
      <c r="P184" s="42">
        <f t="shared" si="140"/>
        <v>0</v>
      </c>
      <c r="Q184" s="20"/>
      <c r="R184" s="46"/>
    </row>
    <row r="185" spans="1:18" ht="47.25" hidden="1" thickTop="1" thickBot="1" x14ac:dyDescent="0.25">
      <c r="A185" s="125" t="s">
        <v>751</v>
      </c>
      <c r="B185" s="125" t="s">
        <v>748</v>
      </c>
      <c r="C185" s="125"/>
      <c r="D185" s="125" t="s">
        <v>749</v>
      </c>
      <c r="E185" s="127">
        <f>E189+E186</f>
        <v>0</v>
      </c>
      <c r="F185" s="127">
        <f t="shared" ref="F185:P185" si="144">F189+F186</f>
        <v>0</v>
      </c>
      <c r="G185" s="127">
        <f t="shared" si="144"/>
        <v>0</v>
      </c>
      <c r="H185" s="127">
        <f t="shared" si="144"/>
        <v>0</v>
      </c>
      <c r="I185" s="127">
        <f t="shared" si="144"/>
        <v>0</v>
      </c>
      <c r="J185" s="127">
        <f t="shared" si="144"/>
        <v>13660</v>
      </c>
      <c r="K185" s="127">
        <f t="shared" si="144"/>
        <v>13660</v>
      </c>
      <c r="L185" s="127">
        <f t="shared" si="144"/>
        <v>0</v>
      </c>
      <c r="M185" s="127">
        <f t="shared" si="144"/>
        <v>0</v>
      </c>
      <c r="N185" s="127">
        <f t="shared" si="144"/>
        <v>0</v>
      </c>
      <c r="O185" s="127">
        <f t="shared" si="144"/>
        <v>13660</v>
      </c>
      <c r="P185" s="127">
        <f t="shared" si="144"/>
        <v>13660</v>
      </c>
      <c r="Q185" s="20"/>
      <c r="R185" s="46"/>
    </row>
    <row r="186" spans="1:18" ht="47.25" hidden="1" thickTop="1" thickBot="1" x14ac:dyDescent="0.25">
      <c r="A186" s="136" t="s">
        <v>926</v>
      </c>
      <c r="B186" s="136" t="s">
        <v>803</v>
      </c>
      <c r="C186" s="136"/>
      <c r="D186" s="136" t="s">
        <v>804</v>
      </c>
      <c r="E186" s="137">
        <f>E187</f>
        <v>0</v>
      </c>
      <c r="F186" s="137">
        <f t="shared" ref="F186:P191" si="145">F187</f>
        <v>0</v>
      </c>
      <c r="G186" s="137">
        <f t="shared" si="145"/>
        <v>0</v>
      </c>
      <c r="H186" s="137">
        <f t="shared" si="145"/>
        <v>0</v>
      </c>
      <c r="I186" s="137">
        <f t="shared" si="145"/>
        <v>0</v>
      </c>
      <c r="J186" s="137">
        <f t="shared" si="145"/>
        <v>0</v>
      </c>
      <c r="K186" s="137">
        <f t="shared" si="145"/>
        <v>0</v>
      </c>
      <c r="L186" s="137">
        <f t="shared" si="145"/>
        <v>0</v>
      </c>
      <c r="M186" s="137">
        <f t="shared" si="145"/>
        <v>0</v>
      </c>
      <c r="N186" s="137">
        <f t="shared" si="145"/>
        <v>0</v>
      </c>
      <c r="O186" s="137">
        <f t="shared" si="145"/>
        <v>0</v>
      </c>
      <c r="P186" s="137">
        <f t="shared" si="145"/>
        <v>0</v>
      </c>
      <c r="Q186" s="20"/>
      <c r="R186" s="46"/>
    </row>
    <row r="187" spans="1:18" ht="54.75" hidden="1" thickTop="1" thickBot="1" x14ac:dyDescent="0.25">
      <c r="A187" s="140" t="s">
        <v>923</v>
      </c>
      <c r="B187" s="140" t="s">
        <v>821</v>
      </c>
      <c r="C187" s="140"/>
      <c r="D187" s="140" t="s">
        <v>1493</v>
      </c>
      <c r="E187" s="141">
        <f>E188</f>
        <v>0</v>
      </c>
      <c r="F187" s="141">
        <f t="shared" si="145"/>
        <v>0</v>
      </c>
      <c r="G187" s="141">
        <f t="shared" si="145"/>
        <v>0</v>
      </c>
      <c r="H187" s="141">
        <f t="shared" si="145"/>
        <v>0</v>
      </c>
      <c r="I187" s="141">
        <f t="shared" si="145"/>
        <v>0</v>
      </c>
      <c r="J187" s="141">
        <f t="shared" si="145"/>
        <v>0</v>
      </c>
      <c r="K187" s="141">
        <f t="shared" si="145"/>
        <v>0</v>
      </c>
      <c r="L187" s="141">
        <f t="shared" si="145"/>
        <v>0</v>
      </c>
      <c r="M187" s="141">
        <f t="shared" si="145"/>
        <v>0</v>
      </c>
      <c r="N187" s="141">
        <f t="shared" si="145"/>
        <v>0</v>
      </c>
      <c r="O187" s="141">
        <f t="shared" si="145"/>
        <v>0</v>
      </c>
      <c r="P187" s="141">
        <f t="shared" si="145"/>
        <v>0</v>
      </c>
      <c r="Q187" s="20"/>
      <c r="R187" s="46"/>
    </row>
    <row r="188" spans="1:18" ht="54" hidden="1" thickTop="1" thickBot="1" x14ac:dyDescent="0.25">
      <c r="A188" s="128" t="s">
        <v>924</v>
      </c>
      <c r="B188" s="128" t="s">
        <v>925</v>
      </c>
      <c r="C188" s="128" t="s">
        <v>304</v>
      </c>
      <c r="D188" s="128" t="s">
        <v>1494</v>
      </c>
      <c r="E188" s="127"/>
      <c r="F188" s="134"/>
      <c r="G188" s="134"/>
      <c r="H188" s="134"/>
      <c r="I188" s="134"/>
      <c r="J188" s="127">
        <f>L188+O188</f>
        <v>0</v>
      </c>
      <c r="K188" s="134">
        <v>0</v>
      </c>
      <c r="L188" s="134"/>
      <c r="M188" s="134"/>
      <c r="N188" s="134"/>
      <c r="O188" s="132">
        <f>K188</f>
        <v>0</v>
      </c>
      <c r="P188" s="127">
        <f>E188+J188</f>
        <v>0</v>
      </c>
      <c r="Q188" s="20"/>
      <c r="R188" s="46"/>
    </row>
    <row r="189" spans="1:18" ht="47.25" thickTop="1" thickBot="1" x14ac:dyDescent="0.25">
      <c r="A189" s="313" t="s">
        <v>753</v>
      </c>
      <c r="B189" s="313" t="s">
        <v>691</v>
      </c>
      <c r="C189" s="313"/>
      <c r="D189" s="313" t="s">
        <v>689</v>
      </c>
      <c r="E189" s="315">
        <f>E191+E190</f>
        <v>0</v>
      </c>
      <c r="F189" s="315">
        <f t="shared" ref="F189:I189" si="146">F191+F190</f>
        <v>0</v>
      </c>
      <c r="G189" s="315">
        <f t="shared" si="146"/>
        <v>0</v>
      </c>
      <c r="H189" s="315">
        <f t="shared" si="146"/>
        <v>0</v>
      </c>
      <c r="I189" s="315">
        <f t="shared" si="146"/>
        <v>0</v>
      </c>
      <c r="J189" s="315">
        <f>J191+J190</f>
        <v>13660</v>
      </c>
      <c r="K189" s="315">
        <f t="shared" ref="K189:O189" si="147">K191+K190</f>
        <v>13660</v>
      </c>
      <c r="L189" s="315">
        <f t="shared" si="147"/>
        <v>0</v>
      </c>
      <c r="M189" s="315">
        <f t="shared" si="147"/>
        <v>0</v>
      </c>
      <c r="N189" s="315">
        <f t="shared" si="147"/>
        <v>0</v>
      </c>
      <c r="O189" s="315">
        <f t="shared" si="147"/>
        <v>13660</v>
      </c>
      <c r="P189" s="315">
        <f>P191+P190</f>
        <v>13660</v>
      </c>
      <c r="Q189" s="20"/>
      <c r="R189" s="46"/>
    </row>
    <row r="190" spans="1:18" ht="48" thickTop="1" thickBot="1" x14ac:dyDescent="0.25">
      <c r="A190" s="103" t="s">
        <v>1310</v>
      </c>
      <c r="B190" s="103" t="s">
        <v>212</v>
      </c>
      <c r="C190" s="103" t="s">
        <v>213</v>
      </c>
      <c r="D190" s="103" t="s">
        <v>41</v>
      </c>
      <c r="E190" s="328">
        <f t="shared" ref="E190" si="148">F190</f>
        <v>0</v>
      </c>
      <c r="F190" s="462">
        <v>0</v>
      </c>
      <c r="G190" s="462"/>
      <c r="H190" s="462"/>
      <c r="I190" s="462"/>
      <c r="J190" s="328">
        <f t="shared" ref="J190" si="149">L190+O190</f>
        <v>13660</v>
      </c>
      <c r="K190" s="462">
        <v>13660</v>
      </c>
      <c r="L190" s="462"/>
      <c r="M190" s="462"/>
      <c r="N190" s="462"/>
      <c r="O190" s="459">
        <f t="shared" ref="O190" si="150">K190</f>
        <v>13660</v>
      </c>
      <c r="P190" s="328">
        <f t="shared" ref="P190" si="151">E190+J190</f>
        <v>13660</v>
      </c>
      <c r="Q190" s="20"/>
      <c r="R190" s="46"/>
    </row>
    <row r="191" spans="1:18" ht="48" hidden="1" thickTop="1" thickBot="1" x14ac:dyDescent="0.25">
      <c r="A191" s="140" t="s">
        <v>752</v>
      </c>
      <c r="B191" s="140" t="s">
        <v>694</v>
      </c>
      <c r="C191" s="140"/>
      <c r="D191" s="153" t="s">
        <v>692</v>
      </c>
      <c r="E191" s="141">
        <f>E192</f>
        <v>0</v>
      </c>
      <c r="F191" s="141">
        <f t="shared" si="145"/>
        <v>0</v>
      </c>
      <c r="G191" s="141">
        <f t="shared" si="145"/>
        <v>0</v>
      </c>
      <c r="H191" s="141">
        <f t="shared" si="145"/>
        <v>0</v>
      </c>
      <c r="I191" s="141">
        <f t="shared" si="145"/>
        <v>0</v>
      </c>
      <c r="J191" s="141">
        <f t="shared" si="145"/>
        <v>0</v>
      </c>
      <c r="K191" s="141">
        <f t="shared" si="145"/>
        <v>0</v>
      </c>
      <c r="L191" s="141">
        <f t="shared" si="145"/>
        <v>0</v>
      </c>
      <c r="M191" s="141">
        <f t="shared" si="145"/>
        <v>0</v>
      </c>
      <c r="N191" s="141">
        <f t="shared" si="145"/>
        <v>0</v>
      </c>
      <c r="O191" s="141">
        <f t="shared" si="145"/>
        <v>0</v>
      </c>
      <c r="P191" s="141">
        <f t="shared" si="145"/>
        <v>0</v>
      </c>
      <c r="Q191" s="20"/>
      <c r="R191" s="46"/>
    </row>
    <row r="192" spans="1:18" ht="184.5" hidden="1" thickTop="1" thickBot="1" x14ac:dyDescent="0.7">
      <c r="A192" s="797" t="s">
        <v>423</v>
      </c>
      <c r="B192" s="797" t="s">
        <v>338</v>
      </c>
      <c r="C192" s="797" t="s">
        <v>170</v>
      </c>
      <c r="D192" s="155" t="s">
        <v>440</v>
      </c>
      <c r="E192" s="800">
        <f t="shared" si="113"/>
        <v>0</v>
      </c>
      <c r="F192" s="781"/>
      <c r="G192" s="781"/>
      <c r="H192" s="781"/>
      <c r="I192" s="781"/>
      <c r="J192" s="800">
        <f t="shared" si="139"/>
        <v>0</v>
      </c>
      <c r="K192" s="781"/>
      <c r="L192" s="781"/>
      <c r="M192" s="781"/>
      <c r="N192" s="781"/>
      <c r="O192" s="785">
        <f t="shared" si="141"/>
        <v>0</v>
      </c>
      <c r="P192" s="782">
        <f t="shared" si="140"/>
        <v>0</v>
      </c>
      <c r="Q192" s="20"/>
      <c r="R192" s="50"/>
    </row>
    <row r="193" spans="1:18" ht="93" hidden="1" thickTop="1" thickBot="1" x14ac:dyDescent="0.25">
      <c r="A193" s="783"/>
      <c r="B193" s="805"/>
      <c r="C193" s="783"/>
      <c r="D193" s="156" t="s">
        <v>441</v>
      </c>
      <c r="E193" s="783"/>
      <c r="F193" s="784"/>
      <c r="G193" s="784"/>
      <c r="H193" s="784"/>
      <c r="I193" s="784"/>
      <c r="J193" s="783"/>
      <c r="K193" s="783"/>
      <c r="L193" s="784"/>
      <c r="M193" s="784"/>
      <c r="N193" s="784"/>
      <c r="O193" s="786"/>
      <c r="P193" s="787"/>
      <c r="Q193" s="20"/>
      <c r="R193" s="50"/>
    </row>
    <row r="194" spans="1:18" ht="120" customHeight="1" thickTop="1" thickBot="1" x14ac:dyDescent="0.25">
      <c r="A194" s="661">
        <v>1000000</v>
      </c>
      <c r="B194" s="661"/>
      <c r="C194" s="661"/>
      <c r="D194" s="662" t="s">
        <v>24</v>
      </c>
      <c r="E194" s="663">
        <f>E195</f>
        <v>173258381</v>
      </c>
      <c r="F194" s="664">
        <f t="shared" ref="F194:G194" si="152">F195</f>
        <v>173258381</v>
      </c>
      <c r="G194" s="664">
        <f t="shared" si="152"/>
        <v>127110999</v>
      </c>
      <c r="H194" s="664">
        <f>H195</f>
        <v>8158262</v>
      </c>
      <c r="I194" s="664">
        <f>I195</f>
        <v>0</v>
      </c>
      <c r="J194" s="663">
        <f>J195</f>
        <v>11133850</v>
      </c>
      <c r="K194" s="664">
        <f>K195</f>
        <v>0</v>
      </c>
      <c r="L194" s="664">
        <f>L195</f>
        <v>10895910</v>
      </c>
      <c r="M194" s="664">
        <f t="shared" ref="M194" si="153">M195</f>
        <v>8032370</v>
      </c>
      <c r="N194" s="664">
        <f>N195</f>
        <v>284620</v>
      </c>
      <c r="O194" s="663">
        <f>O195</f>
        <v>237940</v>
      </c>
      <c r="P194" s="664">
        <f t="shared" ref="P194" si="154">P195</f>
        <v>184392231</v>
      </c>
      <c r="Q194" s="20"/>
    </row>
    <row r="195" spans="1:18" ht="120" customHeight="1" thickTop="1" thickBot="1" x14ac:dyDescent="0.25">
      <c r="A195" s="658">
        <v>1010000</v>
      </c>
      <c r="B195" s="658"/>
      <c r="C195" s="658"/>
      <c r="D195" s="659" t="s">
        <v>39</v>
      </c>
      <c r="E195" s="660">
        <f>E196+E198+E212+E206</f>
        <v>173258381</v>
      </c>
      <c r="F195" s="660">
        <f>F196+F198+F212+F206</f>
        <v>173258381</v>
      </c>
      <c r="G195" s="660">
        <f>G196+G198+G212+G206</f>
        <v>127110999</v>
      </c>
      <c r="H195" s="660">
        <f>H196+H198+H212+H206</f>
        <v>8158262</v>
      </c>
      <c r="I195" s="660">
        <f>I196+I198+I212+I206</f>
        <v>0</v>
      </c>
      <c r="J195" s="660">
        <f t="shared" ref="J195:J205" si="155">L195+O195</f>
        <v>11133850</v>
      </c>
      <c r="K195" s="660">
        <f>K196+K198+K212+K206</f>
        <v>0</v>
      </c>
      <c r="L195" s="660">
        <f>L196+L198+L212+L206</f>
        <v>10895910</v>
      </c>
      <c r="M195" s="660">
        <f>M196+M198+M212+M206</f>
        <v>8032370</v>
      </c>
      <c r="N195" s="660">
        <f>N196+N198+N212+N206</f>
        <v>284620</v>
      </c>
      <c r="O195" s="660">
        <f>O196+O198+O212+O206</f>
        <v>237940</v>
      </c>
      <c r="P195" s="660">
        <f t="shared" ref="P195:P205" si="156">E195+J195</f>
        <v>184392231</v>
      </c>
      <c r="Q195" s="503" t="b">
        <f>P195=P197+P199+P200+P201+P205+P204+P209</f>
        <v>1</v>
      </c>
      <c r="R195" s="46"/>
    </row>
    <row r="196" spans="1:18" ht="47.25" thickTop="1" thickBot="1" x14ac:dyDescent="0.25">
      <c r="A196" s="311" t="s">
        <v>754</v>
      </c>
      <c r="B196" s="311" t="s">
        <v>708</v>
      </c>
      <c r="C196" s="311"/>
      <c r="D196" s="311" t="s">
        <v>709</v>
      </c>
      <c r="E196" s="328">
        <f>E197</f>
        <v>95924456</v>
      </c>
      <c r="F196" s="328">
        <f t="shared" ref="F196:P196" si="157">F197</f>
        <v>95924456</v>
      </c>
      <c r="G196" s="328">
        <f t="shared" si="157"/>
        <v>73990970</v>
      </c>
      <c r="H196" s="328">
        <f t="shared" si="157"/>
        <v>4617684</v>
      </c>
      <c r="I196" s="328">
        <f t="shared" si="157"/>
        <v>0</v>
      </c>
      <c r="J196" s="328">
        <f t="shared" si="157"/>
        <v>9914660</v>
      </c>
      <c r="K196" s="328">
        <f t="shared" si="157"/>
        <v>0</v>
      </c>
      <c r="L196" s="328">
        <f t="shared" si="157"/>
        <v>9792720</v>
      </c>
      <c r="M196" s="328">
        <f t="shared" si="157"/>
        <v>7465250</v>
      </c>
      <c r="N196" s="328">
        <f t="shared" si="157"/>
        <v>223920</v>
      </c>
      <c r="O196" s="328">
        <f t="shared" si="157"/>
        <v>121940</v>
      </c>
      <c r="P196" s="328">
        <f t="shared" si="157"/>
        <v>105839116</v>
      </c>
      <c r="Q196" s="47"/>
      <c r="R196" s="46"/>
    </row>
    <row r="197" spans="1:18" ht="48" thickTop="1" thickBot="1" x14ac:dyDescent="0.25">
      <c r="A197" s="103" t="s">
        <v>636</v>
      </c>
      <c r="B197" s="103" t="s">
        <v>637</v>
      </c>
      <c r="C197" s="103" t="s">
        <v>181</v>
      </c>
      <c r="D197" s="103" t="s">
        <v>1120</v>
      </c>
      <c r="E197" s="328">
        <f>F197</f>
        <v>95924456</v>
      </c>
      <c r="F197" s="462">
        <f>(95874428)+50028</f>
        <v>95924456</v>
      </c>
      <c r="G197" s="462">
        <v>73990970</v>
      </c>
      <c r="H197" s="462">
        <f>3898302+36160+523522+130800+28900</f>
        <v>4617684</v>
      </c>
      <c r="I197" s="462"/>
      <c r="J197" s="328">
        <f t="shared" si="155"/>
        <v>9914660</v>
      </c>
      <c r="K197" s="462"/>
      <c r="L197" s="462">
        <f>9914660-121940</f>
        <v>9792720</v>
      </c>
      <c r="M197" s="462">
        <v>7465250</v>
      </c>
      <c r="N197" s="462">
        <v>223920</v>
      </c>
      <c r="O197" s="459">
        <f>(K197+121940)</f>
        <v>121940</v>
      </c>
      <c r="P197" s="328">
        <f t="shared" si="156"/>
        <v>105839116</v>
      </c>
      <c r="Q197" s="20"/>
      <c r="R197" s="46"/>
    </row>
    <row r="198" spans="1:18" s="24" customFormat="1" ht="47.25" thickTop="1" thickBot="1" x14ac:dyDescent="0.25">
      <c r="A198" s="311" t="s">
        <v>755</v>
      </c>
      <c r="B198" s="311" t="s">
        <v>756</v>
      </c>
      <c r="C198" s="311"/>
      <c r="D198" s="311" t="s">
        <v>757</v>
      </c>
      <c r="E198" s="328">
        <f t="shared" ref="E198:P198" si="158">SUM(E199:E205)-E203</f>
        <v>76307075</v>
      </c>
      <c r="F198" s="328">
        <f t="shared" si="158"/>
        <v>76307075</v>
      </c>
      <c r="G198" s="328">
        <f t="shared" si="158"/>
        <v>53120029</v>
      </c>
      <c r="H198" s="328">
        <f t="shared" si="158"/>
        <v>3540578</v>
      </c>
      <c r="I198" s="328">
        <f t="shared" si="158"/>
        <v>0</v>
      </c>
      <c r="J198" s="328">
        <f t="shared" si="158"/>
        <v>1219190</v>
      </c>
      <c r="K198" s="328">
        <f t="shared" si="158"/>
        <v>0</v>
      </c>
      <c r="L198" s="328">
        <f t="shared" si="158"/>
        <v>1103190</v>
      </c>
      <c r="M198" s="328">
        <f t="shared" si="158"/>
        <v>567120</v>
      </c>
      <c r="N198" s="328">
        <f t="shared" si="158"/>
        <v>60700</v>
      </c>
      <c r="O198" s="328">
        <f t="shared" si="158"/>
        <v>116000</v>
      </c>
      <c r="P198" s="328">
        <f t="shared" si="158"/>
        <v>77526265</v>
      </c>
      <c r="Q198" s="25"/>
      <c r="R198" s="50"/>
    </row>
    <row r="199" spans="1:18" ht="48" thickTop="1" thickBot="1" x14ac:dyDescent="0.25">
      <c r="A199" s="103" t="s">
        <v>172</v>
      </c>
      <c r="B199" s="103" t="s">
        <v>173</v>
      </c>
      <c r="C199" s="103" t="s">
        <v>174</v>
      </c>
      <c r="D199" s="103" t="s">
        <v>175</v>
      </c>
      <c r="E199" s="328">
        <f t="shared" ref="E199:E202" si="159">F199</f>
        <v>18479775</v>
      </c>
      <c r="F199" s="462">
        <v>18479775</v>
      </c>
      <c r="G199" s="462">
        <v>13552210</v>
      </c>
      <c r="H199" s="462">
        <f>914400+11100+184288+28000+22100</f>
        <v>1159888</v>
      </c>
      <c r="I199" s="462"/>
      <c r="J199" s="328">
        <f t="shared" si="155"/>
        <v>169000</v>
      </c>
      <c r="K199" s="462"/>
      <c r="L199" s="462">
        <v>169000</v>
      </c>
      <c r="M199" s="462">
        <v>31000</v>
      </c>
      <c r="N199" s="462">
        <v>21000</v>
      </c>
      <c r="O199" s="459">
        <f t="shared" ref="O199:O205" si="160">K199</f>
        <v>0</v>
      </c>
      <c r="P199" s="328">
        <f t="shared" si="156"/>
        <v>18648775</v>
      </c>
      <c r="Q199" s="20"/>
      <c r="R199" s="46"/>
    </row>
    <row r="200" spans="1:18" ht="48" thickTop="1" thickBot="1" x14ac:dyDescent="0.25">
      <c r="A200" s="103" t="s">
        <v>176</v>
      </c>
      <c r="B200" s="103" t="s">
        <v>177</v>
      </c>
      <c r="C200" s="103" t="s">
        <v>174</v>
      </c>
      <c r="D200" s="103" t="s">
        <v>463</v>
      </c>
      <c r="E200" s="328">
        <f t="shared" si="159"/>
        <v>2847504</v>
      </c>
      <c r="F200" s="462">
        <v>2847504</v>
      </c>
      <c r="G200" s="462">
        <v>1875700</v>
      </c>
      <c r="H200" s="462">
        <f>344000+5350+135610+4400</f>
        <v>489360</v>
      </c>
      <c r="I200" s="462"/>
      <c r="J200" s="328">
        <f t="shared" si="155"/>
        <v>113790</v>
      </c>
      <c r="K200" s="462"/>
      <c r="L200" s="462">
        <v>113790</v>
      </c>
      <c r="M200" s="462">
        <v>17920</v>
      </c>
      <c r="N200" s="462">
        <v>5700</v>
      </c>
      <c r="O200" s="459">
        <f t="shared" si="160"/>
        <v>0</v>
      </c>
      <c r="P200" s="328">
        <f t="shared" si="156"/>
        <v>2961294</v>
      </c>
      <c r="Q200" s="20"/>
      <c r="R200" s="46"/>
    </row>
    <row r="201" spans="1:18" ht="93" thickTop="1" thickBot="1" x14ac:dyDescent="0.25">
      <c r="A201" s="103" t="s">
        <v>178</v>
      </c>
      <c r="B201" s="103" t="s">
        <v>171</v>
      </c>
      <c r="C201" s="103" t="s">
        <v>179</v>
      </c>
      <c r="D201" s="103" t="s">
        <v>180</v>
      </c>
      <c r="E201" s="328">
        <f t="shared" si="159"/>
        <v>21555193</v>
      </c>
      <c r="F201" s="462">
        <v>21555193</v>
      </c>
      <c r="G201" s="462">
        <v>15462100</v>
      </c>
      <c r="H201" s="462">
        <f>982800+12680+678200+90000+41200</f>
        <v>1804880</v>
      </c>
      <c r="I201" s="462"/>
      <c r="J201" s="328">
        <f t="shared" si="155"/>
        <v>762000</v>
      </c>
      <c r="K201" s="462"/>
      <c r="L201" s="462">
        <f>762000-57400</f>
        <v>704600</v>
      </c>
      <c r="M201" s="462">
        <v>506000</v>
      </c>
      <c r="N201" s="462">
        <v>34000</v>
      </c>
      <c r="O201" s="459">
        <f>(K201+57400)</f>
        <v>57400</v>
      </c>
      <c r="P201" s="328">
        <f t="shared" si="156"/>
        <v>22317193</v>
      </c>
      <c r="Q201" s="20"/>
      <c r="R201" s="46"/>
    </row>
    <row r="202" spans="1:18" ht="48" hidden="1" thickTop="1" thickBot="1" x14ac:dyDescent="0.25">
      <c r="A202" s="128" t="s">
        <v>1194</v>
      </c>
      <c r="B202" s="128" t="s">
        <v>1195</v>
      </c>
      <c r="C202" s="128" t="s">
        <v>1197</v>
      </c>
      <c r="D202" s="128" t="s">
        <v>1196</v>
      </c>
      <c r="E202" s="127">
        <f t="shared" si="159"/>
        <v>0</v>
      </c>
      <c r="F202" s="134"/>
      <c r="G202" s="134"/>
      <c r="H202" s="134"/>
      <c r="I202" s="134"/>
      <c r="J202" s="127">
        <f t="shared" si="155"/>
        <v>0</v>
      </c>
      <c r="K202" s="134"/>
      <c r="L202" s="134"/>
      <c r="M202" s="134"/>
      <c r="N202" s="134"/>
      <c r="O202" s="132">
        <f>(K202)</f>
        <v>0</v>
      </c>
      <c r="P202" s="127">
        <f t="shared" si="156"/>
        <v>0</v>
      </c>
      <c r="Q202" s="20"/>
      <c r="R202" s="46"/>
    </row>
    <row r="203" spans="1:18" ht="48" thickTop="1" thickBot="1" x14ac:dyDescent="0.25">
      <c r="A203" s="329" t="s">
        <v>758</v>
      </c>
      <c r="B203" s="329" t="s">
        <v>759</v>
      </c>
      <c r="C203" s="329"/>
      <c r="D203" s="329" t="s">
        <v>760</v>
      </c>
      <c r="E203" s="325">
        <f>SUM(E204:E205)</f>
        <v>33424603</v>
      </c>
      <c r="F203" s="325">
        <f t="shared" ref="F203:P203" si="161">SUM(F204:F205)</f>
        <v>33424603</v>
      </c>
      <c r="G203" s="325">
        <f t="shared" si="161"/>
        <v>22230019</v>
      </c>
      <c r="H203" s="325">
        <f t="shared" si="161"/>
        <v>86450</v>
      </c>
      <c r="I203" s="325">
        <f t="shared" si="161"/>
        <v>0</v>
      </c>
      <c r="J203" s="325">
        <f t="shared" si="161"/>
        <v>174400</v>
      </c>
      <c r="K203" s="325">
        <f t="shared" si="161"/>
        <v>0</v>
      </c>
      <c r="L203" s="325">
        <f t="shared" si="161"/>
        <v>115800</v>
      </c>
      <c r="M203" s="325">
        <f t="shared" si="161"/>
        <v>12200</v>
      </c>
      <c r="N203" s="325">
        <f t="shared" si="161"/>
        <v>0</v>
      </c>
      <c r="O203" s="325">
        <f t="shared" si="161"/>
        <v>58600</v>
      </c>
      <c r="P203" s="325">
        <f t="shared" si="161"/>
        <v>33599003</v>
      </c>
      <c r="Q203" s="20"/>
      <c r="R203" s="46"/>
    </row>
    <row r="204" spans="1:18" ht="48" thickTop="1" thickBot="1" x14ac:dyDescent="0.25">
      <c r="A204" s="103" t="s">
        <v>333</v>
      </c>
      <c r="B204" s="103" t="s">
        <v>334</v>
      </c>
      <c r="C204" s="103" t="s">
        <v>182</v>
      </c>
      <c r="D204" s="103" t="s">
        <v>464</v>
      </c>
      <c r="E204" s="328">
        <f>F204</f>
        <v>29071503</v>
      </c>
      <c r="F204" s="462">
        <v>29071503</v>
      </c>
      <c r="G204" s="462">
        <v>22230019</v>
      </c>
      <c r="H204" s="462">
        <f>77900+8250+300</f>
        <v>86450</v>
      </c>
      <c r="I204" s="462"/>
      <c r="J204" s="328">
        <f t="shared" si="155"/>
        <v>174400</v>
      </c>
      <c r="K204" s="462"/>
      <c r="L204" s="462">
        <f>174400-58600</f>
        <v>115800</v>
      </c>
      <c r="M204" s="462">
        <v>12200</v>
      </c>
      <c r="N204" s="462"/>
      <c r="O204" s="459">
        <f>(K204+58600)</f>
        <v>58600</v>
      </c>
      <c r="P204" s="328">
        <f t="shared" si="156"/>
        <v>29245903</v>
      </c>
      <c r="Q204" s="20"/>
      <c r="R204" s="46"/>
    </row>
    <row r="205" spans="1:18" ht="48" thickTop="1" thickBot="1" x14ac:dyDescent="0.25">
      <c r="A205" s="103" t="s">
        <v>335</v>
      </c>
      <c r="B205" s="103" t="s">
        <v>336</v>
      </c>
      <c r="C205" s="103" t="s">
        <v>182</v>
      </c>
      <c r="D205" s="103" t="s">
        <v>465</v>
      </c>
      <c r="E205" s="328">
        <f>F205</f>
        <v>4353100</v>
      </c>
      <c r="F205" s="462">
        <v>4353100</v>
      </c>
      <c r="G205" s="462"/>
      <c r="H205" s="462"/>
      <c r="I205" s="462"/>
      <c r="J205" s="328">
        <f t="shared" si="155"/>
        <v>0</v>
      </c>
      <c r="K205" s="462"/>
      <c r="L205" s="462"/>
      <c r="M205" s="462"/>
      <c r="N205" s="462"/>
      <c r="O205" s="459">
        <f t="shared" si="160"/>
        <v>0</v>
      </c>
      <c r="P205" s="328">
        <f t="shared" si="156"/>
        <v>4353100</v>
      </c>
      <c r="Q205" s="20"/>
      <c r="R205" s="50"/>
    </row>
    <row r="206" spans="1:18" ht="47.25" thickTop="1" thickBot="1" x14ac:dyDescent="0.25">
      <c r="A206" s="311" t="s">
        <v>915</v>
      </c>
      <c r="B206" s="311" t="s">
        <v>748</v>
      </c>
      <c r="C206" s="311"/>
      <c r="D206" s="311" t="s">
        <v>749</v>
      </c>
      <c r="E206" s="328">
        <f>SUM(E207)</f>
        <v>1026850</v>
      </c>
      <c r="F206" s="328">
        <f t="shared" ref="F206:P206" si="162">SUM(F207)</f>
        <v>1026850</v>
      </c>
      <c r="G206" s="328">
        <f t="shared" si="162"/>
        <v>0</v>
      </c>
      <c r="H206" s="328">
        <f t="shared" si="162"/>
        <v>0</v>
      </c>
      <c r="I206" s="328">
        <f t="shared" si="162"/>
        <v>0</v>
      </c>
      <c r="J206" s="328">
        <f t="shared" si="162"/>
        <v>0</v>
      </c>
      <c r="K206" s="328">
        <f t="shared" si="162"/>
        <v>0</v>
      </c>
      <c r="L206" s="328">
        <f t="shared" si="162"/>
        <v>0</v>
      </c>
      <c r="M206" s="328">
        <f t="shared" si="162"/>
        <v>0</v>
      </c>
      <c r="N206" s="328">
        <f t="shared" si="162"/>
        <v>0</v>
      </c>
      <c r="O206" s="328">
        <f t="shared" si="162"/>
        <v>0</v>
      </c>
      <c r="P206" s="328">
        <f t="shared" si="162"/>
        <v>1026850</v>
      </c>
      <c r="Q206" s="20"/>
      <c r="R206" s="50"/>
    </row>
    <row r="207" spans="1:18" ht="47.25" thickTop="1" thickBot="1" x14ac:dyDescent="0.25">
      <c r="A207" s="313" t="s">
        <v>916</v>
      </c>
      <c r="B207" s="313" t="s">
        <v>691</v>
      </c>
      <c r="C207" s="313"/>
      <c r="D207" s="313" t="s">
        <v>689</v>
      </c>
      <c r="E207" s="315">
        <f>E208+E211+E210</f>
        <v>1026850</v>
      </c>
      <c r="F207" s="315">
        <f t="shared" ref="F207:P207" si="163">F208+F211+F210</f>
        <v>1026850</v>
      </c>
      <c r="G207" s="315">
        <f t="shared" si="163"/>
        <v>0</v>
      </c>
      <c r="H207" s="315">
        <f t="shared" si="163"/>
        <v>0</v>
      </c>
      <c r="I207" s="315">
        <f t="shared" si="163"/>
        <v>0</v>
      </c>
      <c r="J207" s="315">
        <f t="shared" si="163"/>
        <v>0</v>
      </c>
      <c r="K207" s="315">
        <f t="shared" si="163"/>
        <v>0</v>
      </c>
      <c r="L207" s="315">
        <f t="shared" si="163"/>
        <v>0</v>
      </c>
      <c r="M207" s="315">
        <f t="shared" si="163"/>
        <v>0</v>
      </c>
      <c r="N207" s="315">
        <f t="shared" si="163"/>
        <v>0</v>
      </c>
      <c r="O207" s="315">
        <f t="shared" si="163"/>
        <v>0</v>
      </c>
      <c r="P207" s="315">
        <f t="shared" si="163"/>
        <v>1026850</v>
      </c>
      <c r="Q207" s="20"/>
      <c r="R207" s="50"/>
    </row>
    <row r="208" spans="1:18" ht="48" thickTop="1" thickBot="1" x14ac:dyDescent="0.25">
      <c r="A208" s="329" t="s">
        <v>1032</v>
      </c>
      <c r="B208" s="329" t="s">
        <v>1033</v>
      </c>
      <c r="C208" s="329"/>
      <c r="D208" s="329" t="s">
        <v>1031</v>
      </c>
      <c r="E208" s="325">
        <f>E209</f>
        <v>1026850</v>
      </c>
      <c r="F208" s="325">
        <f t="shared" ref="F208:P208" si="164">F209</f>
        <v>1026850</v>
      </c>
      <c r="G208" s="325">
        <f t="shared" si="164"/>
        <v>0</v>
      </c>
      <c r="H208" s="325">
        <f t="shared" si="164"/>
        <v>0</v>
      </c>
      <c r="I208" s="325">
        <f t="shared" si="164"/>
        <v>0</v>
      </c>
      <c r="J208" s="325">
        <f t="shared" si="164"/>
        <v>0</v>
      </c>
      <c r="K208" s="325">
        <f t="shared" si="164"/>
        <v>0</v>
      </c>
      <c r="L208" s="325">
        <f t="shared" si="164"/>
        <v>0</v>
      </c>
      <c r="M208" s="325">
        <f t="shared" si="164"/>
        <v>0</v>
      </c>
      <c r="N208" s="325">
        <f t="shared" si="164"/>
        <v>0</v>
      </c>
      <c r="O208" s="325">
        <f t="shared" si="164"/>
        <v>0</v>
      </c>
      <c r="P208" s="325">
        <f t="shared" si="164"/>
        <v>1026850</v>
      </c>
      <c r="Q208" s="20"/>
      <c r="R208" s="50"/>
    </row>
    <row r="209" spans="1:18" ht="48" thickTop="1" thickBot="1" x14ac:dyDescent="0.25">
      <c r="A209" s="103" t="s">
        <v>1035</v>
      </c>
      <c r="B209" s="103" t="s">
        <v>1036</v>
      </c>
      <c r="C209" s="103" t="s">
        <v>213</v>
      </c>
      <c r="D209" s="103" t="s">
        <v>1034</v>
      </c>
      <c r="E209" s="328">
        <f>F209</f>
        <v>1026850</v>
      </c>
      <c r="F209" s="462">
        <v>1026850</v>
      </c>
      <c r="G209" s="462"/>
      <c r="H209" s="462"/>
      <c r="I209" s="462"/>
      <c r="J209" s="328">
        <f>L209+O209</f>
        <v>0</v>
      </c>
      <c r="K209" s="462"/>
      <c r="L209" s="462"/>
      <c r="M209" s="462"/>
      <c r="N209" s="462"/>
      <c r="O209" s="459">
        <f>K209</f>
        <v>0</v>
      </c>
      <c r="P209" s="328">
        <f>E209+J209</f>
        <v>1026850</v>
      </c>
      <c r="Q209" s="20"/>
      <c r="R209" s="50"/>
    </row>
    <row r="210" spans="1:18" ht="48" hidden="1" thickTop="1" thickBot="1" x14ac:dyDescent="0.25">
      <c r="A210" s="128" t="s">
        <v>1265</v>
      </c>
      <c r="B210" s="128" t="s">
        <v>212</v>
      </c>
      <c r="C210" s="128" t="s">
        <v>213</v>
      </c>
      <c r="D210" s="128" t="s">
        <v>41</v>
      </c>
      <c r="E210" s="127">
        <f t="shared" ref="E210:E211" si="165">F210</f>
        <v>0</v>
      </c>
      <c r="F210" s="134"/>
      <c r="G210" s="134"/>
      <c r="H210" s="134"/>
      <c r="I210" s="134"/>
      <c r="J210" s="127">
        <f>L210+O210</f>
        <v>0</v>
      </c>
      <c r="K210" s="134"/>
      <c r="L210" s="134"/>
      <c r="M210" s="134"/>
      <c r="N210" s="134"/>
      <c r="O210" s="132">
        <f>K210</f>
        <v>0</v>
      </c>
      <c r="P210" s="127">
        <f>E210+J210</f>
        <v>0</v>
      </c>
      <c r="Q210" s="20"/>
      <c r="R210" s="50"/>
    </row>
    <row r="211" spans="1:18" ht="48" hidden="1" thickTop="1" thickBot="1" x14ac:dyDescent="0.25">
      <c r="A211" s="128" t="s">
        <v>917</v>
      </c>
      <c r="B211" s="128" t="s">
        <v>197</v>
      </c>
      <c r="C211" s="128" t="s">
        <v>170</v>
      </c>
      <c r="D211" s="128" t="s">
        <v>34</v>
      </c>
      <c r="E211" s="127">
        <f t="shared" si="165"/>
        <v>0</v>
      </c>
      <c r="F211" s="134"/>
      <c r="G211" s="134"/>
      <c r="H211" s="134"/>
      <c r="I211" s="134"/>
      <c r="J211" s="127">
        <f t="shared" ref="J211" si="166">L211+O211</f>
        <v>0</v>
      </c>
      <c r="K211" s="134">
        <f>940242-455475-484767</f>
        <v>0</v>
      </c>
      <c r="L211" s="134"/>
      <c r="M211" s="134"/>
      <c r="N211" s="134"/>
      <c r="O211" s="132">
        <f t="shared" ref="O211" si="167">K211</f>
        <v>0</v>
      </c>
      <c r="P211" s="127">
        <f t="shared" ref="P211" si="168">E211+J211</f>
        <v>0</v>
      </c>
      <c r="Q211" s="20"/>
      <c r="R211" s="46"/>
    </row>
    <row r="212" spans="1:18" ht="47.25" hidden="1" thickTop="1" thickBot="1" x14ac:dyDescent="0.25">
      <c r="A212" s="146" t="s">
        <v>761</v>
      </c>
      <c r="B212" s="146" t="s">
        <v>702</v>
      </c>
      <c r="C212" s="146"/>
      <c r="D212" s="146" t="s">
        <v>703</v>
      </c>
      <c r="E212" s="42">
        <f>E213</f>
        <v>0</v>
      </c>
      <c r="F212" s="42">
        <f t="shared" ref="F212:P213" si="169">F213</f>
        <v>0</v>
      </c>
      <c r="G212" s="42">
        <f t="shared" si="169"/>
        <v>0</v>
      </c>
      <c r="H212" s="42">
        <f t="shared" si="169"/>
        <v>0</v>
      </c>
      <c r="I212" s="42">
        <f t="shared" si="169"/>
        <v>0</v>
      </c>
      <c r="J212" s="42">
        <f t="shared" si="169"/>
        <v>0</v>
      </c>
      <c r="K212" s="42">
        <f t="shared" si="169"/>
        <v>0</v>
      </c>
      <c r="L212" s="42">
        <f t="shared" si="169"/>
        <v>0</v>
      </c>
      <c r="M212" s="42">
        <f t="shared" si="169"/>
        <v>0</v>
      </c>
      <c r="N212" s="42">
        <f t="shared" si="169"/>
        <v>0</v>
      </c>
      <c r="O212" s="42">
        <f t="shared" si="169"/>
        <v>0</v>
      </c>
      <c r="P212" s="42">
        <f t="shared" si="169"/>
        <v>0</v>
      </c>
      <c r="Q212" s="20"/>
      <c r="R212" s="50"/>
    </row>
    <row r="213" spans="1:18" ht="91.5" hidden="1" thickTop="1" thickBot="1" x14ac:dyDescent="0.25">
      <c r="A213" s="147" t="s">
        <v>762</v>
      </c>
      <c r="B213" s="147" t="s">
        <v>705</v>
      </c>
      <c r="C213" s="147"/>
      <c r="D213" s="147" t="s">
        <v>706</v>
      </c>
      <c r="E213" s="148">
        <f>E214</f>
        <v>0</v>
      </c>
      <c r="F213" s="148">
        <f t="shared" si="169"/>
        <v>0</v>
      </c>
      <c r="G213" s="148">
        <f t="shared" si="169"/>
        <v>0</v>
      </c>
      <c r="H213" s="148">
        <f t="shared" si="169"/>
        <v>0</v>
      </c>
      <c r="I213" s="148">
        <f t="shared" si="169"/>
        <v>0</v>
      </c>
      <c r="J213" s="148">
        <f t="shared" si="169"/>
        <v>0</v>
      </c>
      <c r="K213" s="148">
        <f t="shared" si="169"/>
        <v>0</v>
      </c>
      <c r="L213" s="148">
        <f t="shared" si="169"/>
        <v>0</v>
      </c>
      <c r="M213" s="148">
        <f t="shared" si="169"/>
        <v>0</v>
      </c>
      <c r="N213" s="148">
        <f t="shared" si="169"/>
        <v>0</v>
      </c>
      <c r="O213" s="148">
        <f t="shared" si="169"/>
        <v>0</v>
      </c>
      <c r="P213" s="148">
        <f t="shared" si="169"/>
        <v>0</v>
      </c>
      <c r="Q213" s="20"/>
      <c r="R213" s="50"/>
    </row>
    <row r="214" spans="1:18" ht="48" hidden="1" thickTop="1" thickBot="1" x14ac:dyDescent="0.25">
      <c r="A214" s="41" t="s">
        <v>586</v>
      </c>
      <c r="B214" s="41" t="s">
        <v>363</v>
      </c>
      <c r="C214" s="41" t="s">
        <v>43</v>
      </c>
      <c r="D214" s="41" t="s">
        <v>364</v>
      </c>
      <c r="E214" s="42">
        <f t="shared" ref="E214" si="170">F214</f>
        <v>0</v>
      </c>
      <c r="F214" s="43">
        <v>0</v>
      </c>
      <c r="G214" s="43"/>
      <c r="H214" s="43"/>
      <c r="I214" s="43"/>
      <c r="J214" s="42">
        <f>L214+O214</f>
        <v>0</v>
      </c>
      <c r="K214" s="43"/>
      <c r="L214" s="43"/>
      <c r="M214" s="43"/>
      <c r="N214" s="43"/>
      <c r="O214" s="44">
        <f>K214</f>
        <v>0</v>
      </c>
      <c r="P214" s="42">
        <f>E214+J214</f>
        <v>0</v>
      </c>
      <c r="Q214" s="20"/>
      <c r="R214" s="50"/>
    </row>
    <row r="215" spans="1:18" ht="120" customHeight="1" thickTop="1" thickBot="1" x14ac:dyDescent="0.25">
      <c r="A215" s="661" t="s">
        <v>22</v>
      </c>
      <c r="B215" s="661"/>
      <c r="C215" s="661"/>
      <c r="D215" s="662" t="s">
        <v>23</v>
      </c>
      <c r="E215" s="663">
        <f>E216</f>
        <v>124696334</v>
      </c>
      <c r="F215" s="664">
        <f t="shared" ref="F215:G215" si="171">F216</f>
        <v>124696334</v>
      </c>
      <c r="G215" s="664">
        <f t="shared" si="171"/>
        <v>52169105</v>
      </c>
      <c r="H215" s="664">
        <f>H216</f>
        <v>4493410</v>
      </c>
      <c r="I215" s="664">
        <f t="shared" ref="I215" si="172">I216</f>
        <v>0</v>
      </c>
      <c r="J215" s="663">
        <f>J216</f>
        <v>3384506</v>
      </c>
      <c r="K215" s="664">
        <f>K216</f>
        <v>1471064</v>
      </c>
      <c r="L215" s="664">
        <f>L216</f>
        <v>1888442</v>
      </c>
      <c r="M215" s="664">
        <f t="shared" ref="M215" si="173">M216</f>
        <v>704165</v>
      </c>
      <c r="N215" s="664">
        <f>N216</f>
        <v>524376</v>
      </c>
      <c r="O215" s="663">
        <f>O216</f>
        <v>1496064</v>
      </c>
      <c r="P215" s="664">
        <f t="shared" ref="P215" si="174">P216</f>
        <v>128080840</v>
      </c>
      <c r="Q215" s="20"/>
    </row>
    <row r="216" spans="1:18" ht="120" customHeight="1" thickTop="1" thickBot="1" x14ac:dyDescent="0.25">
      <c r="A216" s="658" t="s">
        <v>21</v>
      </c>
      <c r="B216" s="658"/>
      <c r="C216" s="658"/>
      <c r="D216" s="659" t="s">
        <v>35</v>
      </c>
      <c r="E216" s="660">
        <f>E217+E223+E238+E241+E248</f>
        <v>124696334</v>
      </c>
      <c r="F216" s="660">
        <f t="shared" ref="F216:I216" si="175">F217+F223+F238+F241+F248</f>
        <v>124696334</v>
      </c>
      <c r="G216" s="660">
        <f t="shared" si="175"/>
        <v>52169105</v>
      </c>
      <c r="H216" s="660">
        <f t="shared" si="175"/>
        <v>4493410</v>
      </c>
      <c r="I216" s="660">
        <f t="shared" si="175"/>
        <v>0</v>
      </c>
      <c r="J216" s="660">
        <f>L216+O216</f>
        <v>3384506</v>
      </c>
      <c r="K216" s="660">
        <f t="shared" ref="K216:O216" si="176">K217+K223+K238+K241+K248</f>
        <v>1471064</v>
      </c>
      <c r="L216" s="660">
        <f t="shared" si="176"/>
        <v>1888442</v>
      </c>
      <c r="M216" s="660">
        <f t="shared" si="176"/>
        <v>704165</v>
      </c>
      <c r="N216" s="660">
        <f t="shared" si="176"/>
        <v>524376</v>
      </c>
      <c r="O216" s="660">
        <f t="shared" si="176"/>
        <v>1496064</v>
      </c>
      <c r="P216" s="660">
        <f>E216+J216</f>
        <v>128080840</v>
      </c>
      <c r="Q216" s="503" t="b">
        <f>P216=P221+P222+P225+P226+P228+P230+P231+P235+P236+P237+P233</f>
        <v>1</v>
      </c>
      <c r="R216" s="46"/>
    </row>
    <row r="217" spans="1:18" ht="47.25" thickTop="1" thickBot="1" x14ac:dyDescent="0.25">
      <c r="A217" s="311" t="s">
        <v>763</v>
      </c>
      <c r="B217" s="311" t="s">
        <v>711</v>
      </c>
      <c r="C217" s="311"/>
      <c r="D217" s="311" t="s">
        <v>712</v>
      </c>
      <c r="E217" s="587">
        <f>SUM(E218:E222)-E218-E220</f>
        <v>13133719</v>
      </c>
      <c r="F217" s="587">
        <f t="shared" ref="F217:P217" si="177">SUM(F218:F222)-F218-F220</f>
        <v>13133719</v>
      </c>
      <c r="G217" s="587">
        <f t="shared" si="177"/>
        <v>5109873</v>
      </c>
      <c r="H217" s="587">
        <f t="shared" si="177"/>
        <v>1033530</v>
      </c>
      <c r="I217" s="587">
        <f t="shared" si="177"/>
        <v>0</v>
      </c>
      <c r="J217" s="587">
        <f t="shared" si="177"/>
        <v>821200</v>
      </c>
      <c r="K217" s="587">
        <f t="shared" si="177"/>
        <v>400000</v>
      </c>
      <c r="L217" s="587">
        <f t="shared" si="177"/>
        <v>421200</v>
      </c>
      <c r="M217" s="587">
        <f t="shared" si="177"/>
        <v>198800</v>
      </c>
      <c r="N217" s="587">
        <f t="shared" si="177"/>
        <v>152665</v>
      </c>
      <c r="O217" s="587">
        <f t="shared" si="177"/>
        <v>400000</v>
      </c>
      <c r="P217" s="587">
        <f t="shared" si="177"/>
        <v>13954919</v>
      </c>
      <c r="Q217" s="47"/>
      <c r="R217" s="46"/>
    </row>
    <row r="218" spans="1:18" s="33" customFormat="1" ht="48" hidden="1" thickTop="1" thickBot="1" x14ac:dyDescent="0.25">
      <c r="A218" s="329" t="s">
        <v>764</v>
      </c>
      <c r="B218" s="329" t="s">
        <v>765</v>
      </c>
      <c r="C218" s="329"/>
      <c r="D218" s="329" t="s">
        <v>766</v>
      </c>
      <c r="E218" s="588">
        <f>E219</f>
        <v>0</v>
      </c>
      <c r="F218" s="588">
        <f t="shared" ref="F218:P218" si="178">F219</f>
        <v>0</v>
      </c>
      <c r="G218" s="588">
        <f t="shared" si="178"/>
        <v>0</v>
      </c>
      <c r="H218" s="588">
        <f t="shared" si="178"/>
        <v>0</v>
      </c>
      <c r="I218" s="588">
        <f t="shared" si="178"/>
        <v>0</v>
      </c>
      <c r="J218" s="588">
        <f t="shared" si="178"/>
        <v>0</v>
      </c>
      <c r="K218" s="588">
        <f t="shared" si="178"/>
        <v>0</v>
      </c>
      <c r="L218" s="588">
        <f t="shared" si="178"/>
        <v>0</v>
      </c>
      <c r="M218" s="588">
        <f t="shared" si="178"/>
        <v>0</v>
      </c>
      <c r="N218" s="588">
        <f t="shared" si="178"/>
        <v>0</v>
      </c>
      <c r="O218" s="588">
        <f t="shared" si="178"/>
        <v>0</v>
      </c>
      <c r="P218" s="588">
        <f t="shared" si="178"/>
        <v>0</v>
      </c>
      <c r="Q218" s="157"/>
      <c r="R218" s="52"/>
    </row>
    <row r="219" spans="1:18" ht="48" hidden="1" thickTop="1" thickBot="1" x14ac:dyDescent="0.25">
      <c r="A219" s="103" t="s">
        <v>183</v>
      </c>
      <c r="B219" s="103" t="s">
        <v>184</v>
      </c>
      <c r="C219" s="103" t="s">
        <v>185</v>
      </c>
      <c r="D219" s="103" t="s">
        <v>638</v>
      </c>
      <c r="E219" s="312">
        <f t="shared" ref="E219:E236" si="179">F219</f>
        <v>0</v>
      </c>
      <c r="F219" s="326">
        <f>(6040461)-6040461</f>
        <v>0</v>
      </c>
      <c r="G219" s="326">
        <f>(4559615)-4559615</f>
        <v>0</v>
      </c>
      <c r="H219" s="326">
        <f>(96665+5295+31600+3840)-137400</f>
        <v>0</v>
      </c>
      <c r="I219" s="326"/>
      <c r="J219" s="328">
        <f t="shared" ref="J219:J247" si="180">L219+O219</f>
        <v>0</v>
      </c>
      <c r="K219" s="326"/>
      <c r="L219" s="458"/>
      <c r="M219" s="458"/>
      <c r="N219" s="458"/>
      <c r="O219" s="459">
        <f t="shared" ref="O219:O247" si="181">K219</f>
        <v>0</v>
      </c>
      <c r="P219" s="328">
        <f>+J219+E219</f>
        <v>0</v>
      </c>
      <c r="Q219" s="50"/>
      <c r="R219" s="50"/>
    </row>
    <row r="220" spans="1:18" s="33" customFormat="1" ht="93" thickTop="1" thickBot="1" x14ac:dyDescent="0.25">
      <c r="A220" s="329" t="s">
        <v>767</v>
      </c>
      <c r="B220" s="329" t="s">
        <v>768</v>
      </c>
      <c r="C220" s="329"/>
      <c r="D220" s="329" t="s">
        <v>1554</v>
      </c>
      <c r="E220" s="466">
        <f>SUM(E221:E222)</f>
        <v>13133719</v>
      </c>
      <c r="F220" s="466">
        <f t="shared" ref="F220:P220" si="182">SUM(F221:F222)</f>
        <v>13133719</v>
      </c>
      <c r="G220" s="466">
        <f t="shared" si="182"/>
        <v>5109873</v>
      </c>
      <c r="H220" s="466">
        <f t="shared" si="182"/>
        <v>1033530</v>
      </c>
      <c r="I220" s="466">
        <f t="shared" si="182"/>
        <v>0</v>
      </c>
      <c r="J220" s="466">
        <f t="shared" si="182"/>
        <v>821200</v>
      </c>
      <c r="K220" s="466">
        <f t="shared" si="182"/>
        <v>400000</v>
      </c>
      <c r="L220" s="466">
        <f t="shared" si="182"/>
        <v>421200</v>
      </c>
      <c r="M220" s="466">
        <f t="shared" si="182"/>
        <v>198800</v>
      </c>
      <c r="N220" s="466">
        <f t="shared" si="182"/>
        <v>152665</v>
      </c>
      <c r="O220" s="466">
        <f t="shared" si="182"/>
        <v>400000</v>
      </c>
      <c r="P220" s="466">
        <f t="shared" si="182"/>
        <v>13954919</v>
      </c>
      <c r="Q220" s="51"/>
      <c r="R220" s="51"/>
    </row>
    <row r="221" spans="1:18" ht="48" thickTop="1" thickBot="1" x14ac:dyDescent="0.25">
      <c r="A221" s="103" t="s">
        <v>189</v>
      </c>
      <c r="B221" s="103" t="s">
        <v>190</v>
      </c>
      <c r="C221" s="103" t="s">
        <v>185</v>
      </c>
      <c r="D221" s="103" t="s">
        <v>10</v>
      </c>
      <c r="E221" s="312">
        <f t="shared" si="179"/>
        <v>5976842</v>
      </c>
      <c r="F221" s="326">
        <v>5976842</v>
      </c>
      <c r="G221" s="326">
        <v>3757524</v>
      </c>
      <c r="H221" s="326">
        <f>640500+6906+191040+3080</f>
        <v>841526</v>
      </c>
      <c r="I221" s="326"/>
      <c r="J221" s="328">
        <f t="shared" si="180"/>
        <v>821200</v>
      </c>
      <c r="K221" s="326">
        <f>(0)+400000</f>
        <v>400000</v>
      </c>
      <c r="L221" s="458">
        <v>421200</v>
      </c>
      <c r="M221" s="458">
        <v>198800</v>
      </c>
      <c r="N221" s="458">
        <v>152665</v>
      </c>
      <c r="O221" s="459">
        <f>K221</f>
        <v>400000</v>
      </c>
      <c r="P221" s="328">
        <f t="shared" ref="P221:P247" si="183">E221+J221</f>
        <v>6798042</v>
      </c>
      <c r="Q221" s="20"/>
      <c r="R221" s="46"/>
    </row>
    <row r="222" spans="1:18" ht="48" thickTop="1" thickBot="1" x14ac:dyDescent="0.25">
      <c r="A222" s="103" t="s">
        <v>351</v>
      </c>
      <c r="B222" s="103" t="s">
        <v>352</v>
      </c>
      <c r="C222" s="103" t="s">
        <v>185</v>
      </c>
      <c r="D222" s="103" t="s">
        <v>353</v>
      </c>
      <c r="E222" s="312">
        <f t="shared" si="179"/>
        <v>7156877</v>
      </c>
      <c r="F222" s="326">
        <v>7156877</v>
      </c>
      <c r="G222" s="326">
        <v>1352349</v>
      </c>
      <c r="H222" s="326">
        <f>102138+6560+80906+2400</f>
        <v>192004</v>
      </c>
      <c r="I222" s="326"/>
      <c r="J222" s="328">
        <f t="shared" si="180"/>
        <v>0</v>
      </c>
      <c r="K222" s="326"/>
      <c r="L222" s="458"/>
      <c r="M222" s="458"/>
      <c r="N222" s="458"/>
      <c r="O222" s="459">
        <f t="shared" si="181"/>
        <v>0</v>
      </c>
      <c r="P222" s="328">
        <f t="shared" si="183"/>
        <v>7156877</v>
      </c>
      <c r="Q222" s="20"/>
      <c r="R222" s="46"/>
    </row>
    <row r="223" spans="1:18" ht="47.25" thickTop="1" thickBot="1" x14ac:dyDescent="0.25">
      <c r="A223" s="311" t="s">
        <v>769</v>
      </c>
      <c r="B223" s="311" t="s">
        <v>770</v>
      </c>
      <c r="C223" s="103"/>
      <c r="D223" s="311" t="s">
        <v>771</v>
      </c>
      <c r="E223" s="312">
        <f t="shared" ref="E223:P223" si="184">SUM(E224:E237)-E224-E227-E229-E234-E232</f>
        <v>111562615</v>
      </c>
      <c r="F223" s="312">
        <f t="shared" si="184"/>
        <v>111562615</v>
      </c>
      <c r="G223" s="312">
        <f t="shared" si="184"/>
        <v>47059232</v>
      </c>
      <c r="H223" s="312">
        <f t="shared" si="184"/>
        <v>3459880</v>
      </c>
      <c r="I223" s="312">
        <f t="shared" si="184"/>
        <v>0</v>
      </c>
      <c r="J223" s="312">
        <f t="shared" si="184"/>
        <v>2563306</v>
      </c>
      <c r="K223" s="312">
        <f t="shared" si="184"/>
        <v>1071064</v>
      </c>
      <c r="L223" s="312">
        <f t="shared" si="184"/>
        <v>1467242</v>
      </c>
      <c r="M223" s="312">
        <f t="shared" si="184"/>
        <v>505365</v>
      </c>
      <c r="N223" s="312">
        <f t="shared" si="184"/>
        <v>371711</v>
      </c>
      <c r="O223" s="312">
        <f t="shared" si="184"/>
        <v>1096064</v>
      </c>
      <c r="P223" s="312">
        <f t="shared" si="184"/>
        <v>114125921</v>
      </c>
      <c r="Q223" s="20"/>
      <c r="R223" s="46"/>
    </row>
    <row r="224" spans="1:18" s="33" customFormat="1" ht="48" thickTop="1" thickBot="1" x14ac:dyDescent="0.25">
      <c r="A224" s="329" t="s">
        <v>772</v>
      </c>
      <c r="B224" s="329" t="s">
        <v>773</v>
      </c>
      <c r="C224" s="329"/>
      <c r="D224" s="329" t="s">
        <v>774</v>
      </c>
      <c r="E224" s="466">
        <f>SUM(E225:E226)</f>
        <v>32699823</v>
      </c>
      <c r="F224" s="466">
        <f t="shared" ref="F224:P224" si="185">SUM(F225:F226)</f>
        <v>32699823</v>
      </c>
      <c r="G224" s="466">
        <f t="shared" si="185"/>
        <v>0</v>
      </c>
      <c r="H224" s="466">
        <f t="shared" si="185"/>
        <v>0</v>
      </c>
      <c r="I224" s="466">
        <f t="shared" si="185"/>
        <v>0</v>
      </c>
      <c r="J224" s="466">
        <f t="shared" si="185"/>
        <v>0</v>
      </c>
      <c r="K224" s="466">
        <f t="shared" si="185"/>
        <v>0</v>
      </c>
      <c r="L224" s="466">
        <f t="shared" si="185"/>
        <v>0</v>
      </c>
      <c r="M224" s="466">
        <f t="shared" si="185"/>
        <v>0</v>
      </c>
      <c r="N224" s="466">
        <f t="shared" si="185"/>
        <v>0</v>
      </c>
      <c r="O224" s="466">
        <f t="shared" si="185"/>
        <v>0</v>
      </c>
      <c r="P224" s="466">
        <f t="shared" si="185"/>
        <v>32699823</v>
      </c>
      <c r="Q224" s="36"/>
      <c r="R224" s="52"/>
    </row>
    <row r="225" spans="1:18" ht="93" thickTop="1" thickBot="1" x14ac:dyDescent="0.25">
      <c r="A225" s="103" t="s">
        <v>44</v>
      </c>
      <c r="B225" s="103" t="s">
        <v>186</v>
      </c>
      <c r="C225" s="103" t="s">
        <v>195</v>
      </c>
      <c r="D225" s="103" t="s">
        <v>45</v>
      </c>
      <c r="E225" s="312">
        <f t="shared" si="179"/>
        <v>29300000</v>
      </c>
      <c r="F225" s="326">
        <f>(27000000)+2300000</f>
        <v>29300000</v>
      </c>
      <c r="G225" s="462"/>
      <c r="H225" s="462"/>
      <c r="I225" s="462"/>
      <c r="J225" s="328">
        <f t="shared" si="180"/>
        <v>0</v>
      </c>
      <c r="K225" s="462"/>
      <c r="L225" s="462"/>
      <c r="M225" s="462"/>
      <c r="N225" s="462"/>
      <c r="O225" s="459">
        <f t="shared" si="181"/>
        <v>0</v>
      </c>
      <c r="P225" s="328">
        <f t="shared" si="183"/>
        <v>29300000</v>
      </c>
      <c r="Q225" s="20"/>
      <c r="R225" s="46"/>
    </row>
    <row r="226" spans="1:18" ht="93" thickTop="1" thickBot="1" x14ac:dyDescent="0.25">
      <c r="A226" s="103" t="s">
        <v>46</v>
      </c>
      <c r="B226" s="103" t="s">
        <v>187</v>
      </c>
      <c r="C226" s="103" t="s">
        <v>195</v>
      </c>
      <c r="D226" s="103" t="s">
        <v>4</v>
      </c>
      <c r="E226" s="312">
        <f t="shared" si="179"/>
        <v>3399823</v>
      </c>
      <c r="F226" s="326">
        <v>3399823</v>
      </c>
      <c r="G226" s="462"/>
      <c r="H226" s="462"/>
      <c r="I226" s="462"/>
      <c r="J226" s="328">
        <f t="shared" si="180"/>
        <v>0</v>
      </c>
      <c r="K226" s="462"/>
      <c r="L226" s="462"/>
      <c r="M226" s="462"/>
      <c r="N226" s="462"/>
      <c r="O226" s="459">
        <f t="shared" si="181"/>
        <v>0</v>
      </c>
      <c r="P226" s="328">
        <f t="shared" si="183"/>
        <v>3399823</v>
      </c>
      <c r="Q226" s="20"/>
      <c r="R226" s="46"/>
    </row>
    <row r="227" spans="1:18" s="33" customFormat="1" ht="93" thickTop="1" thickBot="1" x14ac:dyDescent="0.25">
      <c r="A227" s="329" t="s">
        <v>775</v>
      </c>
      <c r="B227" s="329" t="s">
        <v>776</v>
      </c>
      <c r="C227" s="329"/>
      <c r="D227" s="329" t="s">
        <v>777</v>
      </c>
      <c r="E227" s="466">
        <f>E228</f>
        <v>41300</v>
      </c>
      <c r="F227" s="466">
        <f t="shared" ref="F227:P227" si="186">F228</f>
        <v>41300</v>
      </c>
      <c r="G227" s="466">
        <f t="shared" si="186"/>
        <v>0</v>
      </c>
      <c r="H227" s="466">
        <f t="shared" si="186"/>
        <v>0</v>
      </c>
      <c r="I227" s="466">
        <f t="shared" si="186"/>
        <v>0</v>
      </c>
      <c r="J227" s="466">
        <f t="shared" si="186"/>
        <v>0</v>
      </c>
      <c r="K227" s="466">
        <f t="shared" si="186"/>
        <v>0</v>
      </c>
      <c r="L227" s="466">
        <f t="shared" si="186"/>
        <v>0</v>
      </c>
      <c r="M227" s="466">
        <f t="shared" si="186"/>
        <v>0</v>
      </c>
      <c r="N227" s="466">
        <f t="shared" si="186"/>
        <v>0</v>
      </c>
      <c r="O227" s="466">
        <f t="shared" si="186"/>
        <v>0</v>
      </c>
      <c r="P227" s="466">
        <f t="shared" si="186"/>
        <v>41300</v>
      </c>
      <c r="Q227" s="36"/>
      <c r="R227" s="53"/>
    </row>
    <row r="228" spans="1:18" ht="93" thickTop="1" thickBot="1" x14ac:dyDescent="0.25">
      <c r="A228" s="103" t="s">
        <v>47</v>
      </c>
      <c r="B228" s="103" t="s">
        <v>188</v>
      </c>
      <c r="C228" s="103" t="s">
        <v>195</v>
      </c>
      <c r="D228" s="103" t="s">
        <v>349</v>
      </c>
      <c r="E228" s="312">
        <f>F228</f>
        <v>41300</v>
      </c>
      <c r="F228" s="326">
        <v>41300</v>
      </c>
      <c r="G228" s="326"/>
      <c r="H228" s="326"/>
      <c r="I228" s="462"/>
      <c r="J228" s="328">
        <f t="shared" si="180"/>
        <v>0</v>
      </c>
      <c r="K228" s="462"/>
      <c r="L228" s="326"/>
      <c r="M228" s="326"/>
      <c r="N228" s="326"/>
      <c r="O228" s="459">
        <f t="shared" si="181"/>
        <v>0</v>
      </c>
      <c r="P228" s="328">
        <f t="shared" si="183"/>
        <v>41300</v>
      </c>
      <c r="Q228" s="20"/>
      <c r="R228" s="46"/>
    </row>
    <row r="229" spans="1:18" ht="48" thickTop="1" thickBot="1" x14ac:dyDescent="0.25">
      <c r="A229" s="329" t="s">
        <v>778</v>
      </c>
      <c r="B229" s="329" t="s">
        <v>779</v>
      </c>
      <c r="C229" s="329"/>
      <c r="D229" s="329" t="s">
        <v>780</v>
      </c>
      <c r="E229" s="466">
        <f>SUM(E230:E231)</f>
        <v>70597322</v>
      </c>
      <c r="F229" s="466">
        <f t="shared" ref="F229:P229" si="187">SUM(F230:F231)</f>
        <v>70597322</v>
      </c>
      <c r="G229" s="466">
        <f t="shared" si="187"/>
        <v>45541127</v>
      </c>
      <c r="H229" s="466">
        <f t="shared" si="187"/>
        <v>3459880</v>
      </c>
      <c r="I229" s="466">
        <f t="shared" si="187"/>
        <v>0</v>
      </c>
      <c r="J229" s="466">
        <f t="shared" si="187"/>
        <v>2513306</v>
      </c>
      <c r="K229" s="466">
        <f t="shared" si="187"/>
        <v>1071064</v>
      </c>
      <c r="L229" s="466">
        <f t="shared" si="187"/>
        <v>1417242</v>
      </c>
      <c r="M229" s="466">
        <f t="shared" si="187"/>
        <v>505365</v>
      </c>
      <c r="N229" s="466">
        <f t="shared" si="187"/>
        <v>371711</v>
      </c>
      <c r="O229" s="466">
        <f t="shared" si="187"/>
        <v>1096064</v>
      </c>
      <c r="P229" s="466">
        <f t="shared" si="187"/>
        <v>73110628</v>
      </c>
      <c r="Q229" s="20"/>
      <c r="R229" s="46"/>
    </row>
    <row r="230" spans="1:18" ht="93" thickTop="1" thickBot="1" x14ac:dyDescent="0.25">
      <c r="A230" s="103" t="s">
        <v>28</v>
      </c>
      <c r="B230" s="103" t="s">
        <v>192</v>
      </c>
      <c r="C230" s="103" t="s">
        <v>195</v>
      </c>
      <c r="D230" s="103" t="s">
        <v>48</v>
      </c>
      <c r="E230" s="312">
        <f t="shared" si="179"/>
        <v>63635631</v>
      </c>
      <c r="F230" s="326">
        <f>(63565171)+70460</f>
        <v>63635631</v>
      </c>
      <c r="G230" s="326">
        <f>13791707+13494017+12637962+5617441</f>
        <v>45541127</v>
      </c>
      <c r="H230" s="326">
        <f>582200+114491+553286+67934+483136+25997+376551+57199+5016+21100+12432+180616+368000+5930+382500+11712+147504+59200+5076</f>
        <v>3459880</v>
      </c>
      <c r="I230" s="326"/>
      <c r="J230" s="328">
        <f t="shared" si="180"/>
        <v>2513306</v>
      </c>
      <c r="K230" s="326">
        <f>(1000000)+71064</f>
        <v>1071064</v>
      </c>
      <c r="L230" s="326">
        <f>1442242-25000</f>
        <v>1417242</v>
      </c>
      <c r="M230" s="326">
        <v>505365</v>
      </c>
      <c r="N230" s="326">
        <v>371711</v>
      </c>
      <c r="O230" s="459">
        <f>(K230+25000)</f>
        <v>1096064</v>
      </c>
      <c r="P230" s="328">
        <f t="shared" si="183"/>
        <v>66148937</v>
      </c>
      <c r="Q230" s="20"/>
      <c r="R230" s="46"/>
    </row>
    <row r="231" spans="1:18" ht="93" thickTop="1" thickBot="1" x14ac:dyDescent="0.25">
      <c r="A231" s="103" t="s">
        <v>29</v>
      </c>
      <c r="B231" s="103" t="s">
        <v>193</v>
      </c>
      <c r="C231" s="103" t="s">
        <v>195</v>
      </c>
      <c r="D231" s="103" t="s">
        <v>49</v>
      </c>
      <c r="E231" s="312">
        <f t="shared" si="179"/>
        <v>6961691</v>
      </c>
      <c r="F231" s="326">
        <v>6961691</v>
      </c>
      <c r="G231" s="326"/>
      <c r="H231" s="326"/>
      <c r="I231" s="326"/>
      <c r="J231" s="328">
        <f t="shared" si="180"/>
        <v>0</v>
      </c>
      <c r="K231" s="326">
        <v>0</v>
      </c>
      <c r="L231" s="326"/>
      <c r="M231" s="326"/>
      <c r="N231" s="326"/>
      <c r="O231" s="459">
        <f t="shared" si="181"/>
        <v>0</v>
      </c>
      <c r="P231" s="328">
        <f t="shared" si="183"/>
        <v>6961691</v>
      </c>
      <c r="Q231" s="20"/>
      <c r="R231" s="46"/>
    </row>
    <row r="232" spans="1:18" ht="69.75" customHeight="1" thickTop="1" thickBot="1" x14ac:dyDescent="0.25">
      <c r="A232" s="673" t="s">
        <v>1378</v>
      </c>
      <c r="B232" s="669" t="s">
        <v>816</v>
      </c>
      <c r="C232" s="669"/>
      <c r="D232" s="669" t="s">
        <v>817</v>
      </c>
      <c r="E232" s="670">
        <f>E233</f>
        <v>93550</v>
      </c>
      <c r="F232" s="670">
        <f t="shared" ref="F232:P232" si="188">F233</f>
        <v>93550</v>
      </c>
      <c r="G232" s="670">
        <f t="shared" si="188"/>
        <v>76680</v>
      </c>
      <c r="H232" s="670">
        <f t="shared" si="188"/>
        <v>0</v>
      </c>
      <c r="I232" s="670">
        <f t="shared" si="188"/>
        <v>0</v>
      </c>
      <c r="J232" s="670">
        <f t="shared" si="188"/>
        <v>0</v>
      </c>
      <c r="K232" s="670">
        <f t="shared" si="188"/>
        <v>0</v>
      </c>
      <c r="L232" s="670">
        <f t="shared" si="188"/>
        <v>0</v>
      </c>
      <c r="M232" s="670">
        <f t="shared" si="188"/>
        <v>0</v>
      </c>
      <c r="N232" s="670">
        <f t="shared" si="188"/>
        <v>0</v>
      </c>
      <c r="O232" s="670">
        <f t="shared" si="188"/>
        <v>0</v>
      </c>
      <c r="P232" s="670">
        <f t="shared" si="188"/>
        <v>93550</v>
      </c>
      <c r="Q232" s="20"/>
      <c r="R232" s="46"/>
    </row>
    <row r="233" spans="1:18" ht="93" thickTop="1" thickBot="1" x14ac:dyDescent="0.25">
      <c r="A233" s="665" t="s">
        <v>1379</v>
      </c>
      <c r="B233" s="665" t="s">
        <v>1380</v>
      </c>
      <c r="C233" s="665" t="s">
        <v>195</v>
      </c>
      <c r="D233" s="665" t="s">
        <v>1381</v>
      </c>
      <c r="E233" s="671">
        <f t="shared" ref="E233" si="189">F233</f>
        <v>93550</v>
      </c>
      <c r="F233" s="672">
        <v>93550</v>
      </c>
      <c r="G233" s="672">
        <v>76680</v>
      </c>
      <c r="H233" s="672"/>
      <c r="I233" s="672"/>
      <c r="J233" s="666">
        <f t="shared" ref="J233" si="190">L233+O233</f>
        <v>0</v>
      </c>
      <c r="K233" s="672">
        <v>0</v>
      </c>
      <c r="L233" s="672"/>
      <c r="M233" s="672"/>
      <c r="N233" s="672"/>
      <c r="O233" s="668">
        <f t="shared" ref="O233" si="191">K233</f>
        <v>0</v>
      </c>
      <c r="P233" s="666">
        <f t="shared" ref="P233" si="192">E233+J233</f>
        <v>93550</v>
      </c>
      <c r="Q233" s="20"/>
      <c r="R233" s="46"/>
    </row>
    <row r="234" spans="1:18" ht="48" thickTop="1" thickBot="1" x14ac:dyDescent="0.25">
      <c r="A234" s="589" t="s">
        <v>781</v>
      </c>
      <c r="B234" s="329" t="s">
        <v>782</v>
      </c>
      <c r="C234" s="329"/>
      <c r="D234" s="329" t="s">
        <v>783</v>
      </c>
      <c r="E234" s="466">
        <f>SUM(E235:E237)</f>
        <v>8130620</v>
      </c>
      <c r="F234" s="466">
        <f t="shared" ref="F234:P234" si="193">SUM(F235:F237)</f>
        <v>8130620</v>
      </c>
      <c r="G234" s="466">
        <f t="shared" si="193"/>
        <v>1441425</v>
      </c>
      <c r="H234" s="466">
        <f t="shared" si="193"/>
        <v>0</v>
      </c>
      <c r="I234" s="466">
        <f t="shared" si="193"/>
        <v>0</v>
      </c>
      <c r="J234" s="466">
        <f t="shared" si="193"/>
        <v>50000</v>
      </c>
      <c r="K234" s="466">
        <f t="shared" si="193"/>
        <v>0</v>
      </c>
      <c r="L234" s="466">
        <f t="shared" si="193"/>
        <v>50000</v>
      </c>
      <c r="M234" s="466">
        <f t="shared" si="193"/>
        <v>0</v>
      </c>
      <c r="N234" s="466">
        <f t="shared" si="193"/>
        <v>0</v>
      </c>
      <c r="O234" s="466">
        <f t="shared" si="193"/>
        <v>0</v>
      </c>
      <c r="P234" s="466">
        <f t="shared" si="193"/>
        <v>8180620</v>
      </c>
      <c r="Q234" s="20"/>
      <c r="R234" s="46"/>
    </row>
    <row r="235" spans="1:18" ht="138.75" thickTop="1" thickBot="1" x14ac:dyDescent="0.25">
      <c r="A235" s="590" t="s">
        <v>30</v>
      </c>
      <c r="B235" s="590" t="s">
        <v>194</v>
      </c>
      <c r="C235" s="590" t="s">
        <v>195</v>
      </c>
      <c r="D235" s="103" t="s">
        <v>31</v>
      </c>
      <c r="E235" s="312">
        <f t="shared" si="179"/>
        <v>775354</v>
      </c>
      <c r="F235" s="326">
        <f>(625354)+150000</f>
        <v>775354</v>
      </c>
      <c r="G235" s="462"/>
      <c r="H235" s="462"/>
      <c r="I235" s="462"/>
      <c r="J235" s="328">
        <f t="shared" si="180"/>
        <v>0</v>
      </c>
      <c r="K235" s="462"/>
      <c r="L235" s="462"/>
      <c r="M235" s="462"/>
      <c r="N235" s="462"/>
      <c r="O235" s="459">
        <f t="shared" si="181"/>
        <v>0</v>
      </c>
      <c r="P235" s="328">
        <f t="shared" si="183"/>
        <v>775354</v>
      </c>
      <c r="Q235" s="20"/>
      <c r="R235" s="46"/>
    </row>
    <row r="236" spans="1:18" ht="93" thickTop="1" thickBot="1" x14ac:dyDescent="0.25">
      <c r="A236" s="590" t="s">
        <v>512</v>
      </c>
      <c r="B236" s="590" t="s">
        <v>510</v>
      </c>
      <c r="C236" s="590" t="s">
        <v>195</v>
      </c>
      <c r="D236" s="103" t="s">
        <v>511</v>
      </c>
      <c r="E236" s="312">
        <f t="shared" si="179"/>
        <v>5242225</v>
      </c>
      <c r="F236" s="326">
        <v>5242225</v>
      </c>
      <c r="G236" s="462"/>
      <c r="H236" s="462"/>
      <c r="I236" s="462"/>
      <c r="J236" s="328">
        <f t="shared" si="180"/>
        <v>0</v>
      </c>
      <c r="K236" s="462"/>
      <c r="L236" s="462"/>
      <c r="M236" s="462"/>
      <c r="N236" s="462"/>
      <c r="O236" s="459">
        <f t="shared" si="181"/>
        <v>0</v>
      </c>
      <c r="P236" s="328">
        <f t="shared" si="183"/>
        <v>5242225</v>
      </c>
      <c r="Q236" s="20"/>
      <c r="R236" s="46"/>
    </row>
    <row r="237" spans="1:18" ht="48" thickTop="1" thickBot="1" x14ac:dyDescent="0.25">
      <c r="A237" s="590" t="s">
        <v>32</v>
      </c>
      <c r="B237" s="590" t="s">
        <v>196</v>
      </c>
      <c r="C237" s="590" t="s">
        <v>195</v>
      </c>
      <c r="D237" s="103" t="s">
        <v>33</v>
      </c>
      <c r="E237" s="312">
        <f>F237</f>
        <v>2113041</v>
      </c>
      <c r="F237" s="326">
        <v>2113041</v>
      </c>
      <c r="G237" s="462">
        <v>1441425</v>
      </c>
      <c r="H237" s="462"/>
      <c r="I237" s="462"/>
      <c r="J237" s="328">
        <f t="shared" si="180"/>
        <v>50000</v>
      </c>
      <c r="K237" s="462"/>
      <c r="L237" s="462">
        <v>50000</v>
      </c>
      <c r="M237" s="462"/>
      <c r="N237" s="462"/>
      <c r="O237" s="459">
        <f t="shared" si="181"/>
        <v>0</v>
      </c>
      <c r="P237" s="328">
        <f t="shared" si="183"/>
        <v>2163041</v>
      </c>
      <c r="Q237" s="20"/>
      <c r="R237" s="46"/>
    </row>
    <row r="238" spans="1:18" ht="47.25" hidden="1" thickTop="1" thickBot="1" x14ac:dyDescent="0.25">
      <c r="A238" s="125" t="s">
        <v>784</v>
      </c>
      <c r="B238" s="125" t="s">
        <v>742</v>
      </c>
      <c r="C238" s="125"/>
      <c r="D238" s="408" t="s">
        <v>743</v>
      </c>
      <c r="E238" s="152">
        <f>E239</f>
        <v>0</v>
      </c>
      <c r="F238" s="152">
        <f t="shared" ref="F238:P239" si="194">F239</f>
        <v>0</v>
      </c>
      <c r="G238" s="152">
        <f t="shared" si="194"/>
        <v>0</v>
      </c>
      <c r="H238" s="152">
        <f t="shared" si="194"/>
        <v>0</v>
      </c>
      <c r="I238" s="152">
        <f t="shared" si="194"/>
        <v>0</v>
      </c>
      <c r="J238" s="152">
        <f t="shared" si="194"/>
        <v>0</v>
      </c>
      <c r="K238" s="152">
        <f t="shared" si="194"/>
        <v>0</v>
      </c>
      <c r="L238" s="152">
        <f t="shared" si="194"/>
        <v>0</v>
      </c>
      <c r="M238" s="152">
        <f t="shared" si="194"/>
        <v>0</v>
      </c>
      <c r="N238" s="152">
        <f t="shared" si="194"/>
        <v>0</v>
      </c>
      <c r="O238" s="152">
        <f t="shared" si="194"/>
        <v>0</v>
      </c>
      <c r="P238" s="152">
        <f t="shared" si="194"/>
        <v>0</v>
      </c>
      <c r="Q238" s="20"/>
      <c r="R238" s="46"/>
    </row>
    <row r="239" spans="1:18" ht="48" hidden="1" thickTop="1" thickBot="1" x14ac:dyDescent="0.25">
      <c r="A239" s="409" t="s">
        <v>785</v>
      </c>
      <c r="B239" s="409" t="s">
        <v>745</v>
      </c>
      <c r="C239" s="409"/>
      <c r="D239" s="140" t="s">
        <v>746</v>
      </c>
      <c r="E239" s="158">
        <f>E240</f>
        <v>0</v>
      </c>
      <c r="F239" s="158">
        <f t="shared" si="194"/>
        <v>0</v>
      </c>
      <c r="G239" s="158">
        <f t="shared" si="194"/>
        <v>0</v>
      </c>
      <c r="H239" s="158">
        <f t="shared" si="194"/>
        <v>0</v>
      </c>
      <c r="I239" s="158">
        <f t="shared" si="194"/>
        <v>0</v>
      </c>
      <c r="J239" s="158">
        <f t="shared" si="194"/>
        <v>0</v>
      </c>
      <c r="K239" s="158">
        <f t="shared" si="194"/>
        <v>0</v>
      </c>
      <c r="L239" s="158">
        <f t="shared" si="194"/>
        <v>0</v>
      </c>
      <c r="M239" s="158">
        <f t="shared" si="194"/>
        <v>0</v>
      </c>
      <c r="N239" s="158">
        <f t="shared" si="194"/>
        <v>0</v>
      </c>
      <c r="O239" s="158">
        <f t="shared" si="194"/>
        <v>0</v>
      </c>
      <c r="P239" s="158">
        <f t="shared" si="194"/>
        <v>0</v>
      </c>
      <c r="Q239" s="20"/>
      <c r="R239" s="46"/>
    </row>
    <row r="240" spans="1:18" ht="138.75" hidden="1" thickTop="1" thickBot="1" x14ac:dyDescent="0.25">
      <c r="A240" s="410" t="s">
        <v>342</v>
      </c>
      <c r="B240" s="410" t="s">
        <v>341</v>
      </c>
      <c r="C240" s="410" t="s">
        <v>340</v>
      </c>
      <c r="D240" s="128" t="s">
        <v>639</v>
      </c>
      <c r="E240" s="152">
        <f>F240</f>
        <v>0</v>
      </c>
      <c r="F240" s="129"/>
      <c r="G240" s="134"/>
      <c r="H240" s="134"/>
      <c r="I240" s="134"/>
      <c r="J240" s="127">
        <f t="shared" si="180"/>
        <v>0</v>
      </c>
      <c r="K240" s="134"/>
      <c r="L240" s="134"/>
      <c r="M240" s="134"/>
      <c r="N240" s="134"/>
      <c r="O240" s="132">
        <f t="shared" si="181"/>
        <v>0</v>
      </c>
      <c r="P240" s="127">
        <f t="shared" si="183"/>
        <v>0</v>
      </c>
      <c r="Q240" s="20"/>
      <c r="R240" s="50"/>
    </row>
    <row r="241" spans="1:18" ht="47.25" hidden="1" thickTop="1" thickBot="1" x14ac:dyDescent="0.25">
      <c r="A241" s="125" t="s">
        <v>786</v>
      </c>
      <c r="B241" s="125" t="s">
        <v>748</v>
      </c>
      <c r="C241" s="125"/>
      <c r="D241" s="125" t="s">
        <v>749</v>
      </c>
      <c r="E241" s="152">
        <f>E245+E242</f>
        <v>0</v>
      </c>
      <c r="F241" s="152">
        <f t="shared" ref="F241:P241" si="195">F245+F242</f>
        <v>0</v>
      </c>
      <c r="G241" s="152">
        <f t="shared" si="195"/>
        <v>0</v>
      </c>
      <c r="H241" s="152">
        <f t="shared" si="195"/>
        <v>0</v>
      </c>
      <c r="I241" s="152">
        <f t="shared" si="195"/>
        <v>0</v>
      </c>
      <c r="J241" s="152">
        <f t="shared" si="195"/>
        <v>0</v>
      </c>
      <c r="K241" s="152">
        <f t="shared" si="195"/>
        <v>0</v>
      </c>
      <c r="L241" s="152">
        <f t="shared" si="195"/>
        <v>0</v>
      </c>
      <c r="M241" s="152">
        <f t="shared" si="195"/>
        <v>0</v>
      </c>
      <c r="N241" s="152">
        <f t="shared" si="195"/>
        <v>0</v>
      </c>
      <c r="O241" s="152">
        <f t="shared" si="195"/>
        <v>0</v>
      </c>
      <c r="P241" s="152">
        <f t="shared" si="195"/>
        <v>0</v>
      </c>
      <c r="Q241" s="20"/>
      <c r="R241" s="50"/>
    </row>
    <row r="242" spans="1:18" ht="47.25" hidden="1" thickTop="1" thickBot="1" x14ac:dyDescent="0.25">
      <c r="A242" s="136" t="s">
        <v>1099</v>
      </c>
      <c r="B242" s="136" t="s">
        <v>803</v>
      </c>
      <c r="C242" s="136"/>
      <c r="D242" s="136" t="s">
        <v>804</v>
      </c>
      <c r="E242" s="137">
        <f>E243</f>
        <v>0</v>
      </c>
      <c r="F242" s="137">
        <f t="shared" ref="F242:P243" si="196">F243</f>
        <v>0</v>
      </c>
      <c r="G242" s="137">
        <f t="shared" si="196"/>
        <v>0</v>
      </c>
      <c r="H242" s="137">
        <f t="shared" si="196"/>
        <v>0</v>
      </c>
      <c r="I242" s="137">
        <f t="shared" si="196"/>
        <v>0</v>
      </c>
      <c r="J242" s="137">
        <f t="shared" si="196"/>
        <v>0</v>
      </c>
      <c r="K242" s="137">
        <f t="shared" si="196"/>
        <v>0</v>
      </c>
      <c r="L242" s="137">
        <f t="shared" si="196"/>
        <v>0</v>
      </c>
      <c r="M242" s="137">
        <f t="shared" si="196"/>
        <v>0</v>
      </c>
      <c r="N242" s="137">
        <f t="shared" si="196"/>
        <v>0</v>
      </c>
      <c r="O242" s="137">
        <f t="shared" si="196"/>
        <v>0</v>
      </c>
      <c r="P242" s="137">
        <f t="shared" si="196"/>
        <v>0</v>
      </c>
      <c r="Q242" s="20"/>
      <c r="R242" s="50"/>
    </row>
    <row r="243" spans="1:18" ht="54" hidden="1" thickTop="1" thickBot="1" x14ac:dyDescent="0.25">
      <c r="A243" s="140" t="s">
        <v>1100</v>
      </c>
      <c r="B243" s="140" t="s">
        <v>821</v>
      </c>
      <c r="C243" s="140"/>
      <c r="D243" s="140" t="s">
        <v>1491</v>
      </c>
      <c r="E243" s="141">
        <f>E244</f>
        <v>0</v>
      </c>
      <c r="F243" s="141">
        <f t="shared" si="196"/>
        <v>0</v>
      </c>
      <c r="G243" s="141">
        <f t="shared" si="196"/>
        <v>0</v>
      </c>
      <c r="H243" s="141">
        <f t="shared" si="196"/>
        <v>0</v>
      </c>
      <c r="I243" s="141">
        <f t="shared" si="196"/>
        <v>0</v>
      </c>
      <c r="J243" s="141">
        <f t="shared" si="196"/>
        <v>0</v>
      </c>
      <c r="K243" s="141">
        <f t="shared" si="196"/>
        <v>0</v>
      </c>
      <c r="L243" s="141">
        <f t="shared" si="196"/>
        <v>0</v>
      </c>
      <c r="M243" s="141">
        <f t="shared" si="196"/>
        <v>0</v>
      </c>
      <c r="N243" s="141">
        <f t="shared" si="196"/>
        <v>0</v>
      </c>
      <c r="O243" s="141">
        <f t="shared" si="196"/>
        <v>0</v>
      </c>
      <c r="P243" s="141">
        <f t="shared" si="196"/>
        <v>0</v>
      </c>
      <c r="Q243" s="20"/>
      <c r="R243" s="50"/>
    </row>
    <row r="244" spans="1:18" ht="54" hidden="1" thickTop="1" thickBot="1" x14ac:dyDescent="0.25">
      <c r="A244" s="128" t="s">
        <v>1101</v>
      </c>
      <c r="B244" s="128" t="s">
        <v>313</v>
      </c>
      <c r="C244" s="128" t="s">
        <v>304</v>
      </c>
      <c r="D244" s="128" t="s">
        <v>1237</v>
      </c>
      <c r="E244" s="127">
        <f t="shared" ref="E244" si="197">F244</f>
        <v>0</v>
      </c>
      <c r="F244" s="134"/>
      <c r="G244" s="134"/>
      <c r="H244" s="134"/>
      <c r="I244" s="134"/>
      <c r="J244" s="127">
        <f t="shared" ref="J244" si="198">L244+O244</f>
        <v>0</v>
      </c>
      <c r="K244" s="134">
        <f>49500-49500</f>
        <v>0</v>
      </c>
      <c r="L244" s="134"/>
      <c r="M244" s="134"/>
      <c r="N244" s="134"/>
      <c r="O244" s="132">
        <f t="shared" ref="O244" si="199">K244</f>
        <v>0</v>
      </c>
      <c r="P244" s="127">
        <f>E244+J244</f>
        <v>0</v>
      </c>
      <c r="Q244" s="20"/>
      <c r="R244" s="50"/>
    </row>
    <row r="245" spans="1:18" ht="47.25" hidden="1" thickTop="1" thickBot="1" x14ac:dyDescent="0.25">
      <c r="A245" s="136" t="s">
        <v>787</v>
      </c>
      <c r="B245" s="136" t="s">
        <v>691</v>
      </c>
      <c r="C245" s="136"/>
      <c r="D245" s="136" t="s">
        <v>689</v>
      </c>
      <c r="E245" s="159">
        <f>E247+E246</f>
        <v>0</v>
      </c>
      <c r="F245" s="159">
        <f t="shared" ref="F245:H245" si="200">F247+F246</f>
        <v>0</v>
      </c>
      <c r="G245" s="159">
        <f t="shared" si="200"/>
        <v>0</v>
      </c>
      <c r="H245" s="159">
        <f t="shared" si="200"/>
        <v>0</v>
      </c>
      <c r="I245" s="159">
        <f>I247+I246</f>
        <v>0</v>
      </c>
      <c r="J245" s="159">
        <f>J247+J246</f>
        <v>0</v>
      </c>
      <c r="K245" s="159">
        <f>K247+K246</f>
        <v>0</v>
      </c>
      <c r="L245" s="159">
        <f t="shared" ref="L245:O245" si="201">L247+L246</f>
        <v>0</v>
      </c>
      <c r="M245" s="159">
        <f t="shared" si="201"/>
        <v>0</v>
      </c>
      <c r="N245" s="159">
        <f t="shared" si="201"/>
        <v>0</v>
      </c>
      <c r="O245" s="159">
        <f t="shared" si="201"/>
        <v>0</v>
      </c>
      <c r="P245" s="159">
        <f>P247+P246</f>
        <v>0</v>
      </c>
      <c r="Q245" s="20"/>
      <c r="R245" s="50"/>
    </row>
    <row r="246" spans="1:18" ht="48" hidden="1" thickTop="1" thickBot="1" x14ac:dyDescent="0.25">
      <c r="A246" s="410" t="s">
        <v>1336</v>
      </c>
      <c r="B246" s="410" t="s">
        <v>212</v>
      </c>
      <c r="C246" s="410"/>
      <c r="D246" s="128" t="s">
        <v>41</v>
      </c>
      <c r="E246" s="152">
        <f>F246</f>
        <v>0</v>
      </c>
      <c r="F246" s="129"/>
      <c r="G246" s="134"/>
      <c r="H246" s="134"/>
      <c r="I246" s="134"/>
      <c r="J246" s="127">
        <f t="shared" ref="J246" si="202">L246+O246</f>
        <v>0</v>
      </c>
      <c r="K246" s="134"/>
      <c r="L246" s="134"/>
      <c r="M246" s="134"/>
      <c r="N246" s="134"/>
      <c r="O246" s="132">
        <f t="shared" ref="O246" si="203">K246</f>
        <v>0</v>
      </c>
      <c r="P246" s="127">
        <f t="shared" ref="P246" si="204">E246+J246</f>
        <v>0</v>
      </c>
      <c r="Q246" s="20"/>
      <c r="R246" s="50"/>
    </row>
    <row r="247" spans="1:18" ht="48" hidden="1" thickTop="1" thickBot="1" x14ac:dyDescent="0.25">
      <c r="A247" s="128" t="s">
        <v>607</v>
      </c>
      <c r="B247" s="128" t="s">
        <v>197</v>
      </c>
      <c r="C247" s="128" t="s">
        <v>170</v>
      </c>
      <c r="D247" s="128" t="s">
        <v>34</v>
      </c>
      <c r="E247" s="127">
        <f t="shared" ref="E247" si="205">F247</f>
        <v>0</v>
      </c>
      <c r="F247" s="134"/>
      <c r="G247" s="134"/>
      <c r="H247" s="134"/>
      <c r="I247" s="134"/>
      <c r="J247" s="127">
        <f t="shared" si="180"/>
        <v>0</v>
      </c>
      <c r="K247" s="134"/>
      <c r="L247" s="134"/>
      <c r="M247" s="134"/>
      <c r="N247" s="134"/>
      <c r="O247" s="132">
        <f t="shared" si="181"/>
        <v>0</v>
      </c>
      <c r="P247" s="127">
        <f t="shared" si="183"/>
        <v>0</v>
      </c>
      <c r="Q247" s="20"/>
      <c r="R247" s="46"/>
    </row>
    <row r="248" spans="1:18" ht="47.25" hidden="1" thickTop="1" thickBot="1" x14ac:dyDescent="0.25">
      <c r="A248" s="146" t="s">
        <v>1107</v>
      </c>
      <c r="B248" s="146" t="s">
        <v>702</v>
      </c>
      <c r="C248" s="146"/>
      <c r="D248" s="146" t="s">
        <v>703</v>
      </c>
      <c r="E248" s="42">
        <f>E249</f>
        <v>0</v>
      </c>
      <c r="F248" s="42">
        <f t="shared" ref="F248:P249" si="206">F249</f>
        <v>0</v>
      </c>
      <c r="G248" s="42">
        <f t="shared" si="206"/>
        <v>0</v>
      </c>
      <c r="H248" s="42">
        <f t="shared" si="206"/>
        <v>0</v>
      </c>
      <c r="I248" s="42">
        <f t="shared" si="206"/>
        <v>0</v>
      </c>
      <c r="J248" s="42">
        <f t="shared" si="206"/>
        <v>0</v>
      </c>
      <c r="K248" s="42">
        <f t="shared" si="206"/>
        <v>0</v>
      </c>
      <c r="L248" s="42">
        <f t="shared" si="206"/>
        <v>0</v>
      </c>
      <c r="M248" s="42">
        <f t="shared" si="206"/>
        <v>0</v>
      </c>
      <c r="N248" s="42">
        <f t="shared" si="206"/>
        <v>0</v>
      </c>
      <c r="O248" s="42">
        <f t="shared" si="206"/>
        <v>0</v>
      </c>
      <c r="P248" s="42">
        <f t="shared" si="206"/>
        <v>0</v>
      </c>
      <c r="Q248" s="20"/>
      <c r="R248" s="46"/>
    </row>
    <row r="249" spans="1:18" ht="91.5" hidden="1" thickTop="1" thickBot="1" x14ac:dyDescent="0.25">
      <c r="A249" s="147" t="s">
        <v>1108</v>
      </c>
      <c r="B249" s="147" t="s">
        <v>705</v>
      </c>
      <c r="C249" s="147"/>
      <c r="D249" s="147" t="s">
        <v>706</v>
      </c>
      <c r="E249" s="148">
        <f>E250</f>
        <v>0</v>
      </c>
      <c r="F249" s="148">
        <f t="shared" si="206"/>
        <v>0</v>
      </c>
      <c r="G249" s="148">
        <f t="shared" si="206"/>
        <v>0</v>
      </c>
      <c r="H249" s="148">
        <f t="shared" si="206"/>
        <v>0</v>
      </c>
      <c r="I249" s="148">
        <f t="shared" si="206"/>
        <v>0</v>
      </c>
      <c r="J249" s="148">
        <f t="shared" si="206"/>
        <v>0</v>
      </c>
      <c r="K249" s="148">
        <f t="shared" si="206"/>
        <v>0</v>
      </c>
      <c r="L249" s="148">
        <f t="shared" si="206"/>
        <v>0</v>
      </c>
      <c r="M249" s="148">
        <f t="shared" si="206"/>
        <v>0</v>
      </c>
      <c r="N249" s="148">
        <f t="shared" si="206"/>
        <v>0</v>
      </c>
      <c r="O249" s="148">
        <f t="shared" si="206"/>
        <v>0</v>
      </c>
      <c r="P249" s="148">
        <f t="shared" si="206"/>
        <v>0</v>
      </c>
      <c r="Q249" s="20"/>
      <c r="R249" s="46"/>
    </row>
    <row r="250" spans="1:18" ht="48" hidden="1" thickTop="1" thickBot="1" x14ac:dyDescent="0.25">
      <c r="A250" s="41" t="s">
        <v>1109</v>
      </c>
      <c r="B250" s="41" t="s">
        <v>363</v>
      </c>
      <c r="C250" s="41" t="s">
        <v>43</v>
      </c>
      <c r="D250" s="41" t="s">
        <v>364</v>
      </c>
      <c r="E250" s="42">
        <f t="shared" ref="E250" si="207">F250</f>
        <v>0</v>
      </c>
      <c r="F250" s="43">
        <v>0</v>
      </c>
      <c r="G250" s="43"/>
      <c r="H250" s="43"/>
      <c r="I250" s="43"/>
      <c r="J250" s="42">
        <f>L250+O250</f>
        <v>0</v>
      </c>
      <c r="K250" s="43">
        <v>0</v>
      </c>
      <c r="L250" s="43"/>
      <c r="M250" s="43"/>
      <c r="N250" s="43"/>
      <c r="O250" s="44">
        <f>K250</f>
        <v>0</v>
      </c>
      <c r="P250" s="42">
        <f>E250+J250</f>
        <v>0</v>
      </c>
      <c r="Q250" s="20"/>
      <c r="R250" s="46"/>
    </row>
    <row r="251" spans="1:18" ht="120" customHeight="1" thickTop="1" thickBot="1" x14ac:dyDescent="0.25">
      <c r="A251" s="661" t="s">
        <v>158</v>
      </c>
      <c r="B251" s="661"/>
      <c r="C251" s="661"/>
      <c r="D251" s="662" t="s">
        <v>561</v>
      </c>
      <c r="E251" s="663">
        <f>E252</f>
        <v>34412774</v>
      </c>
      <c r="F251" s="664">
        <f t="shared" ref="F251:G251" si="208">F252</f>
        <v>34412774</v>
      </c>
      <c r="G251" s="664">
        <f t="shared" si="208"/>
        <v>6530800</v>
      </c>
      <c r="H251" s="664">
        <f>H252</f>
        <v>510883</v>
      </c>
      <c r="I251" s="664">
        <f t="shared" ref="I251" si="209">I252</f>
        <v>0</v>
      </c>
      <c r="J251" s="663">
        <f>J252</f>
        <v>6904400</v>
      </c>
      <c r="K251" s="664">
        <f>K252</f>
        <v>6904400</v>
      </c>
      <c r="L251" s="664">
        <f>L252</f>
        <v>0</v>
      </c>
      <c r="M251" s="664">
        <f t="shared" ref="M251" si="210">M252</f>
        <v>0</v>
      </c>
      <c r="N251" s="664">
        <f>N252</f>
        <v>0</v>
      </c>
      <c r="O251" s="663">
        <f>O252</f>
        <v>6904400</v>
      </c>
      <c r="P251" s="664">
        <f>P252</f>
        <v>41317174</v>
      </c>
      <c r="Q251" s="20"/>
      <c r="R251" s="50"/>
    </row>
    <row r="252" spans="1:18" ht="120" customHeight="1" thickTop="1" thickBot="1" x14ac:dyDescent="0.25">
      <c r="A252" s="658" t="s">
        <v>159</v>
      </c>
      <c r="B252" s="658"/>
      <c r="C252" s="658"/>
      <c r="D252" s="659" t="s">
        <v>562</v>
      </c>
      <c r="E252" s="660">
        <f>E253+E257+E265+E274</f>
        <v>34412774</v>
      </c>
      <c r="F252" s="660">
        <f>F253+F257+F265+F274</f>
        <v>34412774</v>
      </c>
      <c r="G252" s="660">
        <f>G253+G257+G265+G274</f>
        <v>6530800</v>
      </c>
      <c r="H252" s="660">
        <f>H253+H257+H265+H274</f>
        <v>510883</v>
      </c>
      <c r="I252" s="660">
        <f>I253+I257+I265+I274</f>
        <v>0</v>
      </c>
      <c r="J252" s="660">
        <f t="shared" ref="J252:J272" si="211">L252+O252</f>
        <v>6904400</v>
      </c>
      <c r="K252" s="660">
        <f>K253+K257+K265+K274</f>
        <v>6904400</v>
      </c>
      <c r="L252" s="660">
        <f>L253+L257+L265+L274</f>
        <v>0</v>
      </c>
      <c r="M252" s="660">
        <f>M253+M257+M265+M274</f>
        <v>0</v>
      </c>
      <c r="N252" s="660">
        <f>N253+N257+N265+N274</f>
        <v>0</v>
      </c>
      <c r="O252" s="660">
        <f>O253+O257+O265+O274</f>
        <v>6904400</v>
      </c>
      <c r="P252" s="660">
        <f>E252+J252</f>
        <v>41317174</v>
      </c>
      <c r="Q252" s="503" t="b">
        <f>P252=P254+P259+P260+P262+P263+P264+P267+P269+P270+P276</f>
        <v>1</v>
      </c>
      <c r="R252" s="54"/>
    </row>
    <row r="253" spans="1:18" ht="47.25" thickTop="1" thickBot="1" x14ac:dyDescent="0.25">
      <c r="A253" s="311" t="s">
        <v>788</v>
      </c>
      <c r="B253" s="311" t="s">
        <v>684</v>
      </c>
      <c r="C253" s="311"/>
      <c r="D253" s="311" t="s">
        <v>685</v>
      </c>
      <c r="E253" s="328">
        <f>SUM(E254:E256)</f>
        <v>9067321</v>
      </c>
      <c r="F253" s="328">
        <f t="shared" ref="F253:N253" si="212">SUM(F254:F256)</f>
        <v>9067321</v>
      </c>
      <c r="G253" s="328">
        <f t="shared" si="212"/>
        <v>6530800</v>
      </c>
      <c r="H253" s="328">
        <f t="shared" si="212"/>
        <v>510883</v>
      </c>
      <c r="I253" s="328">
        <f t="shared" si="212"/>
        <v>0</v>
      </c>
      <c r="J253" s="328">
        <f t="shared" si="212"/>
        <v>0</v>
      </c>
      <c r="K253" s="328">
        <f t="shared" si="212"/>
        <v>0</v>
      </c>
      <c r="L253" s="328">
        <f t="shared" si="212"/>
        <v>0</v>
      </c>
      <c r="M253" s="328">
        <f t="shared" si="212"/>
        <v>0</v>
      </c>
      <c r="N253" s="328">
        <f t="shared" si="212"/>
        <v>0</v>
      </c>
      <c r="O253" s="328">
        <f>SUM(O254:O256)</f>
        <v>0</v>
      </c>
      <c r="P253" s="328">
        <f>SUM(P254:P256)</f>
        <v>9067321</v>
      </c>
      <c r="Q253" s="47"/>
      <c r="R253" s="54"/>
    </row>
    <row r="254" spans="1:18" ht="93" thickTop="1" thickBot="1" x14ac:dyDescent="0.25">
      <c r="A254" s="103" t="s">
        <v>421</v>
      </c>
      <c r="B254" s="103" t="s">
        <v>236</v>
      </c>
      <c r="C254" s="103" t="s">
        <v>234</v>
      </c>
      <c r="D254" s="103" t="s">
        <v>235</v>
      </c>
      <c r="E254" s="312">
        <f>F254</f>
        <v>9067321</v>
      </c>
      <c r="F254" s="326">
        <v>9067321</v>
      </c>
      <c r="G254" s="326">
        <v>6530800</v>
      </c>
      <c r="H254" s="326">
        <v>510883</v>
      </c>
      <c r="I254" s="326"/>
      <c r="J254" s="328">
        <f t="shared" si="211"/>
        <v>0</v>
      </c>
      <c r="K254" s="326">
        <v>0</v>
      </c>
      <c r="L254" s="458"/>
      <c r="M254" s="458"/>
      <c r="N254" s="458"/>
      <c r="O254" s="459">
        <f t="shared" ref="O254:O270" si="213">K254</f>
        <v>0</v>
      </c>
      <c r="P254" s="328">
        <f t="shared" ref="P254:P262" si="214">+J254+E254</f>
        <v>9067321</v>
      </c>
      <c r="Q254" s="20"/>
      <c r="R254" s="54"/>
    </row>
    <row r="255" spans="1:18" ht="93" hidden="1" thickTop="1" thickBot="1" x14ac:dyDescent="0.25">
      <c r="A255" s="128" t="s">
        <v>627</v>
      </c>
      <c r="B255" s="128" t="s">
        <v>362</v>
      </c>
      <c r="C255" s="128" t="s">
        <v>625</v>
      </c>
      <c r="D255" s="128" t="s">
        <v>626</v>
      </c>
      <c r="E255" s="127">
        <f t="shared" ref="E255:E256" si="215">F255</f>
        <v>0</v>
      </c>
      <c r="F255" s="129">
        <v>0</v>
      </c>
      <c r="G255" s="129"/>
      <c r="H255" s="129"/>
      <c r="I255" s="129"/>
      <c r="J255" s="127">
        <f t="shared" si="211"/>
        <v>0</v>
      </c>
      <c r="K255" s="129"/>
      <c r="L255" s="130"/>
      <c r="M255" s="131"/>
      <c r="N255" s="131"/>
      <c r="O255" s="132">
        <f t="shared" si="213"/>
        <v>0</v>
      </c>
      <c r="P255" s="127">
        <f>+J255+E255</f>
        <v>0</v>
      </c>
      <c r="Q255" s="20"/>
      <c r="R255" s="54"/>
    </row>
    <row r="256" spans="1:18" ht="48" hidden="1" thickTop="1" thickBot="1" x14ac:dyDescent="0.25">
      <c r="A256" s="128" t="s">
        <v>1143</v>
      </c>
      <c r="B256" s="128" t="s">
        <v>43</v>
      </c>
      <c r="C256" s="128" t="s">
        <v>42</v>
      </c>
      <c r="D256" s="128" t="s">
        <v>248</v>
      </c>
      <c r="E256" s="127">
        <f t="shared" si="215"/>
        <v>0</v>
      </c>
      <c r="F256" s="129"/>
      <c r="G256" s="129"/>
      <c r="H256" s="129"/>
      <c r="I256" s="129"/>
      <c r="J256" s="127">
        <f t="shared" si="211"/>
        <v>0</v>
      </c>
      <c r="K256" s="129"/>
      <c r="L256" s="130"/>
      <c r="M256" s="131"/>
      <c r="N256" s="131"/>
      <c r="O256" s="132"/>
      <c r="P256" s="127">
        <f>+J256+E256</f>
        <v>0</v>
      </c>
      <c r="Q256" s="20"/>
      <c r="R256" s="54"/>
    </row>
    <row r="257" spans="1:18" ht="47.25" thickTop="1" thickBot="1" x14ac:dyDescent="0.25">
      <c r="A257" s="311" t="s">
        <v>789</v>
      </c>
      <c r="B257" s="311" t="s">
        <v>742</v>
      </c>
      <c r="C257" s="311"/>
      <c r="D257" s="347" t="s">
        <v>743</v>
      </c>
      <c r="E257" s="328">
        <f>SUM(E258:E264)-E258</f>
        <v>18821200</v>
      </c>
      <c r="F257" s="328">
        <f t="shared" ref="F257:P257" si="216">SUM(F258:F264)-F258</f>
        <v>18821200</v>
      </c>
      <c r="G257" s="328">
        <f t="shared" si="216"/>
        <v>0</v>
      </c>
      <c r="H257" s="328">
        <f t="shared" si="216"/>
        <v>0</v>
      </c>
      <c r="I257" s="328">
        <f t="shared" si="216"/>
        <v>0</v>
      </c>
      <c r="J257" s="328">
        <f>SUM(J258:J264)-J258</f>
        <v>5604400</v>
      </c>
      <c r="K257" s="328">
        <f t="shared" si="216"/>
        <v>5604400</v>
      </c>
      <c r="L257" s="328">
        <f t="shared" si="216"/>
        <v>0</v>
      </c>
      <c r="M257" s="328">
        <f t="shared" si="216"/>
        <v>0</v>
      </c>
      <c r="N257" s="328">
        <f t="shared" si="216"/>
        <v>0</v>
      </c>
      <c r="O257" s="328">
        <f t="shared" si="216"/>
        <v>5604400</v>
      </c>
      <c r="P257" s="328">
        <f t="shared" si="216"/>
        <v>24425600</v>
      </c>
      <c r="Q257" s="20"/>
      <c r="R257" s="54"/>
    </row>
    <row r="258" spans="1:18" s="33" customFormat="1" ht="93" thickTop="1" thickBot="1" x14ac:dyDescent="0.25">
      <c r="A258" s="329" t="s">
        <v>790</v>
      </c>
      <c r="B258" s="329" t="s">
        <v>791</v>
      </c>
      <c r="C258" s="329"/>
      <c r="D258" s="329" t="s">
        <v>792</v>
      </c>
      <c r="E258" s="325">
        <f>SUM(E259:E261)</f>
        <v>3272200</v>
      </c>
      <c r="F258" s="325">
        <f t="shared" ref="F258:P258" si="217">SUM(F259:F261)</f>
        <v>3272200</v>
      </c>
      <c r="G258" s="325">
        <f t="shared" si="217"/>
        <v>0</v>
      </c>
      <c r="H258" s="325">
        <f t="shared" si="217"/>
        <v>0</v>
      </c>
      <c r="I258" s="325">
        <f t="shared" si="217"/>
        <v>0</v>
      </c>
      <c r="J258" s="325">
        <f t="shared" si="217"/>
        <v>5334400</v>
      </c>
      <c r="K258" s="325">
        <f t="shared" si="217"/>
        <v>5334400</v>
      </c>
      <c r="L258" s="325">
        <f t="shared" si="217"/>
        <v>0</v>
      </c>
      <c r="M258" s="325">
        <f t="shared" si="217"/>
        <v>0</v>
      </c>
      <c r="N258" s="325">
        <f t="shared" si="217"/>
        <v>0</v>
      </c>
      <c r="O258" s="325">
        <f t="shared" si="217"/>
        <v>5334400</v>
      </c>
      <c r="P258" s="325">
        <f t="shared" si="217"/>
        <v>8606600</v>
      </c>
      <c r="Q258" s="36"/>
      <c r="R258" s="54"/>
    </row>
    <row r="259" spans="1:18" ht="48" thickTop="1" thickBot="1" x14ac:dyDescent="0.25">
      <c r="A259" s="103" t="s">
        <v>280</v>
      </c>
      <c r="B259" s="103" t="s">
        <v>281</v>
      </c>
      <c r="C259" s="103" t="s">
        <v>340</v>
      </c>
      <c r="D259" s="103" t="s">
        <v>282</v>
      </c>
      <c r="E259" s="312">
        <f>F259</f>
        <v>3272200</v>
      </c>
      <c r="F259" s="326">
        <f>(3162200)+110000</f>
        <v>3272200</v>
      </c>
      <c r="G259" s="326"/>
      <c r="H259" s="326"/>
      <c r="I259" s="326"/>
      <c r="J259" s="328">
        <f t="shared" si="211"/>
        <v>1334400</v>
      </c>
      <c r="K259" s="326">
        <f>(200000)+1134400</f>
        <v>1334400</v>
      </c>
      <c r="L259" s="458"/>
      <c r="M259" s="458"/>
      <c r="N259" s="458"/>
      <c r="O259" s="459">
        <f t="shared" si="213"/>
        <v>1334400</v>
      </c>
      <c r="P259" s="328">
        <f t="shared" si="214"/>
        <v>4606600</v>
      </c>
      <c r="Q259" s="20"/>
      <c r="R259" s="54"/>
    </row>
    <row r="260" spans="1:18" ht="48" thickTop="1" thickBot="1" x14ac:dyDescent="0.25">
      <c r="A260" s="103" t="s">
        <v>301</v>
      </c>
      <c r="B260" s="103" t="s">
        <v>302</v>
      </c>
      <c r="C260" s="103" t="s">
        <v>283</v>
      </c>
      <c r="D260" s="103" t="s">
        <v>303</v>
      </c>
      <c r="E260" s="312">
        <f t="shared" ref="E260:E272" si="218">F260</f>
        <v>0</v>
      </c>
      <c r="F260" s="326"/>
      <c r="G260" s="326"/>
      <c r="H260" s="326"/>
      <c r="I260" s="326"/>
      <c r="J260" s="328">
        <f t="shared" si="211"/>
        <v>4000000</v>
      </c>
      <c r="K260" s="326">
        <f>(2000000)+2000000</f>
        <v>4000000</v>
      </c>
      <c r="L260" s="458"/>
      <c r="M260" s="458"/>
      <c r="N260" s="458"/>
      <c r="O260" s="459">
        <f t="shared" si="213"/>
        <v>4000000</v>
      </c>
      <c r="P260" s="328">
        <f t="shared" si="214"/>
        <v>4000000</v>
      </c>
      <c r="Q260" s="20"/>
      <c r="R260" s="54"/>
    </row>
    <row r="261" spans="1:18" ht="93" hidden="1" thickTop="1" thickBot="1" x14ac:dyDescent="0.25">
      <c r="A261" s="128" t="s">
        <v>284</v>
      </c>
      <c r="B261" s="128" t="s">
        <v>285</v>
      </c>
      <c r="C261" s="128" t="s">
        <v>283</v>
      </c>
      <c r="D261" s="128" t="s">
        <v>466</v>
      </c>
      <c r="E261" s="152">
        <f t="shared" si="218"/>
        <v>0</v>
      </c>
      <c r="F261" s="129">
        <f>(((16700000-15000000)-1000000)-700000)+2500000-2500000</f>
        <v>0</v>
      </c>
      <c r="G261" s="129"/>
      <c r="H261" s="129"/>
      <c r="I261" s="129"/>
      <c r="J261" s="127">
        <f t="shared" si="211"/>
        <v>0</v>
      </c>
      <c r="K261" s="129">
        <v>0</v>
      </c>
      <c r="L261" s="130"/>
      <c r="M261" s="130"/>
      <c r="N261" s="130"/>
      <c r="O261" s="132">
        <f t="shared" si="213"/>
        <v>0</v>
      </c>
      <c r="P261" s="127">
        <f t="shared" si="214"/>
        <v>0</v>
      </c>
      <c r="Q261" s="20"/>
      <c r="R261" s="54"/>
    </row>
    <row r="262" spans="1:18" ht="93" thickTop="1" thickBot="1" x14ac:dyDescent="0.25">
      <c r="A262" s="103" t="s">
        <v>929</v>
      </c>
      <c r="B262" s="103" t="s">
        <v>297</v>
      </c>
      <c r="C262" s="103" t="s">
        <v>283</v>
      </c>
      <c r="D262" s="103" t="s">
        <v>298</v>
      </c>
      <c r="E262" s="312">
        <f t="shared" si="218"/>
        <v>5500000</v>
      </c>
      <c r="F262" s="326">
        <v>5500000</v>
      </c>
      <c r="G262" s="326"/>
      <c r="H262" s="326"/>
      <c r="I262" s="326"/>
      <c r="J262" s="328">
        <f t="shared" si="211"/>
        <v>0</v>
      </c>
      <c r="K262" s="326"/>
      <c r="L262" s="458"/>
      <c r="M262" s="458"/>
      <c r="N262" s="458"/>
      <c r="O262" s="459">
        <f t="shared" si="213"/>
        <v>0</v>
      </c>
      <c r="P262" s="328">
        <f t="shared" si="214"/>
        <v>5500000</v>
      </c>
      <c r="Q262" s="20"/>
      <c r="R262" s="54"/>
    </row>
    <row r="263" spans="1:18" ht="48" thickTop="1" thickBot="1" x14ac:dyDescent="0.25">
      <c r="A263" s="103" t="s">
        <v>288</v>
      </c>
      <c r="B263" s="103" t="s">
        <v>289</v>
      </c>
      <c r="C263" s="103" t="s">
        <v>283</v>
      </c>
      <c r="D263" s="103" t="s">
        <v>290</v>
      </c>
      <c r="E263" s="312">
        <f t="shared" si="218"/>
        <v>8000000</v>
      </c>
      <c r="F263" s="326">
        <f>(5000000)+3000000</f>
        <v>8000000</v>
      </c>
      <c r="G263" s="326"/>
      <c r="H263" s="326"/>
      <c r="I263" s="326"/>
      <c r="J263" s="328">
        <f t="shared" si="211"/>
        <v>270000</v>
      </c>
      <c r="K263" s="462">
        <f>(0)+270000</f>
        <v>270000</v>
      </c>
      <c r="L263" s="326"/>
      <c r="M263" s="326"/>
      <c r="N263" s="326"/>
      <c r="O263" s="459">
        <f t="shared" si="213"/>
        <v>270000</v>
      </c>
      <c r="P263" s="328">
        <f t="shared" ref="P263:P264" si="219">E263+J263</f>
        <v>8270000</v>
      </c>
      <c r="Q263" s="20"/>
      <c r="R263" s="50"/>
    </row>
    <row r="264" spans="1:18" ht="48" thickTop="1" thickBot="1" x14ac:dyDescent="0.25">
      <c r="A264" s="103" t="s">
        <v>1261</v>
      </c>
      <c r="B264" s="103" t="s">
        <v>1149</v>
      </c>
      <c r="C264" s="103" t="s">
        <v>1150</v>
      </c>
      <c r="D264" s="103" t="s">
        <v>1147</v>
      </c>
      <c r="E264" s="312">
        <f t="shared" si="218"/>
        <v>2049000</v>
      </c>
      <c r="F264" s="326">
        <v>2049000</v>
      </c>
      <c r="G264" s="326"/>
      <c r="H264" s="326"/>
      <c r="I264" s="326"/>
      <c r="J264" s="328">
        <f t="shared" si="211"/>
        <v>0</v>
      </c>
      <c r="K264" s="462"/>
      <c r="L264" s="326"/>
      <c r="M264" s="326"/>
      <c r="N264" s="326"/>
      <c r="O264" s="459">
        <f t="shared" si="213"/>
        <v>0</v>
      </c>
      <c r="P264" s="328">
        <f t="shared" si="219"/>
        <v>2049000</v>
      </c>
      <c r="Q264" s="20"/>
      <c r="R264" s="50"/>
    </row>
    <row r="265" spans="1:18" ht="47.25" thickTop="1" thickBot="1" x14ac:dyDescent="0.25">
      <c r="A265" s="311" t="s">
        <v>793</v>
      </c>
      <c r="B265" s="311" t="s">
        <v>748</v>
      </c>
      <c r="C265" s="311"/>
      <c r="D265" s="311" t="s">
        <v>794</v>
      </c>
      <c r="E265" s="312">
        <f>E268+E266</f>
        <v>3674517</v>
      </c>
      <c r="F265" s="312">
        <f t="shared" ref="F265:P265" si="220">F268+F266</f>
        <v>3674517</v>
      </c>
      <c r="G265" s="312">
        <f t="shared" si="220"/>
        <v>0</v>
      </c>
      <c r="H265" s="312">
        <f t="shared" si="220"/>
        <v>0</v>
      </c>
      <c r="I265" s="312">
        <f t="shared" si="220"/>
        <v>0</v>
      </c>
      <c r="J265" s="312">
        <f t="shared" si="220"/>
        <v>1300000</v>
      </c>
      <c r="K265" s="312">
        <f t="shared" si="220"/>
        <v>1300000</v>
      </c>
      <c r="L265" s="312">
        <f t="shared" si="220"/>
        <v>0</v>
      </c>
      <c r="M265" s="312">
        <f t="shared" si="220"/>
        <v>0</v>
      </c>
      <c r="N265" s="312">
        <f t="shared" si="220"/>
        <v>0</v>
      </c>
      <c r="O265" s="312">
        <f t="shared" si="220"/>
        <v>1300000</v>
      </c>
      <c r="P265" s="312">
        <f t="shared" si="220"/>
        <v>4974517</v>
      </c>
      <c r="Q265" s="20"/>
      <c r="R265" s="50"/>
    </row>
    <row r="266" spans="1:18" ht="47.25" thickTop="1" thickBot="1" x14ac:dyDescent="0.25">
      <c r="A266" s="313" t="s">
        <v>1145</v>
      </c>
      <c r="B266" s="313" t="s">
        <v>803</v>
      </c>
      <c r="C266" s="313"/>
      <c r="D266" s="313" t="s">
        <v>804</v>
      </c>
      <c r="E266" s="314">
        <f>E267</f>
        <v>0</v>
      </c>
      <c r="F266" s="314">
        <f t="shared" ref="F266:P266" si="221">F267</f>
        <v>0</v>
      </c>
      <c r="G266" s="314">
        <f t="shared" si="221"/>
        <v>0</v>
      </c>
      <c r="H266" s="314">
        <f t="shared" si="221"/>
        <v>0</v>
      </c>
      <c r="I266" s="314">
        <f t="shared" si="221"/>
        <v>0</v>
      </c>
      <c r="J266" s="314">
        <f t="shared" si="221"/>
        <v>1000000</v>
      </c>
      <c r="K266" s="314">
        <f t="shared" si="221"/>
        <v>1000000</v>
      </c>
      <c r="L266" s="314">
        <f t="shared" si="221"/>
        <v>0</v>
      </c>
      <c r="M266" s="314">
        <f t="shared" si="221"/>
        <v>0</v>
      </c>
      <c r="N266" s="314">
        <f t="shared" si="221"/>
        <v>0</v>
      </c>
      <c r="O266" s="314">
        <f t="shared" si="221"/>
        <v>1000000</v>
      </c>
      <c r="P266" s="314">
        <f t="shared" si="221"/>
        <v>1000000</v>
      </c>
      <c r="Q266" s="20"/>
      <c r="R266" s="50"/>
    </row>
    <row r="267" spans="1:18" ht="54" thickTop="1" thickBot="1" x14ac:dyDescent="0.25">
      <c r="A267" s="103" t="s">
        <v>1146</v>
      </c>
      <c r="B267" s="103" t="s">
        <v>305</v>
      </c>
      <c r="C267" s="103" t="s">
        <v>304</v>
      </c>
      <c r="D267" s="103" t="s">
        <v>1502</v>
      </c>
      <c r="E267" s="312">
        <f t="shared" ref="E267" si="222">F267</f>
        <v>0</v>
      </c>
      <c r="F267" s="326"/>
      <c r="G267" s="326"/>
      <c r="H267" s="326"/>
      <c r="I267" s="326"/>
      <c r="J267" s="328">
        <f>L267+O267</f>
        <v>1000000</v>
      </c>
      <c r="K267" s="462">
        <f>(300000)+700000</f>
        <v>1000000</v>
      </c>
      <c r="L267" s="326"/>
      <c r="M267" s="326"/>
      <c r="N267" s="326"/>
      <c r="O267" s="459">
        <f>K267</f>
        <v>1000000</v>
      </c>
      <c r="P267" s="328">
        <f t="shared" ref="P267" si="223">E267+J267</f>
        <v>1000000</v>
      </c>
      <c r="Q267" s="20"/>
      <c r="R267" s="50"/>
    </row>
    <row r="268" spans="1:18" ht="47.25" thickTop="1" thickBot="1" x14ac:dyDescent="0.25">
      <c r="A268" s="313" t="s">
        <v>795</v>
      </c>
      <c r="B268" s="313" t="s">
        <v>691</v>
      </c>
      <c r="C268" s="313"/>
      <c r="D268" s="313" t="s">
        <v>689</v>
      </c>
      <c r="E268" s="314">
        <f>E269+E271+E270</f>
        <v>3674517</v>
      </c>
      <c r="F268" s="314">
        <f t="shared" ref="F268:P268" si="224">F269+F271+F270</f>
        <v>3674517</v>
      </c>
      <c r="G268" s="314">
        <f t="shared" si="224"/>
        <v>0</v>
      </c>
      <c r="H268" s="314">
        <f t="shared" si="224"/>
        <v>0</v>
      </c>
      <c r="I268" s="314">
        <f t="shared" si="224"/>
        <v>0</v>
      </c>
      <c r="J268" s="314">
        <f>J269+J271+J270</f>
        <v>300000</v>
      </c>
      <c r="K268" s="314">
        <f t="shared" si="224"/>
        <v>300000</v>
      </c>
      <c r="L268" s="314">
        <f t="shared" si="224"/>
        <v>0</v>
      </c>
      <c r="M268" s="314">
        <f t="shared" si="224"/>
        <v>0</v>
      </c>
      <c r="N268" s="314">
        <f t="shared" si="224"/>
        <v>0</v>
      </c>
      <c r="O268" s="314">
        <f t="shared" si="224"/>
        <v>300000</v>
      </c>
      <c r="P268" s="314">
        <f t="shared" si="224"/>
        <v>3974517</v>
      </c>
      <c r="Q268" s="20"/>
      <c r="R268" s="50"/>
    </row>
    <row r="269" spans="1:18" ht="48" thickTop="1" thickBot="1" x14ac:dyDescent="0.25">
      <c r="A269" s="103" t="s">
        <v>296</v>
      </c>
      <c r="B269" s="103" t="s">
        <v>212</v>
      </c>
      <c r="C269" s="103" t="s">
        <v>213</v>
      </c>
      <c r="D269" s="103" t="s">
        <v>41</v>
      </c>
      <c r="E269" s="312">
        <f t="shared" si="218"/>
        <v>3674517</v>
      </c>
      <c r="F269" s="326">
        <f>(2000000)+1674517</f>
        <v>3674517</v>
      </c>
      <c r="G269" s="326"/>
      <c r="H269" s="326"/>
      <c r="I269" s="326"/>
      <c r="J269" s="328">
        <f t="shared" si="211"/>
        <v>0</v>
      </c>
      <c r="K269" s="462"/>
      <c r="L269" s="326"/>
      <c r="M269" s="326"/>
      <c r="N269" s="326"/>
      <c r="O269" s="459">
        <f t="shared" si="213"/>
        <v>0</v>
      </c>
      <c r="P269" s="328">
        <f>E269+J269</f>
        <v>3674517</v>
      </c>
      <c r="Q269" s="20"/>
      <c r="R269" s="54"/>
    </row>
    <row r="270" spans="1:18" ht="48" thickTop="1" thickBot="1" x14ac:dyDescent="0.25">
      <c r="A270" s="103" t="s">
        <v>918</v>
      </c>
      <c r="B270" s="103" t="s">
        <v>197</v>
      </c>
      <c r="C270" s="103" t="s">
        <v>170</v>
      </c>
      <c r="D270" s="103" t="s">
        <v>34</v>
      </c>
      <c r="E270" s="312">
        <f t="shared" si="218"/>
        <v>0</v>
      </c>
      <c r="F270" s="326"/>
      <c r="G270" s="326"/>
      <c r="H270" s="326"/>
      <c r="I270" s="326"/>
      <c r="J270" s="328">
        <f t="shared" si="211"/>
        <v>300000</v>
      </c>
      <c r="K270" s="462">
        <v>300000</v>
      </c>
      <c r="L270" s="326"/>
      <c r="M270" s="326"/>
      <c r="N270" s="326"/>
      <c r="O270" s="459">
        <f t="shared" si="213"/>
        <v>300000</v>
      </c>
      <c r="P270" s="328">
        <f>E270+J270</f>
        <v>300000</v>
      </c>
      <c r="Q270" s="20"/>
      <c r="R270" s="54"/>
    </row>
    <row r="271" spans="1:18" ht="48" hidden="1" thickTop="1" thickBot="1" x14ac:dyDescent="0.25">
      <c r="A271" s="140" t="s">
        <v>796</v>
      </c>
      <c r="B271" s="140" t="s">
        <v>694</v>
      </c>
      <c r="C271" s="140"/>
      <c r="D271" s="140" t="s">
        <v>797</v>
      </c>
      <c r="E271" s="158">
        <f>E272</f>
        <v>0</v>
      </c>
      <c r="F271" s="158">
        <f t="shared" ref="F271:P271" si="225">F272</f>
        <v>0</v>
      </c>
      <c r="G271" s="158">
        <f t="shared" si="225"/>
        <v>0</v>
      </c>
      <c r="H271" s="158">
        <f t="shared" si="225"/>
        <v>0</v>
      </c>
      <c r="I271" s="158">
        <f t="shared" si="225"/>
        <v>0</v>
      </c>
      <c r="J271" s="158">
        <f t="shared" si="225"/>
        <v>0</v>
      </c>
      <c r="K271" s="158">
        <f t="shared" si="225"/>
        <v>0</v>
      </c>
      <c r="L271" s="158">
        <f t="shared" si="225"/>
        <v>0</v>
      </c>
      <c r="M271" s="158">
        <f t="shared" si="225"/>
        <v>0</v>
      </c>
      <c r="N271" s="158">
        <f t="shared" si="225"/>
        <v>0</v>
      </c>
      <c r="O271" s="158">
        <f t="shared" si="225"/>
        <v>0</v>
      </c>
      <c r="P271" s="158">
        <f t="shared" si="225"/>
        <v>0</v>
      </c>
      <c r="Q271" s="20"/>
      <c r="R271" s="50"/>
    </row>
    <row r="272" spans="1:18" ht="214.5" hidden="1" customHeight="1" thickTop="1" thickBot="1" x14ac:dyDescent="0.7">
      <c r="A272" s="797" t="s">
        <v>424</v>
      </c>
      <c r="B272" s="797" t="s">
        <v>338</v>
      </c>
      <c r="C272" s="797" t="s">
        <v>170</v>
      </c>
      <c r="D272" s="155" t="s">
        <v>440</v>
      </c>
      <c r="E272" s="800">
        <f t="shared" si="218"/>
        <v>0</v>
      </c>
      <c r="F272" s="781"/>
      <c r="G272" s="781"/>
      <c r="H272" s="781"/>
      <c r="I272" s="781"/>
      <c r="J272" s="800">
        <f t="shared" si="211"/>
        <v>0</v>
      </c>
      <c r="K272" s="781"/>
      <c r="L272" s="781">
        <v>0</v>
      </c>
      <c r="M272" s="781"/>
      <c r="N272" s="781"/>
      <c r="O272" s="785">
        <f>((K272+884000)-450000)-434000</f>
        <v>0</v>
      </c>
      <c r="P272" s="782">
        <f>E272+J272</f>
        <v>0</v>
      </c>
      <c r="Q272" s="20"/>
      <c r="R272" s="50"/>
    </row>
    <row r="273" spans="1:18" ht="93" hidden="1" thickTop="1" thickBot="1" x14ac:dyDescent="0.25">
      <c r="A273" s="797"/>
      <c r="B273" s="797"/>
      <c r="C273" s="797"/>
      <c r="D273" s="156" t="s">
        <v>441</v>
      </c>
      <c r="E273" s="800"/>
      <c r="F273" s="781"/>
      <c r="G273" s="781"/>
      <c r="H273" s="781"/>
      <c r="I273" s="781"/>
      <c r="J273" s="800"/>
      <c r="K273" s="781"/>
      <c r="L273" s="781"/>
      <c r="M273" s="781"/>
      <c r="N273" s="781"/>
      <c r="O273" s="785"/>
      <c r="P273" s="782"/>
      <c r="Q273" s="20"/>
      <c r="R273" s="50"/>
    </row>
    <row r="274" spans="1:18" ht="47.25" thickTop="1" thickBot="1" x14ac:dyDescent="0.25">
      <c r="A274" s="311" t="s">
        <v>1230</v>
      </c>
      <c r="B274" s="311" t="s">
        <v>696</v>
      </c>
      <c r="C274" s="311"/>
      <c r="D274" s="311" t="s">
        <v>697</v>
      </c>
      <c r="E274" s="328">
        <f>E277+E275</f>
        <v>2849736</v>
      </c>
      <c r="F274" s="328">
        <f t="shared" ref="F274:I274" si="226">F277+F275</f>
        <v>2849736</v>
      </c>
      <c r="G274" s="328">
        <f t="shared" si="226"/>
        <v>0</v>
      </c>
      <c r="H274" s="328">
        <f t="shared" si="226"/>
        <v>0</v>
      </c>
      <c r="I274" s="328">
        <f t="shared" si="226"/>
        <v>0</v>
      </c>
      <c r="J274" s="328">
        <f>J277+J275</f>
        <v>0</v>
      </c>
      <c r="K274" s="328">
        <f t="shared" ref="K274:N274" si="227">K277+K275</f>
        <v>0</v>
      </c>
      <c r="L274" s="328">
        <f t="shared" si="227"/>
        <v>0</v>
      </c>
      <c r="M274" s="328">
        <f t="shared" si="227"/>
        <v>0</v>
      </c>
      <c r="N274" s="328">
        <f t="shared" si="227"/>
        <v>0</v>
      </c>
      <c r="O274" s="328">
        <f>O277+O275</f>
        <v>0</v>
      </c>
      <c r="P274" s="328">
        <f>P277+P275</f>
        <v>2849736</v>
      </c>
      <c r="Q274" s="20"/>
      <c r="R274" s="50"/>
    </row>
    <row r="275" spans="1:18" ht="47.25" thickTop="1" thickBot="1" x14ac:dyDescent="0.25">
      <c r="A275" s="313" t="s">
        <v>1500</v>
      </c>
      <c r="B275" s="313" t="s">
        <v>812</v>
      </c>
      <c r="C275" s="313"/>
      <c r="D275" s="356" t="s">
        <v>1281</v>
      </c>
      <c r="E275" s="315">
        <f>SUM(E276:E278)</f>
        <v>2849736</v>
      </c>
      <c r="F275" s="315">
        <f t="shared" ref="F275:P275" si="228">SUM(F276:F278)</f>
        <v>2849736</v>
      </c>
      <c r="G275" s="315">
        <f t="shared" si="228"/>
        <v>0</v>
      </c>
      <c r="H275" s="315">
        <f t="shared" si="228"/>
        <v>0</v>
      </c>
      <c r="I275" s="315">
        <f t="shared" si="228"/>
        <v>0</v>
      </c>
      <c r="J275" s="315">
        <f t="shared" si="228"/>
        <v>0</v>
      </c>
      <c r="K275" s="315">
        <f t="shared" si="228"/>
        <v>0</v>
      </c>
      <c r="L275" s="315">
        <f t="shared" si="228"/>
        <v>0</v>
      </c>
      <c r="M275" s="315">
        <f t="shared" si="228"/>
        <v>0</v>
      </c>
      <c r="N275" s="315">
        <f t="shared" si="228"/>
        <v>0</v>
      </c>
      <c r="O275" s="315">
        <f t="shared" si="228"/>
        <v>0</v>
      </c>
      <c r="P275" s="315">
        <f t="shared" si="228"/>
        <v>2849736</v>
      </c>
      <c r="Q275" s="20"/>
      <c r="R275" s="50"/>
    </row>
    <row r="276" spans="1:18" ht="93" thickTop="1" thickBot="1" x14ac:dyDescent="0.25">
      <c r="A276" s="103" t="s">
        <v>1501</v>
      </c>
      <c r="B276" s="103" t="s">
        <v>518</v>
      </c>
      <c r="C276" s="103" t="s">
        <v>251</v>
      </c>
      <c r="D276" s="103" t="s">
        <v>519</v>
      </c>
      <c r="E276" s="312">
        <f>F276</f>
        <v>2849736</v>
      </c>
      <c r="F276" s="326">
        <f>(2812463)+37273</f>
        <v>2849736</v>
      </c>
      <c r="G276" s="326"/>
      <c r="H276" s="326"/>
      <c r="I276" s="326"/>
      <c r="J276" s="328">
        <f>L276+O276</f>
        <v>0</v>
      </c>
      <c r="K276" s="462"/>
      <c r="L276" s="326"/>
      <c r="M276" s="326"/>
      <c r="N276" s="326"/>
      <c r="O276" s="459">
        <f>K276</f>
        <v>0</v>
      </c>
      <c r="P276" s="328">
        <f>E276+J276</f>
        <v>2849736</v>
      </c>
      <c r="Q276" s="20"/>
      <c r="R276" s="50"/>
    </row>
    <row r="277" spans="1:18" ht="47.25" hidden="1" thickTop="1" thickBot="1" x14ac:dyDescent="0.25">
      <c r="A277" s="136" t="s">
        <v>1231</v>
      </c>
      <c r="B277" s="136" t="s">
        <v>1186</v>
      </c>
      <c r="C277" s="136"/>
      <c r="D277" s="136" t="s">
        <v>1184</v>
      </c>
      <c r="E277" s="137">
        <f t="shared" ref="E277:P277" si="229">SUM(E278:E278)</f>
        <v>0</v>
      </c>
      <c r="F277" s="137">
        <f t="shared" si="229"/>
        <v>0</v>
      </c>
      <c r="G277" s="137">
        <f t="shared" si="229"/>
        <v>0</v>
      </c>
      <c r="H277" s="137">
        <f t="shared" si="229"/>
        <v>0</v>
      </c>
      <c r="I277" s="137">
        <f t="shared" si="229"/>
        <v>0</v>
      </c>
      <c r="J277" s="137">
        <f t="shared" si="229"/>
        <v>0</v>
      </c>
      <c r="K277" s="137">
        <f t="shared" si="229"/>
        <v>0</v>
      </c>
      <c r="L277" s="137">
        <f t="shared" si="229"/>
        <v>0</v>
      </c>
      <c r="M277" s="137">
        <f t="shared" si="229"/>
        <v>0</v>
      </c>
      <c r="N277" s="137">
        <f t="shared" si="229"/>
        <v>0</v>
      </c>
      <c r="O277" s="137">
        <f t="shared" si="229"/>
        <v>0</v>
      </c>
      <c r="P277" s="137">
        <f t="shared" si="229"/>
        <v>0</v>
      </c>
      <c r="Q277" s="20"/>
      <c r="R277" s="50"/>
    </row>
    <row r="278" spans="1:18" ht="48" hidden="1" thickTop="1" thickBot="1" x14ac:dyDescent="0.25">
      <c r="A278" s="128" t="s">
        <v>1232</v>
      </c>
      <c r="B278" s="128" t="s">
        <v>1213</v>
      </c>
      <c r="C278" s="128" t="s">
        <v>1188</v>
      </c>
      <c r="D278" s="128" t="s">
        <v>1214</v>
      </c>
      <c r="E278" s="127">
        <f>F278</f>
        <v>0</v>
      </c>
      <c r="F278" s="134"/>
      <c r="G278" s="134"/>
      <c r="H278" s="134"/>
      <c r="I278" s="134"/>
      <c r="J278" s="127">
        <f>L278+O278</f>
        <v>0</v>
      </c>
      <c r="K278" s="134"/>
      <c r="L278" s="134"/>
      <c r="M278" s="134"/>
      <c r="N278" s="134"/>
      <c r="O278" s="132">
        <f>K278</f>
        <v>0</v>
      </c>
      <c r="P278" s="127">
        <f>E278+J278</f>
        <v>0</v>
      </c>
      <c r="Q278" s="20"/>
      <c r="R278" s="50"/>
    </row>
    <row r="279" spans="1:18" ht="120" customHeight="1" thickTop="1" thickBot="1" x14ac:dyDescent="0.25">
      <c r="A279" s="661" t="s">
        <v>540</v>
      </c>
      <c r="B279" s="661"/>
      <c r="C279" s="661"/>
      <c r="D279" s="662" t="s">
        <v>559</v>
      </c>
      <c r="E279" s="663">
        <f>E280</f>
        <v>382643547</v>
      </c>
      <c r="F279" s="664">
        <f t="shared" ref="F279:G279" si="230">F280</f>
        <v>382643547</v>
      </c>
      <c r="G279" s="664">
        <f t="shared" si="230"/>
        <v>8690079</v>
      </c>
      <c r="H279" s="664">
        <f>H280</f>
        <v>239084</v>
      </c>
      <c r="I279" s="664">
        <f t="shared" ref="I279" si="231">I280</f>
        <v>0</v>
      </c>
      <c r="J279" s="663">
        <f>J280</f>
        <v>25880415</v>
      </c>
      <c r="K279" s="664">
        <f>K280</f>
        <v>25880415</v>
      </c>
      <c r="L279" s="664">
        <f>L280</f>
        <v>0</v>
      </c>
      <c r="M279" s="664">
        <f t="shared" ref="M279" si="232">M280</f>
        <v>0</v>
      </c>
      <c r="N279" s="664">
        <f>N280</f>
        <v>0</v>
      </c>
      <c r="O279" s="663">
        <f>O280</f>
        <v>25880415</v>
      </c>
      <c r="P279" s="664">
        <f>P280</f>
        <v>408523962</v>
      </c>
      <c r="Q279" s="20"/>
      <c r="R279" s="50"/>
    </row>
    <row r="280" spans="1:18" ht="120" customHeight="1" thickTop="1" thickBot="1" x14ac:dyDescent="0.25">
      <c r="A280" s="658" t="s">
        <v>541</v>
      </c>
      <c r="B280" s="658"/>
      <c r="C280" s="658"/>
      <c r="D280" s="659" t="s">
        <v>560</v>
      </c>
      <c r="E280" s="660">
        <f>E281+E285+E293+E306+E311</f>
        <v>382643547</v>
      </c>
      <c r="F280" s="660">
        <f>F281+F285+F293+F306+F311</f>
        <v>382643547</v>
      </c>
      <c r="G280" s="660">
        <f>G281+G285+G293+G306+G311</f>
        <v>8690079</v>
      </c>
      <c r="H280" s="660">
        <f>H281+H285+H293+H306+H311</f>
        <v>239084</v>
      </c>
      <c r="I280" s="660">
        <f>I281+I285+I293+I306+I311</f>
        <v>0</v>
      </c>
      <c r="J280" s="660">
        <f t="shared" ref="J280:J303" si="233">L280+O280</f>
        <v>25880415</v>
      </c>
      <c r="K280" s="660">
        <f>K281+K285+K293+K306+K311</f>
        <v>25880415</v>
      </c>
      <c r="L280" s="660">
        <f>L281+L285+L293+L306+L311</f>
        <v>0</v>
      </c>
      <c r="M280" s="660">
        <f>M281+M285+M293+M306+M311</f>
        <v>0</v>
      </c>
      <c r="N280" s="660">
        <f>N281+N285+N293+N306+N311</f>
        <v>0</v>
      </c>
      <c r="O280" s="660">
        <f>O281+O285+O293+O306+O311</f>
        <v>25880415</v>
      </c>
      <c r="P280" s="660">
        <f>E280+J280</f>
        <v>408523962</v>
      </c>
      <c r="Q280" s="503" t="b">
        <f>P280=P282+P287+P288+P290+P291+P292+P295+P298+P300+P301+P308+P309</f>
        <v>1</v>
      </c>
      <c r="R280" s="45"/>
    </row>
    <row r="281" spans="1:18" ht="47.25" thickTop="1" thickBot="1" x14ac:dyDescent="0.25">
      <c r="A281" s="311" t="s">
        <v>798</v>
      </c>
      <c r="B281" s="311" t="s">
        <v>684</v>
      </c>
      <c r="C281" s="311"/>
      <c r="D281" s="311" t="s">
        <v>685</v>
      </c>
      <c r="E281" s="328">
        <f>SUM(E282:E284)</f>
        <v>8901631</v>
      </c>
      <c r="F281" s="328">
        <f t="shared" ref="F281:P281" si="234">SUM(F282:F284)</f>
        <v>8901631</v>
      </c>
      <c r="G281" s="328">
        <f t="shared" si="234"/>
        <v>6736115</v>
      </c>
      <c r="H281" s="328">
        <f t="shared" si="234"/>
        <v>180204</v>
      </c>
      <c r="I281" s="328">
        <f t="shared" si="234"/>
        <v>0</v>
      </c>
      <c r="J281" s="328">
        <f t="shared" si="234"/>
        <v>39000</v>
      </c>
      <c r="K281" s="328">
        <f t="shared" si="234"/>
        <v>39000</v>
      </c>
      <c r="L281" s="328">
        <f t="shared" si="234"/>
        <v>0</v>
      </c>
      <c r="M281" s="328">
        <f t="shared" si="234"/>
        <v>0</v>
      </c>
      <c r="N281" s="328">
        <f t="shared" si="234"/>
        <v>0</v>
      </c>
      <c r="O281" s="328">
        <f t="shared" si="234"/>
        <v>39000</v>
      </c>
      <c r="P281" s="328">
        <f t="shared" si="234"/>
        <v>8940631</v>
      </c>
      <c r="Q281" s="47"/>
      <c r="R281" s="45"/>
    </row>
    <row r="282" spans="1:18" ht="93" thickTop="1" thickBot="1" x14ac:dyDescent="0.25">
      <c r="A282" s="103" t="s">
        <v>542</v>
      </c>
      <c r="B282" s="103" t="s">
        <v>236</v>
      </c>
      <c r="C282" s="103" t="s">
        <v>234</v>
      </c>
      <c r="D282" s="103" t="s">
        <v>235</v>
      </c>
      <c r="E282" s="312">
        <f>F282</f>
        <v>8901631</v>
      </c>
      <c r="F282" s="326">
        <v>8901631</v>
      </c>
      <c r="G282" s="326">
        <v>6736115</v>
      </c>
      <c r="H282" s="326">
        <v>180204</v>
      </c>
      <c r="I282" s="326"/>
      <c r="J282" s="328">
        <f t="shared" si="233"/>
        <v>39000</v>
      </c>
      <c r="K282" s="326">
        <v>39000</v>
      </c>
      <c r="L282" s="458"/>
      <c r="M282" s="458"/>
      <c r="N282" s="458"/>
      <c r="O282" s="459">
        <f t="shared" ref="O282:O301" si="235">K282</f>
        <v>39000</v>
      </c>
      <c r="P282" s="328">
        <f t="shared" ref="P282:P289" si="236">+J282+E282</f>
        <v>8940631</v>
      </c>
      <c r="Q282" s="20"/>
      <c r="R282" s="45"/>
    </row>
    <row r="283" spans="1:18" ht="93" hidden="1" thickTop="1" thickBot="1" x14ac:dyDescent="0.25">
      <c r="A283" s="128" t="s">
        <v>629</v>
      </c>
      <c r="B283" s="128" t="s">
        <v>362</v>
      </c>
      <c r="C283" s="128" t="s">
        <v>625</v>
      </c>
      <c r="D283" s="128" t="s">
        <v>626</v>
      </c>
      <c r="E283" s="152">
        <f>F283</f>
        <v>0</v>
      </c>
      <c r="F283" s="129"/>
      <c r="G283" s="129"/>
      <c r="H283" s="129"/>
      <c r="I283" s="129"/>
      <c r="J283" s="127">
        <f t="shared" si="233"/>
        <v>0</v>
      </c>
      <c r="K283" s="129"/>
      <c r="L283" s="130"/>
      <c r="M283" s="130"/>
      <c r="N283" s="130"/>
      <c r="O283" s="132">
        <f t="shared" si="235"/>
        <v>0</v>
      </c>
      <c r="P283" s="127">
        <f t="shared" si="236"/>
        <v>0</v>
      </c>
      <c r="Q283" s="20"/>
      <c r="R283" s="45"/>
    </row>
    <row r="284" spans="1:18" ht="48" hidden="1" thickTop="1" thickBot="1" x14ac:dyDescent="0.25">
      <c r="A284" s="128" t="s">
        <v>543</v>
      </c>
      <c r="B284" s="128" t="s">
        <v>43</v>
      </c>
      <c r="C284" s="128" t="s">
        <v>42</v>
      </c>
      <c r="D284" s="128" t="s">
        <v>248</v>
      </c>
      <c r="E284" s="152">
        <f>F284</f>
        <v>0</v>
      </c>
      <c r="F284" s="129">
        <v>0</v>
      </c>
      <c r="G284" s="129"/>
      <c r="H284" s="129"/>
      <c r="I284" s="129"/>
      <c r="J284" s="127">
        <f t="shared" si="233"/>
        <v>0</v>
      </c>
      <c r="K284" s="129"/>
      <c r="L284" s="130"/>
      <c r="M284" s="130"/>
      <c r="N284" s="130"/>
      <c r="O284" s="132">
        <f t="shared" si="235"/>
        <v>0</v>
      </c>
      <c r="P284" s="127">
        <f t="shared" si="236"/>
        <v>0</v>
      </c>
      <c r="Q284" s="20"/>
      <c r="R284" s="50"/>
    </row>
    <row r="285" spans="1:18" ht="47.25" thickTop="1" thickBot="1" x14ac:dyDescent="0.25">
      <c r="A285" s="311" t="s">
        <v>799</v>
      </c>
      <c r="B285" s="311" t="s">
        <v>742</v>
      </c>
      <c r="C285" s="311"/>
      <c r="D285" s="347" t="s">
        <v>743</v>
      </c>
      <c r="E285" s="312">
        <f>SUM(E286:E292)-E286</f>
        <v>357226771</v>
      </c>
      <c r="F285" s="312">
        <f t="shared" ref="F285:P285" si="237">SUM(F286:F292)-F286</f>
        <v>357226771</v>
      </c>
      <c r="G285" s="312">
        <f t="shared" si="237"/>
        <v>0</v>
      </c>
      <c r="H285" s="312">
        <f t="shared" si="237"/>
        <v>5000</v>
      </c>
      <c r="I285" s="312">
        <f t="shared" si="237"/>
        <v>0</v>
      </c>
      <c r="J285" s="312">
        <f t="shared" si="237"/>
        <v>953993</v>
      </c>
      <c r="K285" s="312">
        <f t="shared" si="237"/>
        <v>953993</v>
      </c>
      <c r="L285" s="312">
        <f t="shared" si="237"/>
        <v>0</v>
      </c>
      <c r="M285" s="312">
        <f t="shared" si="237"/>
        <v>0</v>
      </c>
      <c r="N285" s="312">
        <f t="shared" si="237"/>
        <v>0</v>
      </c>
      <c r="O285" s="312">
        <f t="shared" si="237"/>
        <v>953993</v>
      </c>
      <c r="P285" s="312">
        <f t="shared" si="237"/>
        <v>358180764</v>
      </c>
      <c r="Q285" s="20"/>
      <c r="R285" s="50"/>
    </row>
    <row r="286" spans="1:18" ht="93" thickTop="1" thickBot="1" x14ac:dyDescent="0.25">
      <c r="A286" s="329" t="s">
        <v>800</v>
      </c>
      <c r="B286" s="329" t="s">
        <v>791</v>
      </c>
      <c r="C286" s="329"/>
      <c r="D286" s="329" t="s">
        <v>792</v>
      </c>
      <c r="E286" s="466">
        <f>SUM(E287:E289)</f>
        <v>65550000</v>
      </c>
      <c r="F286" s="466">
        <f t="shared" ref="F286:P286" si="238">SUM(F287:F289)</f>
        <v>65550000</v>
      </c>
      <c r="G286" s="466">
        <f t="shared" si="238"/>
        <v>0</v>
      </c>
      <c r="H286" s="466">
        <f t="shared" si="238"/>
        <v>0</v>
      </c>
      <c r="I286" s="466">
        <f t="shared" si="238"/>
        <v>0</v>
      </c>
      <c r="J286" s="466">
        <f t="shared" si="238"/>
        <v>953993</v>
      </c>
      <c r="K286" s="466">
        <f t="shared" si="238"/>
        <v>953993</v>
      </c>
      <c r="L286" s="466">
        <f t="shared" si="238"/>
        <v>0</v>
      </c>
      <c r="M286" s="466">
        <f t="shared" si="238"/>
        <v>0</v>
      </c>
      <c r="N286" s="466">
        <f t="shared" si="238"/>
        <v>0</v>
      </c>
      <c r="O286" s="466">
        <f t="shared" si="238"/>
        <v>953993</v>
      </c>
      <c r="P286" s="466">
        <f t="shared" si="238"/>
        <v>66503993</v>
      </c>
      <c r="Q286" s="20"/>
      <c r="R286" s="50"/>
    </row>
    <row r="287" spans="1:18" ht="93" thickTop="1" thickBot="1" x14ac:dyDescent="0.25">
      <c r="A287" s="103" t="s">
        <v>544</v>
      </c>
      <c r="B287" s="103" t="s">
        <v>376</v>
      </c>
      <c r="C287" s="103" t="s">
        <v>283</v>
      </c>
      <c r="D287" s="103" t="s">
        <v>377</v>
      </c>
      <c r="E287" s="312">
        <f t="shared" ref="E287:E301" si="239">F287</f>
        <v>40000000</v>
      </c>
      <c r="F287" s="326">
        <f>(20000000)+20000000</f>
        <v>40000000</v>
      </c>
      <c r="G287" s="326"/>
      <c r="H287" s="326"/>
      <c r="I287" s="326"/>
      <c r="J287" s="328">
        <f t="shared" si="233"/>
        <v>0</v>
      </c>
      <c r="K287" s="326"/>
      <c r="L287" s="458"/>
      <c r="M287" s="458"/>
      <c r="N287" s="458"/>
      <c r="O287" s="459">
        <f t="shared" si="235"/>
        <v>0</v>
      </c>
      <c r="P287" s="328">
        <f t="shared" si="236"/>
        <v>40000000</v>
      </c>
      <c r="Q287" s="20"/>
      <c r="R287" s="50"/>
    </row>
    <row r="288" spans="1:18" ht="48" thickTop="1" thickBot="1" x14ac:dyDescent="0.25">
      <c r="A288" s="103" t="s">
        <v>545</v>
      </c>
      <c r="B288" s="103" t="s">
        <v>286</v>
      </c>
      <c r="C288" s="103" t="s">
        <v>283</v>
      </c>
      <c r="D288" s="103" t="s">
        <v>287</v>
      </c>
      <c r="E288" s="312">
        <f t="shared" si="239"/>
        <v>25550000</v>
      </c>
      <c r="F288" s="326">
        <f>(10550000)+15000000</f>
        <v>25550000</v>
      </c>
      <c r="G288" s="129"/>
      <c r="H288" s="129"/>
      <c r="I288" s="129"/>
      <c r="J288" s="328">
        <f t="shared" si="233"/>
        <v>953993</v>
      </c>
      <c r="K288" s="326">
        <f>(185707)+768286</f>
        <v>953993</v>
      </c>
      <c r="L288" s="458"/>
      <c r="M288" s="458"/>
      <c r="N288" s="458"/>
      <c r="O288" s="459">
        <f t="shared" si="235"/>
        <v>953993</v>
      </c>
      <c r="P288" s="328">
        <f t="shared" si="236"/>
        <v>26503993</v>
      </c>
      <c r="Q288" s="20"/>
      <c r="R288" s="50"/>
    </row>
    <row r="289" spans="1:18" ht="93" hidden="1" thickTop="1" thickBot="1" x14ac:dyDescent="0.25">
      <c r="A289" s="128" t="s">
        <v>1410</v>
      </c>
      <c r="B289" s="128" t="s">
        <v>1411</v>
      </c>
      <c r="C289" s="128" t="s">
        <v>283</v>
      </c>
      <c r="D289" s="128" t="s">
        <v>1412</v>
      </c>
      <c r="E289" s="152">
        <f t="shared" si="239"/>
        <v>0</v>
      </c>
      <c r="F289" s="129">
        <v>0</v>
      </c>
      <c r="G289" s="129"/>
      <c r="H289" s="129"/>
      <c r="I289" s="129"/>
      <c r="J289" s="328">
        <f t="shared" si="233"/>
        <v>0</v>
      </c>
      <c r="K289" s="326"/>
      <c r="L289" s="458"/>
      <c r="M289" s="458"/>
      <c r="N289" s="458"/>
      <c r="O289" s="459">
        <f t="shared" si="235"/>
        <v>0</v>
      </c>
      <c r="P289" s="328">
        <f t="shared" si="236"/>
        <v>0</v>
      </c>
      <c r="Q289" s="20"/>
      <c r="R289" s="50"/>
    </row>
    <row r="290" spans="1:18" ht="93" thickTop="1" thickBot="1" x14ac:dyDescent="0.25">
      <c r="A290" s="103" t="s">
        <v>546</v>
      </c>
      <c r="B290" s="103" t="s">
        <v>297</v>
      </c>
      <c r="C290" s="103" t="s">
        <v>283</v>
      </c>
      <c r="D290" s="103" t="s">
        <v>298</v>
      </c>
      <c r="E290" s="312">
        <f t="shared" si="239"/>
        <v>1350000</v>
      </c>
      <c r="F290" s="326">
        <f>(700000)+650000</f>
        <v>1350000</v>
      </c>
      <c r="G290" s="129"/>
      <c r="H290" s="129"/>
      <c r="I290" s="129"/>
      <c r="J290" s="328">
        <f t="shared" si="233"/>
        <v>0</v>
      </c>
      <c r="K290" s="462"/>
      <c r="L290" s="326"/>
      <c r="M290" s="326"/>
      <c r="N290" s="326"/>
      <c r="O290" s="459">
        <f t="shared" si="235"/>
        <v>0</v>
      </c>
      <c r="P290" s="328">
        <f t="shared" ref="P290:P295" si="240">E290+J290</f>
        <v>1350000</v>
      </c>
      <c r="Q290" s="20"/>
      <c r="R290" s="50"/>
    </row>
    <row r="291" spans="1:18" ht="48" thickTop="1" thickBot="1" x14ac:dyDescent="0.25">
      <c r="A291" s="103" t="s">
        <v>547</v>
      </c>
      <c r="B291" s="103" t="s">
        <v>289</v>
      </c>
      <c r="C291" s="103" t="s">
        <v>283</v>
      </c>
      <c r="D291" s="103" t="s">
        <v>290</v>
      </c>
      <c r="E291" s="312">
        <f t="shared" si="239"/>
        <v>290067971</v>
      </c>
      <c r="F291" s="326">
        <f>(273808011-650000-8450000)+25359960</f>
        <v>290067971</v>
      </c>
      <c r="G291" s="129"/>
      <c r="H291" s="326">
        <v>5000</v>
      </c>
      <c r="I291" s="129"/>
      <c r="J291" s="328">
        <f t="shared" si="233"/>
        <v>0</v>
      </c>
      <c r="K291" s="462">
        <v>0</v>
      </c>
      <c r="L291" s="326"/>
      <c r="M291" s="326"/>
      <c r="N291" s="326"/>
      <c r="O291" s="459">
        <f t="shared" si="235"/>
        <v>0</v>
      </c>
      <c r="P291" s="328">
        <f t="shared" si="240"/>
        <v>290067971</v>
      </c>
      <c r="Q291" s="20"/>
      <c r="R291" s="45"/>
    </row>
    <row r="292" spans="1:18" ht="48" thickTop="1" thickBot="1" x14ac:dyDescent="0.25">
      <c r="A292" s="103" t="s">
        <v>1148</v>
      </c>
      <c r="B292" s="103" t="s">
        <v>1149</v>
      </c>
      <c r="C292" s="103" t="s">
        <v>1150</v>
      </c>
      <c r="D292" s="103" t="s">
        <v>1147</v>
      </c>
      <c r="E292" s="312">
        <f t="shared" si="239"/>
        <v>258800</v>
      </c>
      <c r="F292" s="326">
        <v>258800</v>
      </c>
      <c r="G292" s="326"/>
      <c r="H292" s="326"/>
      <c r="I292" s="326"/>
      <c r="J292" s="328">
        <f t="shared" si="233"/>
        <v>0</v>
      </c>
      <c r="K292" s="462"/>
      <c r="L292" s="326"/>
      <c r="M292" s="326"/>
      <c r="N292" s="326"/>
      <c r="O292" s="459">
        <f t="shared" si="235"/>
        <v>0</v>
      </c>
      <c r="P292" s="328">
        <f t="shared" si="240"/>
        <v>258800</v>
      </c>
      <c r="Q292" s="20"/>
      <c r="R292" s="45"/>
    </row>
    <row r="293" spans="1:18" ht="47.25" thickTop="1" thickBot="1" x14ac:dyDescent="0.25">
      <c r="A293" s="311" t="s">
        <v>801</v>
      </c>
      <c r="B293" s="311" t="s">
        <v>748</v>
      </c>
      <c r="C293" s="311"/>
      <c r="D293" s="311" t="s">
        <v>749</v>
      </c>
      <c r="E293" s="312">
        <f>E294+E296+E299</f>
        <v>12000000</v>
      </c>
      <c r="F293" s="312">
        <f t="shared" ref="F293:P293" si="241">F294+F296+F299</f>
        <v>12000000</v>
      </c>
      <c r="G293" s="312">
        <f t="shared" si="241"/>
        <v>0</v>
      </c>
      <c r="H293" s="312">
        <f t="shared" si="241"/>
        <v>0</v>
      </c>
      <c r="I293" s="312">
        <f t="shared" si="241"/>
        <v>0</v>
      </c>
      <c r="J293" s="312">
        <f>J294+J296+J299</f>
        <v>24887422</v>
      </c>
      <c r="K293" s="312">
        <f t="shared" si="241"/>
        <v>24887422</v>
      </c>
      <c r="L293" s="312">
        <f t="shared" si="241"/>
        <v>0</v>
      </c>
      <c r="M293" s="312">
        <f t="shared" si="241"/>
        <v>0</v>
      </c>
      <c r="N293" s="312">
        <f t="shared" si="241"/>
        <v>0</v>
      </c>
      <c r="O293" s="312">
        <f t="shared" si="241"/>
        <v>24887422</v>
      </c>
      <c r="P293" s="312">
        <f t="shared" si="241"/>
        <v>36887422</v>
      </c>
      <c r="Q293" s="20"/>
      <c r="R293" s="50"/>
    </row>
    <row r="294" spans="1:18" ht="47.25" hidden="1" thickTop="1" thickBot="1" x14ac:dyDescent="0.25">
      <c r="A294" s="313" t="s">
        <v>802</v>
      </c>
      <c r="B294" s="313" t="s">
        <v>803</v>
      </c>
      <c r="C294" s="313"/>
      <c r="D294" s="313" t="s">
        <v>804</v>
      </c>
      <c r="E294" s="314">
        <f>E295</f>
        <v>0</v>
      </c>
      <c r="F294" s="314">
        <f t="shared" ref="F294:P294" si="242">F295</f>
        <v>0</v>
      </c>
      <c r="G294" s="314">
        <f t="shared" si="242"/>
        <v>0</v>
      </c>
      <c r="H294" s="314">
        <f t="shared" si="242"/>
        <v>0</v>
      </c>
      <c r="I294" s="314">
        <f t="shared" si="242"/>
        <v>0</v>
      </c>
      <c r="J294" s="314">
        <f t="shared" si="242"/>
        <v>0</v>
      </c>
      <c r="K294" s="314">
        <f t="shared" si="242"/>
        <v>0</v>
      </c>
      <c r="L294" s="314">
        <f t="shared" si="242"/>
        <v>0</v>
      </c>
      <c r="M294" s="314">
        <f t="shared" si="242"/>
        <v>0</v>
      </c>
      <c r="N294" s="314">
        <f t="shared" si="242"/>
        <v>0</v>
      </c>
      <c r="O294" s="314">
        <f t="shared" si="242"/>
        <v>0</v>
      </c>
      <c r="P294" s="314">
        <f t="shared" si="242"/>
        <v>0</v>
      </c>
      <c r="Q294" s="20"/>
      <c r="R294" s="50"/>
    </row>
    <row r="295" spans="1:18" ht="54" hidden="1" thickTop="1" thickBot="1" x14ac:dyDescent="0.25">
      <c r="A295" s="103" t="s">
        <v>548</v>
      </c>
      <c r="B295" s="103" t="s">
        <v>305</v>
      </c>
      <c r="C295" s="103" t="s">
        <v>304</v>
      </c>
      <c r="D295" s="103" t="s">
        <v>1502</v>
      </c>
      <c r="E295" s="312">
        <f t="shared" si="239"/>
        <v>0</v>
      </c>
      <c r="F295" s="326"/>
      <c r="G295" s="326"/>
      <c r="H295" s="326"/>
      <c r="I295" s="326"/>
      <c r="J295" s="328">
        <f>L295+O295</f>
        <v>0</v>
      </c>
      <c r="K295" s="462">
        <f>(131720)-131720</f>
        <v>0</v>
      </c>
      <c r="L295" s="326"/>
      <c r="M295" s="326"/>
      <c r="N295" s="326"/>
      <c r="O295" s="459">
        <f>K295</f>
        <v>0</v>
      </c>
      <c r="P295" s="328">
        <f t="shared" si="240"/>
        <v>0</v>
      </c>
      <c r="Q295" s="20"/>
      <c r="R295" s="45"/>
    </row>
    <row r="296" spans="1:18" ht="47.25" thickTop="1" thickBot="1" x14ac:dyDescent="0.25">
      <c r="A296" s="313" t="s">
        <v>805</v>
      </c>
      <c r="B296" s="313" t="s">
        <v>806</v>
      </c>
      <c r="C296" s="313"/>
      <c r="D296" s="313" t="s">
        <v>807</v>
      </c>
      <c r="E296" s="314">
        <f t="shared" ref="E296:P297" si="243">E297</f>
        <v>12000000</v>
      </c>
      <c r="F296" s="314">
        <f t="shared" si="243"/>
        <v>12000000</v>
      </c>
      <c r="G296" s="314">
        <f t="shared" si="243"/>
        <v>0</v>
      </c>
      <c r="H296" s="314">
        <f t="shared" si="243"/>
        <v>0</v>
      </c>
      <c r="I296" s="314">
        <f t="shared" si="243"/>
        <v>0</v>
      </c>
      <c r="J296" s="314">
        <f t="shared" si="243"/>
        <v>2935752</v>
      </c>
      <c r="K296" s="314">
        <f t="shared" si="243"/>
        <v>2935752</v>
      </c>
      <c r="L296" s="314">
        <f t="shared" si="243"/>
        <v>0</v>
      </c>
      <c r="M296" s="314">
        <f t="shared" si="243"/>
        <v>0</v>
      </c>
      <c r="N296" s="314">
        <f t="shared" si="243"/>
        <v>0</v>
      </c>
      <c r="O296" s="314">
        <f t="shared" si="243"/>
        <v>2935752</v>
      </c>
      <c r="P296" s="314">
        <f t="shared" si="243"/>
        <v>14935752</v>
      </c>
      <c r="Q296" s="20"/>
      <c r="R296" s="50"/>
    </row>
    <row r="297" spans="1:18" ht="93" thickTop="1" thickBot="1" x14ac:dyDescent="0.25">
      <c r="A297" s="103" t="s">
        <v>957</v>
      </c>
      <c r="B297" s="329" t="s">
        <v>958</v>
      </c>
      <c r="C297" s="313"/>
      <c r="D297" s="329" t="s">
        <v>959</v>
      </c>
      <c r="E297" s="466">
        <f t="shared" si="243"/>
        <v>12000000</v>
      </c>
      <c r="F297" s="466">
        <f t="shared" si="243"/>
        <v>12000000</v>
      </c>
      <c r="G297" s="466">
        <f t="shared" si="243"/>
        <v>0</v>
      </c>
      <c r="H297" s="466">
        <f t="shared" si="243"/>
        <v>0</v>
      </c>
      <c r="I297" s="466">
        <f t="shared" si="243"/>
        <v>0</v>
      </c>
      <c r="J297" s="466">
        <f t="shared" si="243"/>
        <v>2935752</v>
      </c>
      <c r="K297" s="466">
        <f t="shared" si="243"/>
        <v>2935752</v>
      </c>
      <c r="L297" s="466">
        <f t="shared" si="243"/>
        <v>0</v>
      </c>
      <c r="M297" s="466">
        <f t="shared" si="243"/>
        <v>0</v>
      </c>
      <c r="N297" s="466">
        <f t="shared" si="243"/>
        <v>0</v>
      </c>
      <c r="O297" s="466">
        <f t="shared" si="243"/>
        <v>2935752</v>
      </c>
      <c r="P297" s="466">
        <f t="shared" si="243"/>
        <v>14935752</v>
      </c>
      <c r="Q297" s="20"/>
      <c r="R297" s="50"/>
    </row>
    <row r="298" spans="1:18" ht="93" thickTop="1" thickBot="1" x14ac:dyDescent="0.25">
      <c r="A298" s="103" t="s">
        <v>549</v>
      </c>
      <c r="B298" s="103" t="s">
        <v>293</v>
      </c>
      <c r="C298" s="103" t="s">
        <v>295</v>
      </c>
      <c r="D298" s="103" t="s">
        <v>294</v>
      </c>
      <c r="E298" s="312">
        <f t="shared" si="239"/>
        <v>12000000</v>
      </c>
      <c r="F298" s="326">
        <f>18000000-3000000-3000000</f>
        <v>12000000</v>
      </c>
      <c r="G298" s="326"/>
      <c r="H298" s="326"/>
      <c r="I298" s="326"/>
      <c r="J298" s="328">
        <f t="shared" si="233"/>
        <v>2935752</v>
      </c>
      <c r="K298" s="326">
        <f>(2000000)+935752</f>
        <v>2935752</v>
      </c>
      <c r="L298" s="458"/>
      <c r="M298" s="458"/>
      <c r="N298" s="458"/>
      <c r="O298" s="459">
        <f>K298</f>
        <v>2935752</v>
      </c>
      <c r="P298" s="328">
        <f>+J298+E298</f>
        <v>14935752</v>
      </c>
      <c r="Q298" s="20"/>
      <c r="R298" s="45"/>
    </row>
    <row r="299" spans="1:18" ht="47.25" thickTop="1" thickBot="1" x14ac:dyDescent="0.25">
      <c r="A299" s="313" t="s">
        <v>808</v>
      </c>
      <c r="B299" s="313" t="s">
        <v>691</v>
      </c>
      <c r="C299" s="313"/>
      <c r="D299" s="313" t="s">
        <v>689</v>
      </c>
      <c r="E299" s="314">
        <f>SUM(E300:E305)-E302</f>
        <v>0</v>
      </c>
      <c r="F299" s="314">
        <f t="shared" ref="F299:P299" si="244">SUM(F300:F305)-F302</f>
        <v>0</v>
      </c>
      <c r="G299" s="314">
        <f t="shared" si="244"/>
        <v>0</v>
      </c>
      <c r="H299" s="314">
        <f t="shared" si="244"/>
        <v>0</v>
      </c>
      <c r="I299" s="314">
        <f t="shared" si="244"/>
        <v>0</v>
      </c>
      <c r="J299" s="314">
        <f t="shared" si="244"/>
        <v>21951670</v>
      </c>
      <c r="K299" s="314">
        <f t="shared" si="244"/>
        <v>21951670</v>
      </c>
      <c r="L299" s="314">
        <f t="shared" si="244"/>
        <v>0</v>
      </c>
      <c r="M299" s="314">
        <f t="shared" si="244"/>
        <v>0</v>
      </c>
      <c r="N299" s="314">
        <f t="shared" si="244"/>
        <v>0</v>
      </c>
      <c r="O299" s="314">
        <f t="shared" si="244"/>
        <v>21951670</v>
      </c>
      <c r="P299" s="314">
        <f t="shared" si="244"/>
        <v>21951670</v>
      </c>
      <c r="Q299" s="20"/>
      <c r="R299" s="45"/>
    </row>
    <row r="300" spans="1:18" ht="48" thickTop="1" thickBot="1" x14ac:dyDescent="0.25">
      <c r="A300" s="103" t="s">
        <v>550</v>
      </c>
      <c r="B300" s="103" t="s">
        <v>212</v>
      </c>
      <c r="C300" s="103" t="s">
        <v>213</v>
      </c>
      <c r="D300" s="103" t="s">
        <v>41</v>
      </c>
      <c r="E300" s="312">
        <f t="shared" si="239"/>
        <v>0</v>
      </c>
      <c r="F300" s="326"/>
      <c r="G300" s="326"/>
      <c r="H300" s="326"/>
      <c r="I300" s="326"/>
      <c r="J300" s="328">
        <f t="shared" si="233"/>
        <v>15563884</v>
      </c>
      <c r="K300" s="462">
        <f>(9760000)+5803884</f>
        <v>15563884</v>
      </c>
      <c r="L300" s="326"/>
      <c r="M300" s="326"/>
      <c r="N300" s="326"/>
      <c r="O300" s="459">
        <f t="shared" si="235"/>
        <v>15563884</v>
      </c>
      <c r="P300" s="328">
        <f>E300+J300</f>
        <v>15563884</v>
      </c>
      <c r="Q300" s="20"/>
      <c r="R300" s="45"/>
    </row>
    <row r="301" spans="1:18" ht="48" thickTop="1" thickBot="1" x14ac:dyDescent="0.25">
      <c r="A301" s="103" t="s">
        <v>551</v>
      </c>
      <c r="B301" s="103" t="s">
        <v>197</v>
      </c>
      <c r="C301" s="103" t="s">
        <v>170</v>
      </c>
      <c r="D301" s="103" t="s">
        <v>34</v>
      </c>
      <c r="E301" s="312">
        <f t="shared" si="239"/>
        <v>0</v>
      </c>
      <c r="F301" s="326"/>
      <c r="G301" s="326"/>
      <c r="H301" s="326"/>
      <c r="I301" s="326"/>
      <c r="J301" s="328">
        <f t="shared" si="233"/>
        <v>6387786</v>
      </c>
      <c r="K301" s="462">
        <f>(96120)+6291666</f>
        <v>6387786</v>
      </c>
      <c r="L301" s="326"/>
      <c r="M301" s="326"/>
      <c r="N301" s="326"/>
      <c r="O301" s="459">
        <f t="shared" si="235"/>
        <v>6387786</v>
      </c>
      <c r="P301" s="328">
        <f>E301+J301</f>
        <v>6387786</v>
      </c>
      <c r="Q301" s="20"/>
      <c r="R301" s="45"/>
    </row>
    <row r="302" spans="1:18" ht="48" hidden="1" thickTop="1" thickBot="1" x14ac:dyDescent="0.25">
      <c r="A302" s="329" t="s">
        <v>809</v>
      </c>
      <c r="B302" s="329" t="s">
        <v>694</v>
      </c>
      <c r="C302" s="140"/>
      <c r="D302" s="140" t="s">
        <v>797</v>
      </c>
      <c r="E302" s="158">
        <f t="shared" ref="E302:P302" si="245">E303+E305</f>
        <v>0</v>
      </c>
      <c r="F302" s="158">
        <f t="shared" si="245"/>
        <v>0</v>
      </c>
      <c r="G302" s="158">
        <f t="shared" si="245"/>
        <v>0</v>
      </c>
      <c r="H302" s="158">
        <f t="shared" si="245"/>
        <v>0</v>
      </c>
      <c r="I302" s="158">
        <f t="shared" si="245"/>
        <v>0</v>
      </c>
      <c r="J302" s="158">
        <f t="shared" si="245"/>
        <v>0</v>
      </c>
      <c r="K302" s="158">
        <f t="shared" si="245"/>
        <v>0</v>
      </c>
      <c r="L302" s="158">
        <f t="shared" si="245"/>
        <v>0</v>
      </c>
      <c r="M302" s="158">
        <f t="shared" si="245"/>
        <v>0</v>
      </c>
      <c r="N302" s="158">
        <f t="shared" si="245"/>
        <v>0</v>
      </c>
      <c r="O302" s="158">
        <f t="shared" si="245"/>
        <v>0</v>
      </c>
      <c r="P302" s="158">
        <f t="shared" si="245"/>
        <v>0</v>
      </c>
      <c r="Q302" s="20"/>
      <c r="R302" s="50"/>
    </row>
    <row r="303" spans="1:18" ht="211.5" hidden="1" customHeight="1" thickTop="1" thickBot="1" x14ac:dyDescent="0.7">
      <c r="A303" s="796" t="s">
        <v>552</v>
      </c>
      <c r="B303" s="796" t="s">
        <v>338</v>
      </c>
      <c r="C303" s="797" t="s">
        <v>170</v>
      </c>
      <c r="D303" s="155" t="s">
        <v>440</v>
      </c>
      <c r="E303" s="800"/>
      <c r="F303" s="781"/>
      <c r="G303" s="781"/>
      <c r="H303" s="781"/>
      <c r="I303" s="781"/>
      <c r="J303" s="800">
        <f t="shared" si="233"/>
        <v>0</v>
      </c>
      <c r="K303" s="781"/>
      <c r="L303" s="781">
        <v>0</v>
      </c>
      <c r="M303" s="781"/>
      <c r="N303" s="781"/>
      <c r="O303" s="785"/>
      <c r="P303" s="782">
        <f>E303+J303</f>
        <v>0</v>
      </c>
      <c r="Q303" s="20"/>
      <c r="R303" s="50"/>
    </row>
    <row r="304" spans="1:18" ht="130.5" hidden="1" customHeight="1" thickTop="1" thickBot="1" x14ac:dyDescent="0.25">
      <c r="A304" s="796"/>
      <c r="B304" s="796"/>
      <c r="C304" s="797"/>
      <c r="D304" s="156" t="s">
        <v>441</v>
      </c>
      <c r="E304" s="800"/>
      <c r="F304" s="781"/>
      <c r="G304" s="781"/>
      <c r="H304" s="781"/>
      <c r="I304" s="781"/>
      <c r="J304" s="800"/>
      <c r="K304" s="781"/>
      <c r="L304" s="781"/>
      <c r="M304" s="781"/>
      <c r="N304" s="781"/>
      <c r="O304" s="785"/>
      <c r="P304" s="782"/>
      <c r="Q304" s="20"/>
      <c r="R304" s="50"/>
    </row>
    <row r="305" spans="1:18" ht="39" hidden="1" customHeight="1" thickTop="1" thickBot="1" x14ac:dyDescent="0.25">
      <c r="A305" s="103" t="s">
        <v>1183</v>
      </c>
      <c r="B305" s="103" t="s">
        <v>257</v>
      </c>
      <c r="C305" s="128" t="s">
        <v>170</v>
      </c>
      <c r="D305" s="156" t="s">
        <v>255</v>
      </c>
      <c r="E305" s="152">
        <f t="shared" ref="E305" si="246">F305</f>
        <v>0</v>
      </c>
      <c r="F305" s="129"/>
      <c r="G305" s="129"/>
      <c r="H305" s="129"/>
      <c r="I305" s="129"/>
      <c r="J305" s="127">
        <f t="shared" ref="J305" si="247">L305+O305</f>
        <v>0</v>
      </c>
      <c r="K305" s="134"/>
      <c r="L305" s="129"/>
      <c r="M305" s="129"/>
      <c r="N305" s="129"/>
      <c r="O305" s="132">
        <f t="shared" ref="O305" si="248">K305</f>
        <v>0</v>
      </c>
      <c r="P305" s="127">
        <f>E305+J305</f>
        <v>0</v>
      </c>
      <c r="Q305" s="20"/>
      <c r="R305" s="50"/>
    </row>
    <row r="306" spans="1:18" ht="47.25" thickTop="1" thickBot="1" x14ac:dyDescent="0.25">
      <c r="A306" s="311" t="s">
        <v>810</v>
      </c>
      <c r="B306" s="311" t="s">
        <v>696</v>
      </c>
      <c r="C306" s="311"/>
      <c r="D306" s="471" t="s">
        <v>697</v>
      </c>
      <c r="E306" s="328">
        <f>E307</f>
        <v>4515145</v>
      </c>
      <c r="F306" s="328">
        <f t="shared" ref="F306:P306" si="249">F307</f>
        <v>4515145</v>
      </c>
      <c r="G306" s="328">
        <f t="shared" si="249"/>
        <v>1953964</v>
      </c>
      <c r="H306" s="328">
        <f t="shared" si="249"/>
        <v>53880</v>
      </c>
      <c r="I306" s="328">
        <f t="shared" si="249"/>
        <v>0</v>
      </c>
      <c r="J306" s="328">
        <f t="shared" si="249"/>
        <v>0</v>
      </c>
      <c r="K306" s="328">
        <f t="shared" si="249"/>
        <v>0</v>
      </c>
      <c r="L306" s="328">
        <f t="shared" si="249"/>
        <v>0</v>
      </c>
      <c r="M306" s="328">
        <f t="shared" si="249"/>
        <v>0</v>
      </c>
      <c r="N306" s="328">
        <f t="shared" si="249"/>
        <v>0</v>
      </c>
      <c r="O306" s="328">
        <f t="shared" si="249"/>
        <v>0</v>
      </c>
      <c r="P306" s="328">
        <f t="shared" si="249"/>
        <v>4515145</v>
      </c>
      <c r="Q306" s="20"/>
      <c r="R306" s="50"/>
    </row>
    <row r="307" spans="1:18" ht="47.25" thickTop="1" thickBot="1" x14ac:dyDescent="0.25">
      <c r="A307" s="313" t="s">
        <v>811</v>
      </c>
      <c r="B307" s="313" t="s">
        <v>812</v>
      </c>
      <c r="C307" s="313"/>
      <c r="D307" s="356" t="s">
        <v>1281</v>
      </c>
      <c r="E307" s="315">
        <f>SUM(E308:E310)</f>
        <v>4515145</v>
      </c>
      <c r="F307" s="315">
        <f t="shared" ref="F307:P307" si="250">SUM(F308:F310)</f>
        <v>4515145</v>
      </c>
      <c r="G307" s="315">
        <f t="shared" si="250"/>
        <v>1953964</v>
      </c>
      <c r="H307" s="315">
        <f t="shared" si="250"/>
        <v>53880</v>
      </c>
      <c r="I307" s="315">
        <f t="shared" si="250"/>
        <v>0</v>
      </c>
      <c r="J307" s="315">
        <f t="shared" si="250"/>
        <v>0</v>
      </c>
      <c r="K307" s="315">
        <f t="shared" si="250"/>
        <v>0</v>
      </c>
      <c r="L307" s="315">
        <f t="shared" si="250"/>
        <v>0</v>
      </c>
      <c r="M307" s="315">
        <f t="shared" si="250"/>
        <v>0</v>
      </c>
      <c r="N307" s="315">
        <f t="shared" si="250"/>
        <v>0</v>
      </c>
      <c r="O307" s="315">
        <f t="shared" si="250"/>
        <v>0</v>
      </c>
      <c r="P307" s="315">
        <f t="shared" si="250"/>
        <v>4515145</v>
      </c>
      <c r="Q307" s="20"/>
      <c r="R307" s="50"/>
    </row>
    <row r="308" spans="1:18" ht="93" thickTop="1" thickBot="1" x14ac:dyDescent="0.25">
      <c r="A308" s="103" t="s">
        <v>553</v>
      </c>
      <c r="B308" s="103" t="s">
        <v>518</v>
      </c>
      <c r="C308" s="103" t="s">
        <v>251</v>
      </c>
      <c r="D308" s="103" t="s">
        <v>519</v>
      </c>
      <c r="E308" s="312">
        <f>F308</f>
        <v>2000000</v>
      </c>
      <c r="F308" s="326">
        <v>2000000</v>
      </c>
      <c r="G308" s="326"/>
      <c r="H308" s="326"/>
      <c r="I308" s="326"/>
      <c r="J308" s="328">
        <f>L308+O308</f>
        <v>0</v>
      </c>
      <c r="K308" s="462">
        <v>0</v>
      </c>
      <c r="L308" s="326"/>
      <c r="M308" s="326"/>
      <c r="N308" s="326"/>
      <c r="O308" s="459">
        <f>K308</f>
        <v>0</v>
      </c>
      <c r="P308" s="328">
        <f>E308+J308</f>
        <v>2000000</v>
      </c>
      <c r="Q308" s="20"/>
      <c r="R308" s="50"/>
    </row>
    <row r="309" spans="1:18" ht="48" thickTop="1" thickBot="1" x14ac:dyDescent="0.25">
      <c r="A309" s="103" t="s">
        <v>554</v>
      </c>
      <c r="B309" s="103" t="s">
        <v>250</v>
      </c>
      <c r="C309" s="103" t="s">
        <v>251</v>
      </c>
      <c r="D309" s="103" t="s">
        <v>249</v>
      </c>
      <c r="E309" s="312">
        <f t="shared" ref="E309:E310" si="251">F309</f>
        <v>2515145</v>
      </c>
      <c r="F309" s="326">
        <v>2515145</v>
      </c>
      <c r="G309" s="326">
        <v>1953964</v>
      </c>
      <c r="H309" s="326">
        <f>2500+35000+16380</f>
        <v>53880</v>
      </c>
      <c r="I309" s="326"/>
      <c r="J309" s="328">
        <f>L309+O309</f>
        <v>0</v>
      </c>
      <c r="K309" s="462">
        <v>0</v>
      </c>
      <c r="L309" s="326"/>
      <c r="M309" s="326"/>
      <c r="N309" s="326"/>
      <c r="O309" s="459">
        <f>K309</f>
        <v>0</v>
      </c>
      <c r="P309" s="328">
        <f>E309+J309</f>
        <v>2515145</v>
      </c>
      <c r="Q309" s="20"/>
      <c r="R309" s="46"/>
    </row>
    <row r="310" spans="1:18" ht="48" hidden="1" thickTop="1" thickBot="1" x14ac:dyDescent="0.25">
      <c r="A310" s="41" t="s">
        <v>555</v>
      </c>
      <c r="B310" s="41" t="s">
        <v>556</v>
      </c>
      <c r="C310" s="41" t="s">
        <v>251</v>
      </c>
      <c r="D310" s="41" t="s">
        <v>557</v>
      </c>
      <c r="E310" s="160">
        <f t="shared" si="251"/>
        <v>0</v>
      </c>
      <c r="F310" s="161">
        <f>(1219000)-1219000</f>
        <v>0</v>
      </c>
      <c r="G310" s="161">
        <f>(354000+540000)-894000</f>
        <v>0</v>
      </c>
      <c r="H310" s="161">
        <f>(6000+3000)-9000</f>
        <v>0</v>
      </c>
      <c r="I310" s="161"/>
      <c r="J310" s="42">
        <f>L310+O310</f>
        <v>0</v>
      </c>
      <c r="K310" s="43"/>
      <c r="L310" s="161"/>
      <c r="M310" s="161"/>
      <c r="N310" s="161"/>
      <c r="O310" s="44">
        <f>K310</f>
        <v>0</v>
      </c>
      <c r="P310" s="42">
        <f>E310+J310</f>
        <v>0</v>
      </c>
      <c r="Q310" s="20"/>
      <c r="R310" s="50"/>
    </row>
    <row r="311" spans="1:18" ht="47.25" hidden="1" thickTop="1" thickBot="1" x14ac:dyDescent="0.25">
      <c r="A311" s="125" t="s">
        <v>1483</v>
      </c>
      <c r="B311" s="125" t="s">
        <v>702</v>
      </c>
      <c r="C311" s="125"/>
      <c r="D311" s="125" t="s">
        <v>703</v>
      </c>
      <c r="E311" s="127">
        <f>E312</f>
        <v>0</v>
      </c>
      <c r="F311" s="127">
        <f t="shared" ref="F311:P312" si="252">F312</f>
        <v>0</v>
      </c>
      <c r="G311" s="127">
        <f t="shared" si="252"/>
        <v>0</v>
      </c>
      <c r="H311" s="127">
        <f t="shared" si="252"/>
        <v>0</v>
      </c>
      <c r="I311" s="127">
        <f t="shared" si="252"/>
        <v>0</v>
      </c>
      <c r="J311" s="127">
        <f t="shared" si="252"/>
        <v>0</v>
      </c>
      <c r="K311" s="127">
        <f t="shared" si="252"/>
        <v>0</v>
      </c>
      <c r="L311" s="127">
        <f t="shared" si="252"/>
        <v>0</v>
      </c>
      <c r="M311" s="127">
        <f t="shared" si="252"/>
        <v>0</v>
      </c>
      <c r="N311" s="127">
        <f t="shared" si="252"/>
        <v>0</v>
      </c>
      <c r="O311" s="127">
        <f t="shared" si="252"/>
        <v>0</v>
      </c>
      <c r="P311" s="127">
        <f t="shared" si="252"/>
        <v>0</v>
      </c>
      <c r="Q311" s="20"/>
      <c r="R311" s="50"/>
    </row>
    <row r="312" spans="1:18" ht="91.5" hidden="1" thickTop="1" thickBot="1" x14ac:dyDescent="0.25">
      <c r="A312" s="136" t="s">
        <v>1484</v>
      </c>
      <c r="B312" s="136" t="s">
        <v>705</v>
      </c>
      <c r="C312" s="136"/>
      <c r="D312" s="136" t="s">
        <v>706</v>
      </c>
      <c r="E312" s="137">
        <f>E313</f>
        <v>0</v>
      </c>
      <c r="F312" s="137">
        <f t="shared" si="252"/>
        <v>0</v>
      </c>
      <c r="G312" s="137">
        <f t="shared" si="252"/>
        <v>0</v>
      </c>
      <c r="H312" s="137">
        <f t="shared" si="252"/>
        <v>0</v>
      </c>
      <c r="I312" s="137">
        <f t="shared" si="252"/>
        <v>0</v>
      </c>
      <c r="J312" s="137">
        <f t="shared" si="252"/>
        <v>0</v>
      </c>
      <c r="K312" s="137">
        <f t="shared" si="252"/>
        <v>0</v>
      </c>
      <c r="L312" s="137">
        <f t="shared" si="252"/>
        <v>0</v>
      </c>
      <c r="M312" s="137">
        <f t="shared" si="252"/>
        <v>0</v>
      </c>
      <c r="N312" s="137">
        <f t="shared" si="252"/>
        <v>0</v>
      </c>
      <c r="O312" s="137">
        <f t="shared" si="252"/>
        <v>0</v>
      </c>
      <c r="P312" s="137">
        <f t="shared" si="252"/>
        <v>0</v>
      </c>
      <c r="Q312" s="20"/>
      <c r="R312" s="50"/>
    </row>
    <row r="313" spans="1:18" ht="48" hidden="1" thickTop="1" thickBot="1" x14ac:dyDescent="0.25">
      <c r="A313" s="128" t="s">
        <v>1485</v>
      </c>
      <c r="B313" s="128" t="s">
        <v>363</v>
      </c>
      <c r="C313" s="128" t="s">
        <v>43</v>
      </c>
      <c r="D313" s="128" t="s">
        <v>364</v>
      </c>
      <c r="E313" s="127">
        <f t="shared" ref="E313" si="253">F313</f>
        <v>0</v>
      </c>
      <c r="F313" s="134"/>
      <c r="G313" s="134"/>
      <c r="H313" s="134"/>
      <c r="I313" s="134"/>
      <c r="J313" s="127">
        <f>L313+O313</f>
        <v>0</v>
      </c>
      <c r="K313" s="134">
        <v>0</v>
      </c>
      <c r="L313" s="134"/>
      <c r="M313" s="134"/>
      <c r="N313" s="134"/>
      <c r="O313" s="132">
        <f>K313</f>
        <v>0</v>
      </c>
      <c r="P313" s="127">
        <f>E313+J313</f>
        <v>0</v>
      </c>
      <c r="Q313" s="20"/>
      <c r="R313" s="50"/>
    </row>
    <row r="314" spans="1:18" ht="120" customHeight="1" thickTop="1" thickBot="1" x14ac:dyDescent="0.25">
      <c r="A314" s="661" t="s">
        <v>25</v>
      </c>
      <c r="B314" s="661"/>
      <c r="C314" s="661"/>
      <c r="D314" s="662" t="s">
        <v>1347</v>
      </c>
      <c r="E314" s="663">
        <f>E315</f>
        <v>3767165</v>
      </c>
      <c r="F314" s="664">
        <f t="shared" ref="F314:G314" si="254">F315</f>
        <v>3767165</v>
      </c>
      <c r="G314" s="664">
        <f t="shared" si="254"/>
        <v>2744545</v>
      </c>
      <c r="H314" s="664">
        <f>H315</f>
        <v>129800</v>
      </c>
      <c r="I314" s="664">
        <f t="shared" ref="I314" si="255">I315</f>
        <v>0</v>
      </c>
      <c r="J314" s="663">
        <f>J315</f>
        <v>45425815.939999998</v>
      </c>
      <c r="K314" s="664">
        <f>K315</f>
        <v>45425815.939999998</v>
      </c>
      <c r="L314" s="664">
        <f>L315</f>
        <v>0</v>
      </c>
      <c r="M314" s="664">
        <f t="shared" ref="M314" si="256">M315</f>
        <v>0</v>
      </c>
      <c r="N314" s="664">
        <f>N315</f>
        <v>0</v>
      </c>
      <c r="O314" s="663">
        <f>O315</f>
        <v>45425815.939999998</v>
      </c>
      <c r="P314" s="664">
        <f t="shared" ref="P314" si="257">P315</f>
        <v>49192980.939999998</v>
      </c>
      <c r="Q314" s="20"/>
    </row>
    <row r="315" spans="1:18" ht="120" customHeight="1" thickTop="1" thickBot="1" x14ac:dyDescent="0.25">
      <c r="A315" s="658" t="s">
        <v>26</v>
      </c>
      <c r="B315" s="658"/>
      <c r="C315" s="658"/>
      <c r="D315" s="659" t="s">
        <v>892</v>
      </c>
      <c r="E315" s="660">
        <f>E316+E322+E325+E320</f>
        <v>3767165</v>
      </c>
      <c r="F315" s="660">
        <f>F316+F322+F325+F320</f>
        <v>3767165</v>
      </c>
      <c r="G315" s="660">
        <f>G316+G322+G325+G320</f>
        <v>2744545</v>
      </c>
      <c r="H315" s="660">
        <f>H316+H322+H325+H320</f>
        <v>129800</v>
      </c>
      <c r="I315" s="660">
        <f>I316+I322+I325+I320</f>
        <v>0</v>
      </c>
      <c r="J315" s="660">
        <f>L315+O315</f>
        <v>45425815.939999998</v>
      </c>
      <c r="K315" s="660">
        <f>K316+K322+K325+K320</f>
        <v>45425815.939999998</v>
      </c>
      <c r="L315" s="660">
        <f>L316+L322+L325+L320</f>
        <v>0</v>
      </c>
      <c r="M315" s="660">
        <f>M316+M322+M325+M320</f>
        <v>0</v>
      </c>
      <c r="N315" s="660">
        <f>N316+N322+N325+N320</f>
        <v>0</v>
      </c>
      <c r="O315" s="660">
        <f>O316+O322+O325+O320</f>
        <v>45425815.939999998</v>
      </c>
      <c r="P315" s="660">
        <f>E315+J315</f>
        <v>49192980.939999998</v>
      </c>
      <c r="Q315" s="503" t="b">
        <f>P315=P317+P329+P332+P321</f>
        <v>1</v>
      </c>
      <c r="R315" s="46"/>
    </row>
    <row r="316" spans="1:18" ht="47.25" thickTop="1" thickBot="1" x14ac:dyDescent="0.25">
      <c r="A316" s="311" t="s">
        <v>813</v>
      </c>
      <c r="B316" s="311" t="s">
        <v>684</v>
      </c>
      <c r="C316" s="311"/>
      <c r="D316" s="311" t="s">
        <v>685</v>
      </c>
      <c r="E316" s="328">
        <f t="shared" ref="E316:P316" si="258">SUM(E317:E319)</f>
        <v>3767165</v>
      </c>
      <c r="F316" s="328">
        <f t="shared" si="258"/>
        <v>3767165</v>
      </c>
      <c r="G316" s="328">
        <f t="shared" si="258"/>
        <v>2744545</v>
      </c>
      <c r="H316" s="328">
        <f t="shared" si="258"/>
        <v>129800</v>
      </c>
      <c r="I316" s="328">
        <f t="shared" si="258"/>
        <v>0</v>
      </c>
      <c r="J316" s="328">
        <f t="shared" si="258"/>
        <v>0</v>
      </c>
      <c r="K316" s="328">
        <f t="shared" si="258"/>
        <v>0</v>
      </c>
      <c r="L316" s="328">
        <f t="shared" si="258"/>
        <v>0</v>
      </c>
      <c r="M316" s="328">
        <f t="shared" si="258"/>
        <v>0</v>
      </c>
      <c r="N316" s="328">
        <f t="shared" si="258"/>
        <v>0</v>
      </c>
      <c r="O316" s="328">
        <f t="shared" si="258"/>
        <v>0</v>
      </c>
      <c r="P316" s="328">
        <f t="shared" si="258"/>
        <v>3767165</v>
      </c>
      <c r="Q316" s="47"/>
      <c r="R316" s="46"/>
    </row>
    <row r="317" spans="1:18" ht="93" thickTop="1" thickBot="1" x14ac:dyDescent="0.25">
      <c r="A317" s="103" t="s">
        <v>417</v>
      </c>
      <c r="B317" s="103" t="s">
        <v>236</v>
      </c>
      <c r="C317" s="103" t="s">
        <v>234</v>
      </c>
      <c r="D317" s="103" t="s">
        <v>235</v>
      </c>
      <c r="E317" s="328">
        <f>F317</f>
        <v>3767165</v>
      </c>
      <c r="F317" s="462">
        <v>3767165</v>
      </c>
      <c r="G317" s="462">
        <v>2744545</v>
      </c>
      <c r="H317" s="462">
        <v>129800</v>
      </c>
      <c r="I317" s="462"/>
      <c r="J317" s="328">
        <f t="shared" ref="J317:J333" si="259">L317+O317</f>
        <v>0</v>
      </c>
      <c r="K317" s="462"/>
      <c r="L317" s="462"/>
      <c r="M317" s="462"/>
      <c r="N317" s="462"/>
      <c r="O317" s="459">
        <f>K317</f>
        <v>0</v>
      </c>
      <c r="P317" s="328">
        <f t="shared" ref="P317:P333" si="260">E317+J317</f>
        <v>3767165</v>
      </c>
      <c r="Q317" s="47"/>
      <c r="R317" s="50"/>
    </row>
    <row r="318" spans="1:18" ht="93" hidden="1" thickTop="1" thickBot="1" x14ac:dyDescent="0.25">
      <c r="A318" s="128" t="s">
        <v>630</v>
      </c>
      <c r="B318" s="128" t="s">
        <v>362</v>
      </c>
      <c r="C318" s="128" t="s">
        <v>625</v>
      </c>
      <c r="D318" s="128" t="s">
        <v>626</v>
      </c>
      <c r="E318" s="152">
        <f>F318</f>
        <v>0</v>
      </c>
      <c r="F318" s="129">
        <v>0</v>
      </c>
      <c r="G318" s="129"/>
      <c r="H318" s="129"/>
      <c r="I318" s="129"/>
      <c r="J318" s="127">
        <f t="shared" si="259"/>
        <v>0</v>
      </c>
      <c r="K318" s="129"/>
      <c r="L318" s="130"/>
      <c r="M318" s="130"/>
      <c r="N318" s="130"/>
      <c r="O318" s="132">
        <f t="shared" ref="O318:O319" si="261">K318</f>
        <v>0</v>
      </c>
      <c r="P318" s="127">
        <f t="shared" ref="P318:P319" si="262">+J318+E318</f>
        <v>0</v>
      </c>
      <c r="Q318" s="47"/>
      <c r="R318" s="50"/>
    </row>
    <row r="319" spans="1:18" ht="48" hidden="1" thickTop="1" thickBot="1" x14ac:dyDescent="0.25">
      <c r="A319" s="128" t="s">
        <v>928</v>
      </c>
      <c r="B319" s="128" t="s">
        <v>43</v>
      </c>
      <c r="C319" s="128" t="s">
        <v>42</v>
      </c>
      <c r="D319" s="128" t="s">
        <v>248</v>
      </c>
      <c r="E319" s="127">
        <f>F319</f>
        <v>0</v>
      </c>
      <c r="F319" s="134">
        <v>0</v>
      </c>
      <c r="G319" s="134"/>
      <c r="H319" s="134"/>
      <c r="I319" s="134"/>
      <c r="J319" s="127">
        <f t="shared" si="259"/>
        <v>0</v>
      </c>
      <c r="K319" s="129"/>
      <c r="L319" s="130"/>
      <c r="M319" s="130"/>
      <c r="N319" s="130"/>
      <c r="O319" s="132">
        <f t="shared" si="261"/>
        <v>0</v>
      </c>
      <c r="P319" s="127">
        <f t="shared" si="262"/>
        <v>0</v>
      </c>
      <c r="Q319" s="47"/>
      <c r="R319" s="50"/>
    </row>
    <row r="320" spans="1:18" ht="47.25" thickTop="1" thickBot="1" x14ac:dyDescent="0.25">
      <c r="A320" s="311" t="s">
        <v>1235</v>
      </c>
      <c r="B320" s="311" t="s">
        <v>711</v>
      </c>
      <c r="C320" s="311"/>
      <c r="D320" s="311" t="s">
        <v>712</v>
      </c>
      <c r="E320" s="328">
        <f t="shared" ref="E320:P320" si="263">SUM(E321:E321)</f>
        <v>0</v>
      </c>
      <c r="F320" s="328">
        <f t="shared" si="263"/>
        <v>0</v>
      </c>
      <c r="G320" s="328">
        <f t="shared" si="263"/>
        <v>0</v>
      </c>
      <c r="H320" s="328">
        <f t="shared" si="263"/>
        <v>0</v>
      </c>
      <c r="I320" s="328">
        <f t="shared" si="263"/>
        <v>0</v>
      </c>
      <c r="J320" s="328">
        <f t="shared" si="263"/>
        <v>1900000</v>
      </c>
      <c r="K320" s="328">
        <f t="shared" si="263"/>
        <v>1900000</v>
      </c>
      <c r="L320" s="328">
        <f t="shared" si="263"/>
        <v>0</v>
      </c>
      <c r="M320" s="328">
        <f t="shared" si="263"/>
        <v>0</v>
      </c>
      <c r="N320" s="328">
        <f t="shared" si="263"/>
        <v>0</v>
      </c>
      <c r="O320" s="328">
        <f t="shared" si="263"/>
        <v>1900000</v>
      </c>
      <c r="P320" s="328">
        <f t="shared" si="263"/>
        <v>1900000</v>
      </c>
      <c r="Q320" s="47"/>
      <c r="R320" s="50"/>
    </row>
    <row r="321" spans="1:18" ht="93" thickTop="1" thickBot="1" x14ac:dyDescent="0.25">
      <c r="A321" s="103" t="s">
        <v>1236</v>
      </c>
      <c r="B321" s="103" t="s">
        <v>1200</v>
      </c>
      <c r="C321" s="103" t="s">
        <v>206</v>
      </c>
      <c r="D321" s="470" t="s">
        <v>1201</v>
      </c>
      <c r="E321" s="328">
        <f t="shared" ref="E321" si="264">F321</f>
        <v>0</v>
      </c>
      <c r="F321" s="462">
        <v>0</v>
      </c>
      <c r="G321" s="462"/>
      <c r="H321" s="462"/>
      <c r="I321" s="462"/>
      <c r="J321" s="328">
        <f>L321+O321</f>
        <v>1900000</v>
      </c>
      <c r="K321" s="462">
        <f>(0)+2000000-100000</f>
        <v>1900000</v>
      </c>
      <c r="L321" s="462"/>
      <c r="M321" s="462"/>
      <c r="N321" s="462"/>
      <c r="O321" s="459">
        <f>K321</f>
        <v>1900000</v>
      </c>
      <c r="P321" s="328">
        <f>E321+J321</f>
        <v>1900000</v>
      </c>
      <c r="Q321" s="47"/>
      <c r="R321" s="50"/>
    </row>
    <row r="322" spans="1:18" ht="47.25" hidden="1" thickTop="1" thickBot="1" x14ac:dyDescent="0.25">
      <c r="A322" s="125" t="s">
        <v>814</v>
      </c>
      <c r="B322" s="125" t="s">
        <v>770</v>
      </c>
      <c r="C322" s="128"/>
      <c r="D322" s="125" t="s">
        <v>771</v>
      </c>
      <c r="E322" s="152">
        <f>E323</f>
        <v>0</v>
      </c>
      <c r="F322" s="152">
        <f t="shared" ref="F322:P323" si="265">F323</f>
        <v>0</v>
      </c>
      <c r="G322" s="152">
        <f t="shared" si="265"/>
        <v>0</v>
      </c>
      <c r="H322" s="152">
        <f t="shared" si="265"/>
        <v>0</v>
      </c>
      <c r="I322" s="152">
        <f t="shared" si="265"/>
        <v>0</v>
      </c>
      <c r="J322" s="152">
        <f t="shared" si="265"/>
        <v>0</v>
      </c>
      <c r="K322" s="152">
        <f t="shared" si="265"/>
        <v>0</v>
      </c>
      <c r="L322" s="152">
        <f t="shared" si="265"/>
        <v>0</v>
      </c>
      <c r="M322" s="152">
        <f t="shared" si="265"/>
        <v>0</v>
      </c>
      <c r="N322" s="152">
        <f t="shared" si="265"/>
        <v>0</v>
      </c>
      <c r="O322" s="152">
        <f t="shared" si="265"/>
        <v>0</v>
      </c>
      <c r="P322" s="152">
        <f t="shared" si="265"/>
        <v>0</v>
      </c>
      <c r="Q322" s="47"/>
      <c r="R322" s="50"/>
    </row>
    <row r="323" spans="1:18" ht="48" hidden="1" thickTop="1" thickBot="1" x14ac:dyDescent="0.25">
      <c r="A323" s="140" t="s">
        <v>815</v>
      </c>
      <c r="B323" s="140" t="s">
        <v>816</v>
      </c>
      <c r="C323" s="140"/>
      <c r="D323" s="140" t="s">
        <v>817</v>
      </c>
      <c r="E323" s="158">
        <f>E324</f>
        <v>0</v>
      </c>
      <c r="F323" s="158">
        <f t="shared" si="265"/>
        <v>0</v>
      </c>
      <c r="G323" s="158">
        <f t="shared" si="265"/>
        <v>0</v>
      </c>
      <c r="H323" s="158">
        <f t="shared" si="265"/>
        <v>0</v>
      </c>
      <c r="I323" s="158">
        <f t="shared" si="265"/>
        <v>0</v>
      </c>
      <c r="J323" s="158">
        <f t="shared" si="265"/>
        <v>0</v>
      </c>
      <c r="K323" s="158">
        <f t="shared" si="265"/>
        <v>0</v>
      </c>
      <c r="L323" s="158">
        <f t="shared" si="265"/>
        <v>0</v>
      </c>
      <c r="M323" s="158">
        <f t="shared" si="265"/>
        <v>0</v>
      </c>
      <c r="N323" s="158">
        <f t="shared" si="265"/>
        <v>0</v>
      </c>
      <c r="O323" s="158">
        <f t="shared" si="265"/>
        <v>0</v>
      </c>
      <c r="P323" s="158">
        <f t="shared" si="265"/>
        <v>0</v>
      </c>
      <c r="Q323" s="47"/>
      <c r="R323" s="50"/>
    </row>
    <row r="324" spans="1:18" ht="184.5" hidden="1" thickTop="1" thickBot="1" x14ac:dyDescent="0.25">
      <c r="A324" s="128" t="s">
        <v>433</v>
      </c>
      <c r="B324" s="128" t="s">
        <v>434</v>
      </c>
      <c r="C324" s="128" t="s">
        <v>195</v>
      </c>
      <c r="D324" s="128" t="s">
        <v>1178</v>
      </c>
      <c r="E324" s="127">
        <f t="shared" ref="E324:E331" si="266">F324</f>
        <v>0</v>
      </c>
      <c r="F324" s="134"/>
      <c r="G324" s="134"/>
      <c r="H324" s="134"/>
      <c r="I324" s="134"/>
      <c r="J324" s="127">
        <f t="shared" si="259"/>
        <v>0</v>
      </c>
      <c r="K324" s="134">
        <v>0</v>
      </c>
      <c r="L324" s="134"/>
      <c r="M324" s="134"/>
      <c r="N324" s="134"/>
      <c r="O324" s="132">
        <f t="shared" ref="O324" si="267">K324</f>
        <v>0</v>
      </c>
      <c r="P324" s="127">
        <f t="shared" si="260"/>
        <v>0</v>
      </c>
      <c r="Q324" s="47"/>
      <c r="R324" s="46"/>
    </row>
    <row r="325" spans="1:18" ht="47.25" thickTop="1" thickBot="1" x14ac:dyDescent="0.25">
      <c r="A325" s="311" t="s">
        <v>818</v>
      </c>
      <c r="B325" s="311" t="s">
        <v>748</v>
      </c>
      <c r="C325" s="103"/>
      <c r="D325" s="311" t="s">
        <v>794</v>
      </c>
      <c r="E325" s="328">
        <f>E326+E334</f>
        <v>0</v>
      </c>
      <c r="F325" s="328">
        <f t="shared" ref="F325:P325" si="268">F326+F334</f>
        <v>0</v>
      </c>
      <c r="G325" s="328">
        <f t="shared" si="268"/>
        <v>0</v>
      </c>
      <c r="H325" s="328">
        <f t="shared" si="268"/>
        <v>0</v>
      </c>
      <c r="I325" s="328">
        <f t="shared" si="268"/>
        <v>0</v>
      </c>
      <c r="J325" s="328">
        <f t="shared" si="268"/>
        <v>43525815.939999998</v>
      </c>
      <c r="K325" s="328">
        <f t="shared" si="268"/>
        <v>43525815.939999998</v>
      </c>
      <c r="L325" s="328">
        <f t="shared" si="268"/>
        <v>0</v>
      </c>
      <c r="M325" s="328">
        <f t="shared" si="268"/>
        <v>0</v>
      </c>
      <c r="N325" s="328">
        <f t="shared" si="268"/>
        <v>0</v>
      </c>
      <c r="O325" s="328">
        <f t="shared" si="268"/>
        <v>43525815.939999998</v>
      </c>
      <c r="P325" s="328">
        <f t="shared" si="268"/>
        <v>43525815.939999998</v>
      </c>
      <c r="Q325" s="45"/>
      <c r="R325" s="46"/>
    </row>
    <row r="326" spans="1:18" ht="47.25" thickTop="1" thickBot="1" x14ac:dyDescent="0.25">
      <c r="A326" s="313" t="s">
        <v>819</v>
      </c>
      <c r="B326" s="313" t="s">
        <v>803</v>
      </c>
      <c r="C326" s="313"/>
      <c r="D326" s="313" t="s">
        <v>804</v>
      </c>
      <c r="E326" s="315">
        <f t="shared" ref="E326:P326" si="269">SUM(E327:E333)-E328</f>
        <v>0</v>
      </c>
      <c r="F326" s="315">
        <f t="shared" si="269"/>
        <v>0</v>
      </c>
      <c r="G326" s="315">
        <f t="shared" si="269"/>
        <v>0</v>
      </c>
      <c r="H326" s="315">
        <f t="shared" si="269"/>
        <v>0</v>
      </c>
      <c r="I326" s="315">
        <f t="shared" si="269"/>
        <v>0</v>
      </c>
      <c r="J326" s="315">
        <f t="shared" si="269"/>
        <v>43525815.939999998</v>
      </c>
      <c r="K326" s="315">
        <f t="shared" si="269"/>
        <v>43525815.939999998</v>
      </c>
      <c r="L326" s="315">
        <f t="shared" si="269"/>
        <v>0</v>
      </c>
      <c r="M326" s="315">
        <f t="shared" si="269"/>
        <v>0</v>
      </c>
      <c r="N326" s="315">
        <f t="shared" si="269"/>
        <v>0</v>
      </c>
      <c r="O326" s="315">
        <f t="shared" si="269"/>
        <v>43525815.939999998</v>
      </c>
      <c r="P326" s="315">
        <f t="shared" si="269"/>
        <v>43525815.939999998</v>
      </c>
      <c r="Q326" s="45"/>
      <c r="R326" s="46"/>
    </row>
    <row r="327" spans="1:18" ht="54" hidden="1" thickTop="1" thickBot="1" x14ac:dyDescent="0.25">
      <c r="A327" s="103" t="s">
        <v>927</v>
      </c>
      <c r="B327" s="103" t="s">
        <v>305</v>
      </c>
      <c r="C327" s="103" t="s">
        <v>304</v>
      </c>
      <c r="D327" s="103" t="s">
        <v>1502</v>
      </c>
      <c r="E327" s="328">
        <f t="shared" ref="E327" si="270">F327</f>
        <v>0</v>
      </c>
      <c r="F327" s="462"/>
      <c r="G327" s="462"/>
      <c r="H327" s="462"/>
      <c r="I327" s="462"/>
      <c r="J327" s="328">
        <f t="shared" ref="J327" si="271">L327+O327</f>
        <v>0</v>
      </c>
      <c r="K327" s="462">
        <v>0</v>
      </c>
      <c r="L327" s="462"/>
      <c r="M327" s="462"/>
      <c r="N327" s="462"/>
      <c r="O327" s="459">
        <f>K327</f>
        <v>0</v>
      </c>
      <c r="P327" s="328">
        <f t="shared" ref="P327" si="272">E327+J327</f>
        <v>0</v>
      </c>
      <c r="Q327" s="45"/>
      <c r="R327" s="46"/>
    </row>
    <row r="328" spans="1:18" ht="54.75" thickTop="1" thickBot="1" x14ac:dyDescent="0.25">
      <c r="A328" s="329" t="s">
        <v>820</v>
      </c>
      <c r="B328" s="329" t="s">
        <v>821</v>
      </c>
      <c r="C328" s="329"/>
      <c r="D328" s="329" t="s">
        <v>1508</v>
      </c>
      <c r="E328" s="325">
        <f>SUM(E329:E330)</f>
        <v>0</v>
      </c>
      <c r="F328" s="325">
        <f t="shared" ref="F328:P328" si="273">SUM(F329:F330)</f>
        <v>0</v>
      </c>
      <c r="G328" s="325">
        <f t="shared" si="273"/>
        <v>0</v>
      </c>
      <c r="H328" s="325">
        <f t="shared" si="273"/>
        <v>0</v>
      </c>
      <c r="I328" s="325">
        <f t="shared" si="273"/>
        <v>0</v>
      </c>
      <c r="J328" s="325">
        <f t="shared" si="273"/>
        <v>40425815.939999998</v>
      </c>
      <c r="K328" s="325">
        <f t="shared" si="273"/>
        <v>40425815.939999998</v>
      </c>
      <c r="L328" s="325">
        <f t="shared" si="273"/>
        <v>0</v>
      </c>
      <c r="M328" s="325">
        <f t="shared" si="273"/>
        <v>0</v>
      </c>
      <c r="N328" s="325">
        <f t="shared" si="273"/>
        <v>0</v>
      </c>
      <c r="O328" s="325">
        <f t="shared" si="273"/>
        <v>40425815.939999998</v>
      </c>
      <c r="P328" s="325">
        <f t="shared" si="273"/>
        <v>40425815.939999998</v>
      </c>
      <c r="Q328" s="45"/>
      <c r="R328" s="46"/>
    </row>
    <row r="329" spans="1:18" ht="54" thickTop="1" thickBot="1" x14ac:dyDescent="0.25">
      <c r="A329" s="103" t="s">
        <v>310</v>
      </c>
      <c r="B329" s="103" t="s">
        <v>311</v>
      </c>
      <c r="C329" s="103" t="s">
        <v>304</v>
      </c>
      <c r="D329" s="103" t="s">
        <v>1504</v>
      </c>
      <c r="E329" s="328">
        <f t="shared" si="266"/>
        <v>0</v>
      </c>
      <c r="F329" s="462"/>
      <c r="G329" s="462"/>
      <c r="H329" s="462"/>
      <c r="I329" s="462"/>
      <c r="J329" s="328">
        <f t="shared" si="259"/>
        <v>40425815.939999998</v>
      </c>
      <c r="K329" s="462">
        <f>(13000000)+27425815.94</f>
        <v>40425815.939999998</v>
      </c>
      <c r="L329" s="462"/>
      <c r="M329" s="462"/>
      <c r="N329" s="462"/>
      <c r="O329" s="459">
        <f>K329</f>
        <v>40425815.939999998</v>
      </c>
      <c r="P329" s="328">
        <f t="shared" si="260"/>
        <v>40425815.939999998</v>
      </c>
      <c r="Q329" s="477"/>
      <c r="R329" s="46"/>
    </row>
    <row r="330" spans="1:18" ht="54" hidden="1" thickTop="1" thickBot="1" x14ac:dyDescent="0.25">
      <c r="A330" s="103" t="s">
        <v>516</v>
      </c>
      <c r="B330" s="103" t="s">
        <v>517</v>
      </c>
      <c r="C330" s="103" t="s">
        <v>304</v>
      </c>
      <c r="D330" s="103" t="s">
        <v>1509</v>
      </c>
      <c r="E330" s="328">
        <f t="shared" si="266"/>
        <v>0</v>
      </c>
      <c r="F330" s="462"/>
      <c r="G330" s="462"/>
      <c r="H330" s="462"/>
      <c r="I330" s="462"/>
      <c r="J330" s="328">
        <f t="shared" si="259"/>
        <v>0</v>
      </c>
      <c r="K330" s="462">
        <v>0</v>
      </c>
      <c r="L330" s="462"/>
      <c r="M330" s="462"/>
      <c r="N330" s="462"/>
      <c r="O330" s="459">
        <f>K330</f>
        <v>0</v>
      </c>
      <c r="P330" s="328">
        <f t="shared" si="260"/>
        <v>0</v>
      </c>
      <c r="Q330" s="126"/>
      <c r="R330" s="46"/>
    </row>
    <row r="331" spans="1:18" ht="54" hidden="1" thickTop="1" thickBot="1" x14ac:dyDescent="0.25">
      <c r="A331" s="103" t="s">
        <v>312</v>
      </c>
      <c r="B331" s="103" t="s">
        <v>313</v>
      </c>
      <c r="C331" s="103" t="s">
        <v>304</v>
      </c>
      <c r="D331" s="103" t="s">
        <v>1510</v>
      </c>
      <c r="E331" s="328">
        <f t="shared" si="266"/>
        <v>0</v>
      </c>
      <c r="F331" s="462"/>
      <c r="G331" s="462"/>
      <c r="H331" s="462"/>
      <c r="I331" s="462"/>
      <c r="J331" s="328">
        <f t="shared" si="259"/>
        <v>0</v>
      </c>
      <c r="K331" s="462"/>
      <c r="L331" s="462"/>
      <c r="M331" s="462"/>
      <c r="N331" s="462"/>
      <c r="O331" s="459">
        <f>K331</f>
        <v>0</v>
      </c>
      <c r="P331" s="328">
        <f t="shared" si="260"/>
        <v>0</v>
      </c>
      <c r="Q331" s="126"/>
    </row>
    <row r="332" spans="1:18" ht="54" thickTop="1" thickBot="1" x14ac:dyDescent="0.3">
      <c r="A332" s="103" t="s">
        <v>314</v>
      </c>
      <c r="B332" s="103" t="s">
        <v>315</v>
      </c>
      <c r="C332" s="103" t="s">
        <v>304</v>
      </c>
      <c r="D332" s="103" t="s">
        <v>1505</v>
      </c>
      <c r="E332" s="328">
        <f>F332</f>
        <v>0</v>
      </c>
      <c r="F332" s="462"/>
      <c r="G332" s="462"/>
      <c r="H332" s="462"/>
      <c r="I332" s="462"/>
      <c r="J332" s="328">
        <f t="shared" si="259"/>
        <v>3100000</v>
      </c>
      <c r="K332" s="462">
        <f>(3000000)+100000</f>
        <v>3100000</v>
      </c>
      <c r="L332" s="462"/>
      <c r="M332" s="462"/>
      <c r="N332" s="462"/>
      <c r="O332" s="459">
        <f>K332</f>
        <v>3100000</v>
      </c>
      <c r="P332" s="328">
        <f t="shared" si="260"/>
        <v>3100000</v>
      </c>
      <c r="Q332" s="162"/>
      <c r="R332" s="46"/>
    </row>
    <row r="333" spans="1:18" ht="48" hidden="1" thickTop="1" thickBot="1" x14ac:dyDescent="0.25">
      <c r="A333" s="41" t="s">
        <v>437</v>
      </c>
      <c r="B333" s="41" t="s">
        <v>350</v>
      </c>
      <c r="C333" s="41" t="s">
        <v>170</v>
      </c>
      <c r="D333" s="41" t="s">
        <v>262</v>
      </c>
      <c r="E333" s="42">
        <f>F333</f>
        <v>0</v>
      </c>
      <c r="F333" s="43"/>
      <c r="G333" s="43"/>
      <c r="H333" s="43"/>
      <c r="I333" s="43"/>
      <c r="J333" s="42">
        <f t="shared" si="259"/>
        <v>0</v>
      </c>
      <c r="K333" s="43">
        <v>0</v>
      </c>
      <c r="L333" s="43"/>
      <c r="M333" s="43"/>
      <c r="N333" s="43"/>
      <c r="O333" s="44">
        <f>K333</f>
        <v>0</v>
      </c>
      <c r="P333" s="42">
        <f t="shared" si="260"/>
        <v>0</v>
      </c>
      <c r="Q333" s="20"/>
      <c r="R333" s="46"/>
    </row>
    <row r="334" spans="1:18" ht="47.25" hidden="1" thickTop="1" thickBot="1" x14ac:dyDescent="0.25">
      <c r="A334" s="136" t="s">
        <v>988</v>
      </c>
      <c r="B334" s="136" t="s">
        <v>691</v>
      </c>
      <c r="C334" s="136"/>
      <c r="D334" s="136" t="s">
        <v>689</v>
      </c>
      <c r="E334" s="159">
        <f>E335</f>
        <v>0</v>
      </c>
      <c r="F334" s="159">
        <f>F335</f>
        <v>0</v>
      </c>
      <c r="G334" s="159">
        <f>G335</f>
        <v>0</v>
      </c>
      <c r="H334" s="159">
        <f>H335</f>
        <v>0</v>
      </c>
      <c r="I334" s="159">
        <f>I335</f>
        <v>0</v>
      </c>
      <c r="J334" s="159">
        <f t="shared" ref="J334:O334" si="274">J335</f>
        <v>0</v>
      </c>
      <c r="K334" s="159">
        <f t="shared" si="274"/>
        <v>0</v>
      </c>
      <c r="L334" s="159">
        <f t="shared" si="274"/>
        <v>0</v>
      </c>
      <c r="M334" s="159">
        <f t="shared" si="274"/>
        <v>0</v>
      </c>
      <c r="N334" s="159">
        <f t="shared" si="274"/>
        <v>0</v>
      </c>
      <c r="O334" s="159">
        <f t="shared" si="274"/>
        <v>0</v>
      </c>
      <c r="P334" s="159">
        <f>P335</f>
        <v>0</v>
      </c>
      <c r="Q334" s="20"/>
      <c r="R334" s="46"/>
    </row>
    <row r="335" spans="1:18" ht="48" hidden="1" thickTop="1" thickBot="1" x14ac:dyDescent="0.25">
      <c r="A335" s="140" t="s">
        <v>989</v>
      </c>
      <c r="B335" s="140" t="s">
        <v>694</v>
      </c>
      <c r="C335" s="140"/>
      <c r="D335" s="140" t="s">
        <v>797</v>
      </c>
      <c r="E335" s="158">
        <f>E336+E338</f>
        <v>0</v>
      </c>
      <c r="F335" s="158">
        <f t="shared" ref="F335:P335" si="275">F336+F338</f>
        <v>0</v>
      </c>
      <c r="G335" s="158">
        <f t="shared" si="275"/>
        <v>0</v>
      </c>
      <c r="H335" s="158">
        <f t="shared" si="275"/>
        <v>0</v>
      </c>
      <c r="I335" s="158">
        <f t="shared" si="275"/>
        <v>0</v>
      </c>
      <c r="J335" s="158">
        <f t="shared" si="275"/>
        <v>0</v>
      </c>
      <c r="K335" s="158">
        <f t="shared" si="275"/>
        <v>0</v>
      </c>
      <c r="L335" s="158">
        <f t="shared" si="275"/>
        <v>0</v>
      </c>
      <c r="M335" s="158">
        <f t="shared" si="275"/>
        <v>0</v>
      </c>
      <c r="N335" s="158">
        <f t="shared" si="275"/>
        <v>0</v>
      </c>
      <c r="O335" s="158">
        <f t="shared" si="275"/>
        <v>0</v>
      </c>
      <c r="P335" s="158">
        <f t="shared" si="275"/>
        <v>0</v>
      </c>
      <c r="Q335" s="20"/>
      <c r="R335" s="46"/>
    </row>
    <row r="336" spans="1:18" ht="184.5" hidden="1" thickTop="1" thickBot="1" x14ac:dyDescent="0.7">
      <c r="A336" s="793" t="s">
        <v>990</v>
      </c>
      <c r="B336" s="793" t="s">
        <v>338</v>
      </c>
      <c r="C336" s="793" t="s">
        <v>170</v>
      </c>
      <c r="D336" s="163" t="s">
        <v>440</v>
      </c>
      <c r="E336" s="794">
        <f t="shared" ref="E336" si="276">F336</f>
        <v>0</v>
      </c>
      <c r="F336" s="795"/>
      <c r="G336" s="795"/>
      <c r="H336" s="795"/>
      <c r="I336" s="795"/>
      <c r="J336" s="794">
        <f t="shared" ref="J336" si="277">L336+O336</f>
        <v>0</v>
      </c>
      <c r="K336" s="795"/>
      <c r="L336" s="795"/>
      <c r="M336" s="795"/>
      <c r="N336" s="795"/>
      <c r="O336" s="799">
        <f>K336</f>
        <v>0</v>
      </c>
      <c r="P336" s="792">
        <f>E336+J336</f>
        <v>0</v>
      </c>
      <c r="Q336" s="20"/>
      <c r="R336" s="46"/>
    </row>
    <row r="337" spans="1:18" ht="93" hidden="1" thickTop="1" thickBot="1" x14ac:dyDescent="0.25">
      <c r="A337" s="793"/>
      <c r="B337" s="793"/>
      <c r="C337" s="793"/>
      <c r="D337" s="164" t="s">
        <v>441</v>
      </c>
      <c r="E337" s="794"/>
      <c r="F337" s="795"/>
      <c r="G337" s="795"/>
      <c r="H337" s="795"/>
      <c r="I337" s="795"/>
      <c r="J337" s="794"/>
      <c r="K337" s="795"/>
      <c r="L337" s="795"/>
      <c r="M337" s="795"/>
      <c r="N337" s="795"/>
      <c r="O337" s="799"/>
      <c r="P337" s="792"/>
      <c r="Q337" s="20"/>
      <c r="R337" s="46"/>
    </row>
    <row r="338" spans="1:18" ht="48" hidden="1" thickTop="1" thickBot="1" x14ac:dyDescent="0.25">
      <c r="A338" s="128" t="s">
        <v>1193</v>
      </c>
      <c r="B338" s="128" t="s">
        <v>257</v>
      </c>
      <c r="C338" s="128" t="s">
        <v>170</v>
      </c>
      <c r="D338" s="156" t="s">
        <v>255</v>
      </c>
      <c r="E338" s="127">
        <f>F338</f>
        <v>0</v>
      </c>
      <c r="F338" s="134"/>
      <c r="G338" s="134"/>
      <c r="H338" s="134"/>
      <c r="I338" s="134"/>
      <c r="J338" s="127">
        <f t="shared" ref="J338" si="278">L338+O338</f>
        <v>0</v>
      </c>
      <c r="K338" s="134"/>
      <c r="L338" s="134"/>
      <c r="M338" s="134"/>
      <c r="N338" s="134"/>
      <c r="O338" s="132">
        <f>K338</f>
        <v>0</v>
      </c>
      <c r="P338" s="127">
        <f t="shared" ref="P338" si="279">E338+J338</f>
        <v>0</v>
      </c>
      <c r="Q338" s="20"/>
      <c r="R338" s="46"/>
    </row>
    <row r="339" spans="1:18" ht="120" customHeight="1" thickTop="1" thickBot="1" x14ac:dyDescent="0.25">
      <c r="A339" s="661" t="s">
        <v>160</v>
      </c>
      <c r="B339" s="661"/>
      <c r="C339" s="661"/>
      <c r="D339" s="662" t="s">
        <v>893</v>
      </c>
      <c r="E339" s="663">
        <f>E340</f>
        <v>8209936</v>
      </c>
      <c r="F339" s="664">
        <f t="shared" ref="F339:G339" si="280">F340</f>
        <v>8209936</v>
      </c>
      <c r="G339" s="664">
        <f t="shared" si="280"/>
        <v>6132550</v>
      </c>
      <c r="H339" s="664">
        <f>H340</f>
        <v>245635</v>
      </c>
      <c r="I339" s="664">
        <f t="shared" ref="I339" si="281">I340</f>
        <v>0</v>
      </c>
      <c r="J339" s="663">
        <f>J340</f>
        <v>0</v>
      </c>
      <c r="K339" s="664">
        <f>K340</f>
        <v>0</v>
      </c>
      <c r="L339" s="664">
        <f>L340</f>
        <v>0</v>
      </c>
      <c r="M339" s="664">
        <f t="shared" ref="M339" si="282">M340</f>
        <v>0</v>
      </c>
      <c r="N339" s="664">
        <f>N340</f>
        <v>0</v>
      </c>
      <c r="O339" s="663">
        <f>O340</f>
        <v>0</v>
      </c>
      <c r="P339" s="664">
        <f t="shared" ref="P339" si="283">P340</f>
        <v>8209936</v>
      </c>
      <c r="Q339" s="20"/>
    </row>
    <row r="340" spans="1:18" ht="120" customHeight="1" thickTop="1" thickBot="1" x14ac:dyDescent="0.25">
      <c r="A340" s="658" t="s">
        <v>161</v>
      </c>
      <c r="B340" s="658"/>
      <c r="C340" s="658"/>
      <c r="D340" s="659" t="s">
        <v>894</v>
      </c>
      <c r="E340" s="660">
        <f>E341+E345</f>
        <v>8209936</v>
      </c>
      <c r="F340" s="660">
        <f>F341+F345</f>
        <v>8209936</v>
      </c>
      <c r="G340" s="660">
        <f>G341+G345</f>
        <v>6132550</v>
      </c>
      <c r="H340" s="660">
        <f>H341+H345</f>
        <v>245635</v>
      </c>
      <c r="I340" s="660">
        <f>I341+I345</f>
        <v>0</v>
      </c>
      <c r="J340" s="660">
        <f>L340+O340</f>
        <v>0</v>
      </c>
      <c r="K340" s="660">
        <f>K341+K345</f>
        <v>0</v>
      </c>
      <c r="L340" s="660">
        <f>L341+L345</f>
        <v>0</v>
      </c>
      <c r="M340" s="660">
        <f>M341+M345</f>
        <v>0</v>
      </c>
      <c r="N340" s="660">
        <f>N341+N345</f>
        <v>0</v>
      </c>
      <c r="O340" s="660">
        <f>O341+O345</f>
        <v>0</v>
      </c>
      <c r="P340" s="660">
        <f>E340+J340</f>
        <v>8209936</v>
      </c>
      <c r="Q340" s="503" t="b">
        <f>P340=P342</f>
        <v>1</v>
      </c>
      <c r="R340" s="46"/>
    </row>
    <row r="341" spans="1:18" ht="47.25" thickTop="1" thickBot="1" x14ac:dyDescent="0.25">
      <c r="A341" s="311" t="s">
        <v>822</v>
      </c>
      <c r="B341" s="311" t="s">
        <v>684</v>
      </c>
      <c r="C341" s="311"/>
      <c r="D341" s="311" t="s">
        <v>685</v>
      </c>
      <c r="E341" s="328">
        <f>SUM(E342:E344)</f>
        <v>8209936</v>
      </c>
      <c r="F341" s="328">
        <f t="shared" ref="F341:N341" si="284">SUM(F342:F344)</f>
        <v>8209936</v>
      </c>
      <c r="G341" s="328">
        <f t="shared" si="284"/>
        <v>6132550</v>
      </c>
      <c r="H341" s="328">
        <f t="shared" si="284"/>
        <v>245635</v>
      </c>
      <c r="I341" s="328">
        <f t="shared" si="284"/>
        <v>0</v>
      </c>
      <c r="J341" s="328">
        <f t="shared" si="284"/>
        <v>0</v>
      </c>
      <c r="K341" s="328">
        <f t="shared" si="284"/>
        <v>0</v>
      </c>
      <c r="L341" s="328">
        <f t="shared" si="284"/>
        <v>0</v>
      </c>
      <c r="M341" s="328">
        <f t="shared" si="284"/>
        <v>0</v>
      </c>
      <c r="N341" s="328">
        <f t="shared" si="284"/>
        <v>0</v>
      </c>
      <c r="O341" s="328">
        <f>SUM(O342:O344)</f>
        <v>0</v>
      </c>
      <c r="P341" s="328">
        <f>SUM(P342:P344)</f>
        <v>8209936</v>
      </c>
      <c r="Q341" s="47"/>
      <c r="R341" s="46"/>
    </row>
    <row r="342" spans="1:18" ht="93" thickTop="1" thickBot="1" x14ac:dyDescent="0.25">
      <c r="A342" s="103" t="s">
        <v>419</v>
      </c>
      <c r="B342" s="103" t="s">
        <v>236</v>
      </c>
      <c r="C342" s="103" t="s">
        <v>234</v>
      </c>
      <c r="D342" s="103" t="s">
        <v>235</v>
      </c>
      <c r="E342" s="328">
        <f>F342</f>
        <v>8209936</v>
      </c>
      <c r="F342" s="462">
        <v>8209936</v>
      </c>
      <c r="G342" s="462">
        <v>6132550</v>
      </c>
      <c r="H342" s="462">
        <v>245635</v>
      </c>
      <c r="I342" s="462"/>
      <c r="J342" s="328">
        <f>L342+O342</f>
        <v>0</v>
      </c>
      <c r="K342" s="462">
        <v>0</v>
      </c>
      <c r="L342" s="462"/>
      <c r="M342" s="462"/>
      <c r="N342" s="462"/>
      <c r="O342" s="459">
        <f>K342</f>
        <v>0</v>
      </c>
      <c r="P342" s="328">
        <f>E342+J342</f>
        <v>8209936</v>
      </c>
      <c r="Q342" s="47"/>
      <c r="R342" s="46"/>
    </row>
    <row r="343" spans="1:18" ht="93" hidden="1" thickTop="1" thickBot="1" x14ac:dyDescent="0.25">
      <c r="A343" s="128" t="s">
        <v>631</v>
      </c>
      <c r="B343" s="128" t="s">
        <v>362</v>
      </c>
      <c r="C343" s="128" t="s">
        <v>625</v>
      </c>
      <c r="D343" s="128" t="s">
        <v>626</v>
      </c>
      <c r="E343" s="152">
        <f>F343</f>
        <v>0</v>
      </c>
      <c r="F343" s="129">
        <v>0</v>
      </c>
      <c r="G343" s="129"/>
      <c r="H343" s="129"/>
      <c r="I343" s="129"/>
      <c r="J343" s="127">
        <f t="shared" ref="J343:J344" si="285">L343+O343</f>
        <v>0</v>
      </c>
      <c r="K343" s="129"/>
      <c r="L343" s="130"/>
      <c r="M343" s="130"/>
      <c r="N343" s="130"/>
      <c r="O343" s="132">
        <f t="shared" ref="O343:O344" si="286">K343</f>
        <v>0</v>
      </c>
      <c r="P343" s="127">
        <f t="shared" ref="P343" si="287">+J343+E343</f>
        <v>0</v>
      </c>
      <c r="Q343" s="47"/>
      <c r="R343" s="46"/>
    </row>
    <row r="344" spans="1:18" ht="48" hidden="1" thickTop="1" thickBot="1" x14ac:dyDescent="0.25">
      <c r="A344" s="128" t="s">
        <v>1260</v>
      </c>
      <c r="B344" s="128" t="s">
        <v>43</v>
      </c>
      <c r="C344" s="128" t="s">
        <v>42</v>
      </c>
      <c r="D344" s="128" t="s">
        <v>248</v>
      </c>
      <c r="E344" s="127">
        <f t="shared" ref="E344" si="288">F344</f>
        <v>0</v>
      </c>
      <c r="F344" s="134">
        <v>0</v>
      </c>
      <c r="G344" s="134"/>
      <c r="H344" s="134"/>
      <c r="I344" s="134"/>
      <c r="J344" s="127">
        <f t="shared" si="285"/>
        <v>0</v>
      </c>
      <c r="K344" s="134"/>
      <c r="L344" s="134"/>
      <c r="M344" s="134"/>
      <c r="N344" s="134"/>
      <c r="O344" s="132">
        <f t="shared" si="286"/>
        <v>0</v>
      </c>
      <c r="P344" s="127">
        <f>E344+J344</f>
        <v>0</v>
      </c>
      <c r="Q344" s="47"/>
      <c r="R344" s="46"/>
    </row>
    <row r="345" spans="1:18" ht="47.25" hidden="1" thickTop="1" thickBot="1" x14ac:dyDescent="0.25">
      <c r="A345" s="125" t="s">
        <v>909</v>
      </c>
      <c r="B345" s="125" t="s">
        <v>748</v>
      </c>
      <c r="C345" s="128"/>
      <c r="D345" s="125" t="s">
        <v>794</v>
      </c>
      <c r="E345" s="127">
        <f>E346</f>
        <v>0</v>
      </c>
      <c r="F345" s="127">
        <f t="shared" ref="F345:P346" si="289">F346</f>
        <v>0</v>
      </c>
      <c r="G345" s="127">
        <f t="shared" si="289"/>
        <v>0</v>
      </c>
      <c r="H345" s="127">
        <f t="shared" si="289"/>
        <v>0</v>
      </c>
      <c r="I345" s="127">
        <f t="shared" si="289"/>
        <v>0</v>
      </c>
      <c r="J345" s="127">
        <f t="shared" si="289"/>
        <v>0</v>
      </c>
      <c r="K345" s="127">
        <f t="shared" si="289"/>
        <v>0</v>
      </c>
      <c r="L345" s="127">
        <f t="shared" si="289"/>
        <v>0</v>
      </c>
      <c r="M345" s="127">
        <f t="shared" si="289"/>
        <v>0</v>
      </c>
      <c r="N345" s="127">
        <f t="shared" si="289"/>
        <v>0</v>
      </c>
      <c r="O345" s="127">
        <f t="shared" si="289"/>
        <v>0</v>
      </c>
      <c r="P345" s="127">
        <f t="shared" si="289"/>
        <v>0</v>
      </c>
      <c r="Q345" s="47"/>
      <c r="R345" s="46"/>
    </row>
    <row r="346" spans="1:18" ht="47.25" hidden="1" thickTop="1" thickBot="1" x14ac:dyDescent="0.25">
      <c r="A346" s="136" t="s">
        <v>910</v>
      </c>
      <c r="B346" s="136" t="s">
        <v>803</v>
      </c>
      <c r="C346" s="136"/>
      <c r="D346" s="136" t="s">
        <v>804</v>
      </c>
      <c r="E346" s="137">
        <f>E347</f>
        <v>0</v>
      </c>
      <c r="F346" s="137">
        <f t="shared" si="289"/>
        <v>0</v>
      </c>
      <c r="G346" s="137">
        <f t="shared" si="289"/>
        <v>0</v>
      </c>
      <c r="H346" s="137">
        <f t="shared" si="289"/>
        <v>0</v>
      </c>
      <c r="I346" s="137">
        <f t="shared" si="289"/>
        <v>0</v>
      </c>
      <c r="J346" s="137">
        <f t="shared" si="289"/>
        <v>0</v>
      </c>
      <c r="K346" s="137">
        <f t="shared" si="289"/>
        <v>0</v>
      </c>
      <c r="L346" s="137">
        <f t="shared" si="289"/>
        <v>0</v>
      </c>
      <c r="M346" s="137">
        <f t="shared" si="289"/>
        <v>0</v>
      </c>
      <c r="N346" s="137">
        <f t="shared" si="289"/>
        <v>0</v>
      </c>
      <c r="O346" s="137">
        <f t="shared" si="289"/>
        <v>0</v>
      </c>
      <c r="P346" s="137">
        <f t="shared" si="289"/>
        <v>0</v>
      </c>
      <c r="Q346" s="47"/>
      <c r="R346" s="46"/>
    </row>
    <row r="347" spans="1:18" ht="93" hidden="1" thickTop="1" thickBot="1" x14ac:dyDescent="0.25">
      <c r="A347" s="128" t="s">
        <v>911</v>
      </c>
      <c r="B347" s="128" t="s">
        <v>912</v>
      </c>
      <c r="C347" s="128" t="s">
        <v>304</v>
      </c>
      <c r="D347" s="128" t="s">
        <v>913</v>
      </c>
      <c r="E347" s="152">
        <f>F347</f>
        <v>0</v>
      </c>
      <c r="F347" s="129"/>
      <c r="G347" s="129"/>
      <c r="H347" s="129"/>
      <c r="I347" s="129"/>
      <c r="J347" s="127">
        <f t="shared" ref="J347" si="290">L347+O347</f>
        <v>0</v>
      </c>
      <c r="K347" s="129">
        <v>0</v>
      </c>
      <c r="L347" s="130"/>
      <c r="M347" s="130"/>
      <c r="N347" s="130"/>
      <c r="O347" s="132">
        <f t="shared" ref="O347" si="291">K347</f>
        <v>0</v>
      </c>
      <c r="P347" s="127">
        <f t="shared" ref="P347" si="292">+J347+E347</f>
        <v>0</v>
      </c>
      <c r="Q347" s="47"/>
      <c r="R347" s="46"/>
    </row>
    <row r="348" spans="1:18" ht="120" customHeight="1" thickTop="1" thickBot="1" x14ac:dyDescent="0.25">
      <c r="A348" s="661" t="s">
        <v>444</v>
      </c>
      <c r="B348" s="661"/>
      <c r="C348" s="661"/>
      <c r="D348" s="662" t="s">
        <v>446</v>
      </c>
      <c r="E348" s="663">
        <f>E349</f>
        <v>170804882</v>
      </c>
      <c r="F348" s="664">
        <f t="shared" ref="F348:G348" si="293">F349</f>
        <v>170804882</v>
      </c>
      <c r="G348" s="664">
        <f t="shared" si="293"/>
        <v>4332271</v>
      </c>
      <c r="H348" s="664">
        <f>H349</f>
        <v>189628</v>
      </c>
      <c r="I348" s="664">
        <f t="shared" ref="I348" si="294">I349</f>
        <v>0</v>
      </c>
      <c r="J348" s="663">
        <f>J349</f>
        <v>0</v>
      </c>
      <c r="K348" s="664">
        <f>K349</f>
        <v>0</v>
      </c>
      <c r="L348" s="664">
        <f>L349</f>
        <v>0</v>
      </c>
      <c r="M348" s="664">
        <f t="shared" ref="M348" si="295">M349</f>
        <v>0</v>
      </c>
      <c r="N348" s="664">
        <f>N349</f>
        <v>0</v>
      </c>
      <c r="O348" s="663">
        <f>O349</f>
        <v>0</v>
      </c>
      <c r="P348" s="664">
        <f t="shared" ref="P348" si="296">P349</f>
        <v>170804882</v>
      </c>
      <c r="Q348" s="20"/>
    </row>
    <row r="349" spans="1:18" ht="120" customHeight="1" thickTop="1" thickBot="1" x14ac:dyDescent="0.25">
      <c r="A349" s="658" t="s">
        <v>445</v>
      </c>
      <c r="B349" s="658"/>
      <c r="C349" s="658"/>
      <c r="D349" s="659" t="s">
        <v>447</v>
      </c>
      <c r="E349" s="660">
        <f t="shared" ref="E349:O349" si="297">E350+E353+E362+E365</f>
        <v>170804882</v>
      </c>
      <c r="F349" s="660">
        <f t="shared" si="297"/>
        <v>170804882</v>
      </c>
      <c r="G349" s="660">
        <f t="shared" si="297"/>
        <v>4332271</v>
      </c>
      <c r="H349" s="660">
        <f t="shared" si="297"/>
        <v>189628</v>
      </c>
      <c r="I349" s="660">
        <f t="shared" si="297"/>
        <v>0</v>
      </c>
      <c r="J349" s="660">
        <f t="shared" si="297"/>
        <v>0</v>
      </c>
      <c r="K349" s="660">
        <f t="shared" si="297"/>
        <v>0</v>
      </c>
      <c r="L349" s="660">
        <f t="shared" si="297"/>
        <v>0</v>
      </c>
      <c r="M349" s="660">
        <f t="shared" si="297"/>
        <v>0</v>
      </c>
      <c r="N349" s="660">
        <f t="shared" si="297"/>
        <v>0</v>
      </c>
      <c r="O349" s="660">
        <f t="shared" si="297"/>
        <v>0</v>
      </c>
      <c r="P349" s="660">
        <f>E349+J349</f>
        <v>170804882</v>
      </c>
      <c r="Q349" s="503" t="b">
        <f>P349=P351+P356+P358+P364</f>
        <v>1</v>
      </c>
      <c r="R349" s="46"/>
    </row>
    <row r="350" spans="1:18" ht="47.25" thickTop="1" thickBot="1" x14ac:dyDescent="0.25">
      <c r="A350" s="311" t="s">
        <v>823</v>
      </c>
      <c r="B350" s="311" t="s">
        <v>684</v>
      </c>
      <c r="C350" s="311"/>
      <c r="D350" s="311" t="s">
        <v>685</v>
      </c>
      <c r="E350" s="328">
        <f>SUM(E351:E352)</f>
        <v>9955335</v>
      </c>
      <c r="F350" s="328">
        <f t="shared" ref="F350:P350" si="298">SUM(F351:F352)</f>
        <v>9955335</v>
      </c>
      <c r="G350" s="328">
        <f t="shared" si="298"/>
        <v>4332271</v>
      </c>
      <c r="H350" s="328">
        <f t="shared" si="298"/>
        <v>189628</v>
      </c>
      <c r="I350" s="328">
        <f t="shared" si="298"/>
        <v>0</v>
      </c>
      <c r="J350" s="328">
        <f t="shared" si="298"/>
        <v>0</v>
      </c>
      <c r="K350" s="328">
        <f t="shared" si="298"/>
        <v>0</v>
      </c>
      <c r="L350" s="328">
        <f t="shared" si="298"/>
        <v>0</v>
      </c>
      <c r="M350" s="328">
        <f t="shared" si="298"/>
        <v>0</v>
      </c>
      <c r="N350" s="328">
        <f t="shared" si="298"/>
        <v>0</v>
      </c>
      <c r="O350" s="328">
        <f t="shared" si="298"/>
        <v>0</v>
      </c>
      <c r="P350" s="328">
        <f t="shared" si="298"/>
        <v>9955335</v>
      </c>
      <c r="Q350" s="47"/>
      <c r="R350" s="46"/>
    </row>
    <row r="351" spans="1:18" ht="93" thickTop="1" thickBot="1" x14ac:dyDescent="0.25">
      <c r="A351" s="103" t="s">
        <v>448</v>
      </c>
      <c r="B351" s="103" t="s">
        <v>236</v>
      </c>
      <c r="C351" s="103" t="s">
        <v>234</v>
      </c>
      <c r="D351" s="103" t="s">
        <v>235</v>
      </c>
      <c r="E351" s="328">
        <f>F351</f>
        <v>9955335</v>
      </c>
      <c r="F351" s="462">
        <v>9955335</v>
      </c>
      <c r="G351" s="462">
        <v>4332271</v>
      </c>
      <c r="H351" s="462">
        <v>189628</v>
      </c>
      <c r="I351" s="462"/>
      <c r="J351" s="328">
        <f>L351+O351</f>
        <v>0</v>
      </c>
      <c r="K351" s="462">
        <v>0</v>
      </c>
      <c r="L351" s="462"/>
      <c r="M351" s="462"/>
      <c r="N351" s="462"/>
      <c r="O351" s="459">
        <f>K351</f>
        <v>0</v>
      </c>
      <c r="P351" s="328">
        <f>E351+J351</f>
        <v>9955335</v>
      </c>
      <c r="Q351" s="47"/>
      <c r="R351" s="46"/>
    </row>
    <row r="352" spans="1:18" ht="93" hidden="1" thickTop="1" thickBot="1" x14ac:dyDescent="0.25">
      <c r="A352" s="128" t="s">
        <v>632</v>
      </c>
      <c r="B352" s="128" t="s">
        <v>362</v>
      </c>
      <c r="C352" s="128" t="s">
        <v>625</v>
      </c>
      <c r="D352" s="128" t="s">
        <v>626</v>
      </c>
      <c r="E352" s="127">
        <f>F352</f>
        <v>0</v>
      </c>
      <c r="F352" s="134">
        <v>0</v>
      </c>
      <c r="G352" s="134"/>
      <c r="H352" s="134"/>
      <c r="I352" s="134"/>
      <c r="J352" s="127">
        <f t="shared" ref="J352" si="299">L352+O352</f>
        <v>0</v>
      </c>
      <c r="K352" s="134"/>
      <c r="L352" s="134"/>
      <c r="M352" s="134"/>
      <c r="N352" s="134"/>
      <c r="O352" s="132">
        <f t="shared" ref="O352" si="300">K352</f>
        <v>0</v>
      </c>
      <c r="P352" s="127">
        <f t="shared" ref="P352" si="301">+J352+E352</f>
        <v>0</v>
      </c>
      <c r="Q352" s="47"/>
      <c r="R352" s="46"/>
    </row>
    <row r="353" spans="1:18" ht="47.25" thickTop="1" thickBot="1" x14ac:dyDescent="0.25">
      <c r="A353" s="311" t="s">
        <v>824</v>
      </c>
      <c r="B353" s="311" t="s">
        <v>748</v>
      </c>
      <c r="C353" s="103"/>
      <c r="D353" s="311" t="s">
        <v>794</v>
      </c>
      <c r="E353" s="328">
        <f>E354+E360</f>
        <v>158660533</v>
      </c>
      <c r="F353" s="328">
        <f t="shared" ref="F353:P353" si="302">F354+F360</f>
        <v>158660533</v>
      </c>
      <c r="G353" s="328">
        <f t="shared" si="302"/>
        <v>0</v>
      </c>
      <c r="H353" s="328">
        <f t="shared" si="302"/>
        <v>0</v>
      </c>
      <c r="I353" s="328">
        <f t="shared" si="302"/>
        <v>0</v>
      </c>
      <c r="J353" s="328">
        <f t="shared" si="302"/>
        <v>0</v>
      </c>
      <c r="K353" s="328">
        <f t="shared" si="302"/>
        <v>0</v>
      </c>
      <c r="L353" s="328">
        <f t="shared" si="302"/>
        <v>0</v>
      </c>
      <c r="M353" s="328">
        <f t="shared" si="302"/>
        <v>0</v>
      </c>
      <c r="N353" s="328">
        <f t="shared" si="302"/>
        <v>0</v>
      </c>
      <c r="O353" s="328">
        <f t="shared" si="302"/>
        <v>0</v>
      </c>
      <c r="P353" s="328">
        <f t="shared" si="302"/>
        <v>158660533</v>
      </c>
      <c r="Q353" s="47"/>
      <c r="R353" s="50"/>
    </row>
    <row r="354" spans="1:18" ht="47.25" thickTop="1" thickBot="1" x14ac:dyDescent="0.25">
      <c r="A354" s="313" t="s">
        <v>825</v>
      </c>
      <c r="B354" s="313" t="s">
        <v>806</v>
      </c>
      <c r="C354" s="313"/>
      <c r="D354" s="313" t="s">
        <v>807</v>
      </c>
      <c r="E354" s="315">
        <f>E357+E359+E355</f>
        <v>158660533</v>
      </c>
      <c r="F354" s="315">
        <f t="shared" ref="F354:P354" si="303">F357+F359+F355</f>
        <v>158660533</v>
      </c>
      <c r="G354" s="315">
        <f t="shared" si="303"/>
        <v>0</v>
      </c>
      <c r="H354" s="315">
        <f t="shared" si="303"/>
        <v>0</v>
      </c>
      <c r="I354" s="315">
        <f t="shared" si="303"/>
        <v>0</v>
      </c>
      <c r="J354" s="315">
        <f t="shared" si="303"/>
        <v>0</v>
      </c>
      <c r="K354" s="315">
        <f t="shared" si="303"/>
        <v>0</v>
      </c>
      <c r="L354" s="315">
        <f t="shared" si="303"/>
        <v>0</v>
      </c>
      <c r="M354" s="315">
        <f t="shared" si="303"/>
        <v>0</v>
      </c>
      <c r="N354" s="315">
        <f t="shared" si="303"/>
        <v>0</v>
      </c>
      <c r="O354" s="315">
        <f t="shared" si="303"/>
        <v>0</v>
      </c>
      <c r="P354" s="315">
        <f t="shared" si="303"/>
        <v>158660533</v>
      </c>
      <c r="Q354" s="47"/>
      <c r="R354" s="50"/>
    </row>
    <row r="355" spans="1:18" ht="93" thickTop="1" thickBot="1" x14ac:dyDescent="0.25">
      <c r="A355" s="329" t="s">
        <v>1014</v>
      </c>
      <c r="B355" s="329" t="s">
        <v>1015</v>
      </c>
      <c r="C355" s="329"/>
      <c r="D355" s="329" t="s">
        <v>1013</v>
      </c>
      <c r="E355" s="325">
        <f>E356</f>
        <v>300000</v>
      </c>
      <c r="F355" s="325">
        <f t="shared" ref="F355:P357" si="304">F356</f>
        <v>300000</v>
      </c>
      <c r="G355" s="325">
        <f t="shared" si="304"/>
        <v>0</v>
      </c>
      <c r="H355" s="325">
        <f t="shared" si="304"/>
        <v>0</v>
      </c>
      <c r="I355" s="325">
        <f t="shared" si="304"/>
        <v>0</v>
      </c>
      <c r="J355" s="325">
        <f t="shared" si="304"/>
        <v>0</v>
      </c>
      <c r="K355" s="325">
        <f t="shared" si="304"/>
        <v>0</v>
      </c>
      <c r="L355" s="325">
        <f t="shared" si="304"/>
        <v>0</v>
      </c>
      <c r="M355" s="325">
        <f t="shared" si="304"/>
        <v>0</v>
      </c>
      <c r="N355" s="325">
        <f t="shared" si="304"/>
        <v>0</v>
      </c>
      <c r="O355" s="325">
        <f t="shared" si="304"/>
        <v>0</v>
      </c>
      <c r="P355" s="325">
        <f t="shared" si="304"/>
        <v>300000</v>
      </c>
      <c r="Q355" s="47"/>
      <c r="R355" s="50"/>
    </row>
    <row r="356" spans="1:18" ht="48" thickTop="1" thickBot="1" x14ac:dyDescent="0.25">
      <c r="A356" s="103" t="s">
        <v>467</v>
      </c>
      <c r="B356" s="103" t="s">
        <v>412</v>
      </c>
      <c r="C356" s="103" t="s">
        <v>413</v>
      </c>
      <c r="D356" s="103" t="s">
        <v>414</v>
      </c>
      <c r="E356" s="328">
        <f>F356</f>
        <v>300000</v>
      </c>
      <c r="F356" s="462">
        <v>300000</v>
      </c>
      <c r="G356" s="462"/>
      <c r="H356" s="462"/>
      <c r="I356" s="462"/>
      <c r="J356" s="328">
        <f>L356+O356</f>
        <v>0</v>
      </c>
      <c r="K356" s="462"/>
      <c r="L356" s="462"/>
      <c r="M356" s="462"/>
      <c r="N356" s="462"/>
      <c r="O356" s="459">
        <f>K356</f>
        <v>0</v>
      </c>
      <c r="P356" s="328">
        <f>E356+J356</f>
        <v>300000</v>
      </c>
      <c r="Q356" s="47"/>
      <c r="R356" s="50"/>
    </row>
    <row r="357" spans="1:18" ht="93" thickTop="1" thickBot="1" x14ac:dyDescent="0.25">
      <c r="A357" s="329" t="s">
        <v>826</v>
      </c>
      <c r="B357" s="329" t="s">
        <v>827</v>
      </c>
      <c r="C357" s="329"/>
      <c r="D357" s="329" t="s">
        <v>828</v>
      </c>
      <c r="E357" s="325">
        <f>E358</f>
        <v>158360533</v>
      </c>
      <c r="F357" s="325">
        <f t="shared" si="304"/>
        <v>158360533</v>
      </c>
      <c r="G357" s="325">
        <f t="shared" si="304"/>
        <v>0</v>
      </c>
      <c r="H357" s="325">
        <f t="shared" si="304"/>
        <v>0</v>
      </c>
      <c r="I357" s="325">
        <f t="shared" si="304"/>
        <v>0</v>
      </c>
      <c r="J357" s="325">
        <f t="shared" si="304"/>
        <v>0</v>
      </c>
      <c r="K357" s="325">
        <f t="shared" si="304"/>
        <v>0</v>
      </c>
      <c r="L357" s="325">
        <f t="shared" si="304"/>
        <v>0</v>
      </c>
      <c r="M357" s="325">
        <f t="shared" si="304"/>
        <v>0</v>
      </c>
      <c r="N357" s="325">
        <f t="shared" si="304"/>
        <v>0</v>
      </c>
      <c r="O357" s="325">
        <f t="shared" si="304"/>
        <v>0</v>
      </c>
      <c r="P357" s="325">
        <f t="shared" si="304"/>
        <v>158360533</v>
      </c>
      <c r="Q357" s="47"/>
      <c r="R357" s="50"/>
    </row>
    <row r="358" spans="1:18" ht="48" thickTop="1" thickBot="1" x14ac:dyDescent="0.25">
      <c r="A358" s="103" t="s">
        <v>468</v>
      </c>
      <c r="B358" s="103" t="s">
        <v>291</v>
      </c>
      <c r="C358" s="103" t="s">
        <v>1367</v>
      </c>
      <c r="D358" s="103" t="s">
        <v>292</v>
      </c>
      <c r="E358" s="328">
        <f>F358</f>
        <v>158360533</v>
      </c>
      <c r="F358" s="462">
        <v>158360533</v>
      </c>
      <c r="G358" s="462"/>
      <c r="H358" s="462"/>
      <c r="I358" s="462"/>
      <c r="J358" s="328">
        <f>L358+O358</f>
        <v>0</v>
      </c>
      <c r="K358" s="462"/>
      <c r="L358" s="462"/>
      <c r="M358" s="462"/>
      <c r="N358" s="462"/>
      <c r="O358" s="459">
        <f>K358</f>
        <v>0</v>
      </c>
      <c r="P358" s="328">
        <f>E358+J358</f>
        <v>158360533</v>
      </c>
      <c r="Q358" s="47"/>
      <c r="R358" s="50"/>
    </row>
    <row r="359" spans="1:18" ht="48" hidden="1" thickTop="1" thickBot="1" x14ac:dyDescent="0.25">
      <c r="A359" s="128" t="s">
        <v>1097</v>
      </c>
      <c r="B359" s="128" t="s">
        <v>1098</v>
      </c>
      <c r="C359" s="128" t="s">
        <v>295</v>
      </c>
      <c r="D359" s="128" t="s">
        <v>1096</v>
      </c>
      <c r="E359" s="127">
        <f>F359</f>
        <v>0</v>
      </c>
      <c r="F359" s="134"/>
      <c r="G359" s="134"/>
      <c r="H359" s="134"/>
      <c r="I359" s="134"/>
      <c r="J359" s="127">
        <f>L359+O359</f>
        <v>0</v>
      </c>
      <c r="K359" s="134"/>
      <c r="L359" s="134"/>
      <c r="M359" s="134"/>
      <c r="N359" s="134"/>
      <c r="O359" s="132">
        <f>K359</f>
        <v>0</v>
      </c>
      <c r="P359" s="127">
        <f>E359+J359</f>
        <v>0</v>
      </c>
      <c r="Q359" s="47"/>
      <c r="R359" s="50"/>
    </row>
    <row r="360" spans="1:18" ht="47.25" hidden="1" thickTop="1" thickBot="1" x14ac:dyDescent="0.25">
      <c r="A360" s="136" t="s">
        <v>1173</v>
      </c>
      <c r="B360" s="136" t="s">
        <v>691</v>
      </c>
      <c r="C360" s="136"/>
      <c r="D360" s="136" t="s">
        <v>689</v>
      </c>
      <c r="E360" s="137">
        <f>E361</f>
        <v>0</v>
      </c>
      <c r="F360" s="137">
        <f t="shared" ref="F360:P360" si="305">F361</f>
        <v>0</v>
      </c>
      <c r="G360" s="137">
        <f t="shared" si="305"/>
        <v>0</v>
      </c>
      <c r="H360" s="137">
        <f t="shared" si="305"/>
        <v>0</v>
      </c>
      <c r="I360" s="137">
        <f t="shared" si="305"/>
        <v>0</v>
      </c>
      <c r="J360" s="137">
        <f t="shared" si="305"/>
        <v>0</v>
      </c>
      <c r="K360" s="137">
        <f t="shared" si="305"/>
        <v>0</v>
      </c>
      <c r="L360" s="137">
        <f t="shared" si="305"/>
        <v>0</v>
      </c>
      <c r="M360" s="137">
        <f t="shared" si="305"/>
        <v>0</v>
      </c>
      <c r="N360" s="137">
        <f t="shared" si="305"/>
        <v>0</v>
      </c>
      <c r="O360" s="137">
        <f t="shared" si="305"/>
        <v>0</v>
      </c>
      <c r="P360" s="137">
        <f t="shared" si="305"/>
        <v>0</v>
      </c>
      <c r="Q360" s="47"/>
      <c r="R360" s="50"/>
    </row>
    <row r="361" spans="1:18" ht="48" hidden="1" thickTop="1" thickBot="1" x14ac:dyDescent="0.25">
      <c r="A361" s="128" t="s">
        <v>1174</v>
      </c>
      <c r="B361" s="128" t="s">
        <v>197</v>
      </c>
      <c r="C361" s="128" t="s">
        <v>170</v>
      </c>
      <c r="D361" s="128" t="s">
        <v>1175</v>
      </c>
      <c r="E361" s="127">
        <f>F361</f>
        <v>0</v>
      </c>
      <c r="F361" s="134">
        <v>0</v>
      </c>
      <c r="G361" s="134"/>
      <c r="H361" s="134"/>
      <c r="I361" s="134"/>
      <c r="J361" s="127">
        <f>L361+O361</f>
        <v>0</v>
      </c>
      <c r="K361" s="134">
        <v>0</v>
      </c>
      <c r="L361" s="134"/>
      <c r="M361" s="134"/>
      <c r="N361" s="134"/>
      <c r="O361" s="132">
        <f>K361</f>
        <v>0</v>
      </c>
      <c r="P361" s="127">
        <f>E361+J361</f>
        <v>0</v>
      </c>
      <c r="Q361" s="47"/>
      <c r="R361" s="50"/>
    </row>
    <row r="362" spans="1:18" ht="47.25" thickTop="1" thickBot="1" x14ac:dyDescent="0.25">
      <c r="A362" s="311" t="s">
        <v>1219</v>
      </c>
      <c r="B362" s="311" t="s">
        <v>696</v>
      </c>
      <c r="C362" s="311"/>
      <c r="D362" s="311" t="s">
        <v>697</v>
      </c>
      <c r="E362" s="328">
        <f>E363</f>
        <v>2189014</v>
      </c>
      <c r="F362" s="328">
        <f t="shared" ref="F362:P363" si="306">F363</f>
        <v>2189014</v>
      </c>
      <c r="G362" s="328">
        <f t="shared" si="306"/>
        <v>0</v>
      </c>
      <c r="H362" s="328">
        <f t="shared" si="306"/>
        <v>0</v>
      </c>
      <c r="I362" s="328">
        <f t="shared" si="306"/>
        <v>0</v>
      </c>
      <c r="J362" s="328">
        <f t="shared" si="306"/>
        <v>0</v>
      </c>
      <c r="K362" s="328">
        <f t="shared" si="306"/>
        <v>0</v>
      </c>
      <c r="L362" s="328">
        <f t="shared" si="306"/>
        <v>0</v>
      </c>
      <c r="M362" s="328">
        <f t="shared" si="306"/>
        <v>0</v>
      </c>
      <c r="N362" s="328">
        <f t="shared" si="306"/>
        <v>0</v>
      </c>
      <c r="O362" s="328">
        <f t="shared" si="306"/>
        <v>0</v>
      </c>
      <c r="P362" s="328">
        <f t="shared" si="306"/>
        <v>2189014</v>
      </c>
      <c r="Q362" s="47"/>
      <c r="R362" s="50"/>
    </row>
    <row r="363" spans="1:18" ht="47.25" thickTop="1" thickBot="1" x14ac:dyDescent="0.25">
      <c r="A363" s="313" t="s">
        <v>1220</v>
      </c>
      <c r="B363" s="313" t="s">
        <v>1186</v>
      </c>
      <c r="C363" s="313"/>
      <c r="D363" s="313" t="s">
        <v>1184</v>
      </c>
      <c r="E363" s="315">
        <f>E364</f>
        <v>2189014</v>
      </c>
      <c r="F363" s="315">
        <f>F364</f>
        <v>2189014</v>
      </c>
      <c r="G363" s="315">
        <f t="shared" si="306"/>
        <v>0</v>
      </c>
      <c r="H363" s="315">
        <f t="shared" si="306"/>
        <v>0</v>
      </c>
      <c r="I363" s="315">
        <f t="shared" si="306"/>
        <v>0</v>
      </c>
      <c r="J363" s="315">
        <f t="shared" si="306"/>
        <v>0</v>
      </c>
      <c r="K363" s="315">
        <f t="shared" si="306"/>
        <v>0</v>
      </c>
      <c r="L363" s="315">
        <f t="shared" si="306"/>
        <v>0</v>
      </c>
      <c r="M363" s="315">
        <f t="shared" si="306"/>
        <v>0</v>
      </c>
      <c r="N363" s="315">
        <f t="shared" si="306"/>
        <v>0</v>
      </c>
      <c r="O363" s="315">
        <f t="shared" si="306"/>
        <v>0</v>
      </c>
      <c r="P363" s="315">
        <f>P364</f>
        <v>2189014</v>
      </c>
      <c r="Q363" s="47"/>
      <c r="R363" s="50"/>
    </row>
    <row r="364" spans="1:18" ht="48" thickTop="1" thickBot="1" x14ac:dyDescent="0.25">
      <c r="A364" s="103" t="s">
        <v>1221</v>
      </c>
      <c r="B364" s="103" t="s">
        <v>1222</v>
      </c>
      <c r="C364" s="103" t="s">
        <v>1188</v>
      </c>
      <c r="D364" s="103" t="s">
        <v>1223</v>
      </c>
      <c r="E364" s="328">
        <f>F364</f>
        <v>2189014</v>
      </c>
      <c r="F364" s="462">
        <v>2189014</v>
      </c>
      <c r="G364" s="462"/>
      <c r="H364" s="462"/>
      <c r="I364" s="462"/>
      <c r="J364" s="328">
        <f>L364+O364</f>
        <v>0</v>
      </c>
      <c r="K364" s="462"/>
      <c r="L364" s="462"/>
      <c r="M364" s="462"/>
      <c r="N364" s="462"/>
      <c r="O364" s="459">
        <f>K364</f>
        <v>0</v>
      </c>
      <c r="P364" s="328">
        <f>E364+J364</f>
        <v>2189014</v>
      </c>
      <c r="Q364" s="47"/>
      <c r="R364" s="50"/>
    </row>
    <row r="365" spans="1:18" ht="47.25" hidden="1" thickTop="1" thickBot="1" x14ac:dyDescent="0.25">
      <c r="A365" s="125" t="s">
        <v>1334</v>
      </c>
      <c r="B365" s="125" t="s">
        <v>702</v>
      </c>
      <c r="C365" s="125"/>
      <c r="D365" s="125" t="s">
        <v>703</v>
      </c>
      <c r="E365" s="127">
        <f t="shared" ref="E365:P365" si="307">E366</f>
        <v>0</v>
      </c>
      <c r="F365" s="127">
        <f t="shared" si="307"/>
        <v>0</v>
      </c>
      <c r="G365" s="127">
        <f t="shared" si="307"/>
        <v>0</v>
      </c>
      <c r="H365" s="127">
        <f t="shared" si="307"/>
        <v>0</v>
      </c>
      <c r="I365" s="127">
        <f t="shared" si="307"/>
        <v>0</v>
      </c>
      <c r="J365" s="127">
        <f t="shared" si="307"/>
        <v>0</v>
      </c>
      <c r="K365" s="127">
        <f t="shared" si="307"/>
        <v>0</v>
      </c>
      <c r="L365" s="127">
        <f t="shared" si="307"/>
        <v>0</v>
      </c>
      <c r="M365" s="127">
        <f t="shared" si="307"/>
        <v>0</v>
      </c>
      <c r="N365" s="127">
        <f t="shared" si="307"/>
        <v>0</v>
      </c>
      <c r="O365" s="127">
        <f t="shared" si="307"/>
        <v>0</v>
      </c>
      <c r="P365" s="127">
        <f t="shared" si="307"/>
        <v>0</v>
      </c>
      <c r="Q365" s="47"/>
      <c r="R365" s="50"/>
    </row>
    <row r="366" spans="1:18" ht="91.5" hidden="1" thickTop="1" thickBot="1" x14ac:dyDescent="0.25">
      <c r="A366" s="136" t="s">
        <v>1335</v>
      </c>
      <c r="B366" s="136" t="s">
        <v>514</v>
      </c>
      <c r="C366" s="136" t="s">
        <v>43</v>
      </c>
      <c r="D366" s="136" t="s">
        <v>515</v>
      </c>
      <c r="E366" s="137">
        <f t="shared" ref="E366" si="308">F366</f>
        <v>0</v>
      </c>
      <c r="F366" s="137">
        <v>0</v>
      </c>
      <c r="G366" s="137"/>
      <c r="H366" s="137"/>
      <c r="I366" s="137"/>
      <c r="J366" s="137">
        <f>L366+O366</f>
        <v>0</v>
      </c>
      <c r="K366" s="134"/>
      <c r="L366" s="137"/>
      <c r="M366" s="137"/>
      <c r="N366" s="137"/>
      <c r="O366" s="137">
        <f>(K366+0)</f>
        <v>0</v>
      </c>
      <c r="P366" s="137">
        <f>E366+J366</f>
        <v>0</v>
      </c>
      <c r="Q366" s="47"/>
      <c r="R366" s="50"/>
    </row>
    <row r="367" spans="1:18" ht="120" customHeight="1" thickTop="1" thickBot="1" x14ac:dyDescent="0.25">
      <c r="A367" s="661" t="s">
        <v>166</v>
      </c>
      <c r="B367" s="661"/>
      <c r="C367" s="661"/>
      <c r="D367" s="662" t="s">
        <v>354</v>
      </c>
      <c r="E367" s="663">
        <f>E368</f>
        <v>10000000</v>
      </c>
      <c r="F367" s="664">
        <f t="shared" ref="F367:G367" si="309">F368</f>
        <v>10000000</v>
      </c>
      <c r="G367" s="664">
        <f t="shared" si="309"/>
        <v>0</v>
      </c>
      <c r="H367" s="664">
        <f>H368</f>
        <v>0</v>
      </c>
      <c r="I367" s="664">
        <f t="shared" ref="I367" si="310">I368</f>
        <v>0</v>
      </c>
      <c r="J367" s="663">
        <f>J368</f>
        <v>800000</v>
      </c>
      <c r="K367" s="664">
        <f>K368</f>
        <v>800000</v>
      </c>
      <c r="L367" s="664">
        <f>L368</f>
        <v>0</v>
      </c>
      <c r="M367" s="664">
        <f t="shared" ref="M367" si="311">M368</f>
        <v>0</v>
      </c>
      <c r="N367" s="664">
        <f>N368</f>
        <v>0</v>
      </c>
      <c r="O367" s="663">
        <f>O368</f>
        <v>800000</v>
      </c>
      <c r="P367" s="664">
        <f t="shared" ref="P367" si="312">P368</f>
        <v>10800000</v>
      </c>
      <c r="Q367" s="20"/>
    </row>
    <row r="368" spans="1:18" ht="120" customHeight="1" thickTop="1" thickBot="1" x14ac:dyDescent="0.25">
      <c r="A368" s="658" t="s">
        <v>167</v>
      </c>
      <c r="B368" s="658"/>
      <c r="C368" s="658"/>
      <c r="D368" s="659" t="s">
        <v>355</v>
      </c>
      <c r="E368" s="660">
        <f>E371+E383+E380+E369</f>
        <v>10000000</v>
      </c>
      <c r="F368" s="660">
        <f>F371+F383+F380+F369</f>
        <v>10000000</v>
      </c>
      <c r="G368" s="660">
        <f>G371+G383+G380+G369</f>
        <v>0</v>
      </c>
      <c r="H368" s="660">
        <f>H371+H383+H380+H369</f>
        <v>0</v>
      </c>
      <c r="I368" s="660">
        <f>I371+I383+I380+I369</f>
        <v>0</v>
      </c>
      <c r="J368" s="660">
        <f>L368+O368</f>
        <v>800000</v>
      </c>
      <c r="K368" s="660">
        <f>K371+K383+K380+K369</f>
        <v>800000</v>
      </c>
      <c r="L368" s="660">
        <f>L371+L383+L380+L369</f>
        <v>0</v>
      </c>
      <c r="M368" s="660">
        <f>M371+M383+M380+M369</f>
        <v>0</v>
      </c>
      <c r="N368" s="660">
        <f>N371+N383+N380+N369</f>
        <v>0</v>
      </c>
      <c r="O368" s="660">
        <f>O371+O383+O380+O369</f>
        <v>800000</v>
      </c>
      <c r="P368" s="660">
        <f>E368+J368</f>
        <v>10800000</v>
      </c>
      <c r="Q368" s="503" t="b">
        <f>P368=P373+P375+P376+P377+P370+P382</f>
        <v>1</v>
      </c>
      <c r="R368" s="46"/>
    </row>
    <row r="369" spans="1:18" ht="47.25" thickTop="1" thickBot="1" x14ac:dyDescent="0.25">
      <c r="A369" s="311" t="s">
        <v>1308</v>
      </c>
      <c r="B369" s="311" t="s">
        <v>711</v>
      </c>
      <c r="C369" s="311"/>
      <c r="D369" s="311" t="s">
        <v>712</v>
      </c>
      <c r="E369" s="328">
        <f t="shared" ref="E369:P369" si="313">SUM(E370:E370)</f>
        <v>500000</v>
      </c>
      <c r="F369" s="328">
        <f t="shared" si="313"/>
        <v>500000</v>
      </c>
      <c r="G369" s="328">
        <f t="shared" si="313"/>
        <v>0</v>
      </c>
      <c r="H369" s="328">
        <f t="shared" si="313"/>
        <v>0</v>
      </c>
      <c r="I369" s="328">
        <f t="shared" si="313"/>
        <v>0</v>
      </c>
      <c r="J369" s="328">
        <f t="shared" si="313"/>
        <v>350000</v>
      </c>
      <c r="K369" s="328">
        <f t="shared" si="313"/>
        <v>350000</v>
      </c>
      <c r="L369" s="328">
        <f t="shared" si="313"/>
        <v>0</v>
      </c>
      <c r="M369" s="328">
        <f t="shared" si="313"/>
        <v>0</v>
      </c>
      <c r="N369" s="328">
        <f t="shared" si="313"/>
        <v>0</v>
      </c>
      <c r="O369" s="328">
        <f t="shared" si="313"/>
        <v>350000</v>
      </c>
      <c r="P369" s="328">
        <f t="shared" si="313"/>
        <v>850000</v>
      </c>
      <c r="Q369" s="47"/>
      <c r="R369" s="46"/>
    </row>
    <row r="370" spans="1:18" ht="93" thickTop="1" thickBot="1" x14ac:dyDescent="0.25">
      <c r="A370" s="103" t="s">
        <v>1309</v>
      </c>
      <c r="B370" s="103" t="s">
        <v>1200</v>
      </c>
      <c r="C370" s="103" t="s">
        <v>206</v>
      </c>
      <c r="D370" s="470" t="s">
        <v>1201</v>
      </c>
      <c r="E370" s="328">
        <f t="shared" ref="E370" si="314">F370</f>
        <v>500000</v>
      </c>
      <c r="F370" s="462">
        <v>500000</v>
      </c>
      <c r="G370" s="462"/>
      <c r="H370" s="462"/>
      <c r="I370" s="462"/>
      <c r="J370" s="328">
        <f>L370+O370</f>
        <v>350000</v>
      </c>
      <c r="K370" s="462">
        <v>350000</v>
      </c>
      <c r="L370" s="462"/>
      <c r="M370" s="462"/>
      <c r="N370" s="462"/>
      <c r="O370" s="459">
        <f>K370</f>
        <v>350000</v>
      </c>
      <c r="P370" s="328">
        <f>E370+J370</f>
        <v>850000</v>
      </c>
      <c r="Q370" s="47"/>
      <c r="R370" s="46"/>
    </row>
    <row r="371" spans="1:18" ht="44.25" customHeight="1" thickTop="1" thickBot="1" x14ac:dyDescent="0.25">
      <c r="A371" s="311" t="s">
        <v>829</v>
      </c>
      <c r="B371" s="311" t="s">
        <v>748</v>
      </c>
      <c r="C371" s="103"/>
      <c r="D371" s="311" t="s">
        <v>794</v>
      </c>
      <c r="E371" s="587">
        <f t="shared" ref="E371:P371" si="315">E374+E372</f>
        <v>9000000</v>
      </c>
      <c r="F371" s="587">
        <f t="shared" si="315"/>
        <v>9000000</v>
      </c>
      <c r="G371" s="587">
        <f t="shared" si="315"/>
        <v>0</v>
      </c>
      <c r="H371" s="587">
        <f t="shared" si="315"/>
        <v>0</v>
      </c>
      <c r="I371" s="587">
        <f t="shared" si="315"/>
        <v>0</v>
      </c>
      <c r="J371" s="587">
        <f t="shared" si="315"/>
        <v>100000</v>
      </c>
      <c r="K371" s="587">
        <f t="shared" si="315"/>
        <v>100000</v>
      </c>
      <c r="L371" s="587">
        <f t="shared" si="315"/>
        <v>0</v>
      </c>
      <c r="M371" s="587">
        <f t="shared" si="315"/>
        <v>0</v>
      </c>
      <c r="N371" s="587">
        <f t="shared" si="315"/>
        <v>0</v>
      </c>
      <c r="O371" s="587">
        <f t="shared" si="315"/>
        <v>100000</v>
      </c>
      <c r="P371" s="587">
        <f t="shared" si="315"/>
        <v>9100000</v>
      </c>
      <c r="Q371" s="47"/>
      <c r="R371" s="46"/>
    </row>
    <row r="372" spans="1:18" ht="47.25" thickTop="1" thickBot="1" x14ac:dyDescent="0.25">
      <c r="A372" s="313" t="s">
        <v>1011</v>
      </c>
      <c r="B372" s="313" t="s">
        <v>803</v>
      </c>
      <c r="C372" s="313"/>
      <c r="D372" s="313" t="s">
        <v>804</v>
      </c>
      <c r="E372" s="586">
        <f>E373</f>
        <v>50000</v>
      </c>
      <c r="F372" s="586">
        <f>F373</f>
        <v>50000</v>
      </c>
      <c r="G372" s="586">
        <f t="shared" ref="G372:O372" si="316">G373</f>
        <v>0</v>
      </c>
      <c r="H372" s="586">
        <f t="shared" si="316"/>
        <v>0</v>
      </c>
      <c r="I372" s="586">
        <f t="shared" si="316"/>
        <v>0</v>
      </c>
      <c r="J372" s="586">
        <f t="shared" si="316"/>
        <v>0</v>
      </c>
      <c r="K372" s="586">
        <f t="shared" si="316"/>
        <v>0</v>
      </c>
      <c r="L372" s="586">
        <f t="shared" si="316"/>
        <v>0</v>
      </c>
      <c r="M372" s="586">
        <f t="shared" si="316"/>
        <v>0</v>
      </c>
      <c r="N372" s="586">
        <f t="shared" si="316"/>
        <v>0</v>
      </c>
      <c r="O372" s="586">
        <f t="shared" si="316"/>
        <v>0</v>
      </c>
      <c r="P372" s="586">
        <f>P373</f>
        <v>50000</v>
      </c>
      <c r="Q372" s="47"/>
      <c r="R372" s="46"/>
    </row>
    <row r="373" spans="1:18" ht="48" thickTop="1" thickBot="1" x14ac:dyDescent="0.25">
      <c r="A373" s="103" t="s">
        <v>1012</v>
      </c>
      <c r="B373" s="103" t="s">
        <v>350</v>
      </c>
      <c r="C373" s="103" t="s">
        <v>170</v>
      </c>
      <c r="D373" s="103" t="s">
        <v>262</v>
      </c>
      <c r="E373" s="328">
        <f t="shared" ref="E373" si="317">F373</f>
        <v>50000</v>
      </c>
      <c r="F373" s="462">
        <v>50000</v>
      </c>
      <c r="G373" s="462"/>
      <c r="H373" s="462"/>
      <c r="I373" s="462"/>
      <c r="J373" s="328">
        <f t="shared" ref="J373" si="318">L373+O373</f>
        <v>0</v>
      </c>
      <c r="K373" s="462"/>
      <c r="L373" s="462"/>
      <c r="M373" s="462"/>
      <c r="N373" s="462"/>
      <c r="O373" s="459">
        <f>K373</f>
        <v>0</v>
      </c>
      <c r="P373" s="328">
        <f t="shared" ref="P373" si="319">E373+J373</f>
        <v>50000</v>
      </c>
      <c r="Q373" s="47"/>
      <c r="R373" s="46"/>
    </row>
    <row r="374" spans="1:18" ht="47.25" thickTop="1" thickBot="1" x14ac:dyDescent="0.25">
      <c r="A374" s="313" t="s">
        <v>830</v>
      </c>
      <c r="B374" s="313" t="s">
        <v>691</v>
      </c>
      <c r="C374" s="313"/>
      <c r="D374" s="313" t="s">
        <v>689</v>
      </c>
      <c r="E374" s="586">
        <f>SUM(E375:E379)-E378</f>
        <v>8950000</v>
      </c>
      <c r="F374" s="586">
        <f t="shared" ref="F374:P374" si="320">SUM(F375:F379)-F378</f>
        <v>8950000</v>
      </c>
      <c r="G374" s="586">
        <f t="shared" si="320"/>
        <v>0</v>
      </c>
      <c r="H374" s="586">
        <f t="shared" si="320"/>
        <v>0</v>
      </c>
      <c r="I374" s="586">
        <f t="shared" si="320"/>
        <v>0</v>
      </c>
      <c r="J374" s="586">
        <f>SUM(J375:J379)-J378</f>
        <v>100000</v>
      </c>
      <c r="K374" s="586">
        <f t="shared" si="320"/>
        <v>100000</v>
      </c>
      <c r="L374" s="586">
        <f t="shared" si="320"/>
        <v>0</v>
      </c>
      <c r="M374" s="586">
        <f t="shared" si="320"/>
        <v>0</v>
      </c>
      <c r="N374" s="586">
        <f t="shared" si="320"/>
        <v>0</v>
      </c>
      <c r="O374" s="586">
        <f t="shared" si="320"/>
        <v>100000</v>
      </c>
      <c r="P374" s="586">
        <f t="shared" si="320"/>
        <v>9050000</v>
      </c>
      <c r="Q374" s="47"/>
      <c r="R374" s="46"/>
    </row>
    <row r="375" spans="1:18" ht="48" thickTop="1" thickBot="1" x14ac:dyDescent="0.25">
      <c r="A375" s="103" t="s">
        <v>260</v>
      </c>
      <c r="B375" s="103" t="s">
        <v>261</v>
      </c>
      <c r="C375" s="103" t="s">
        <v>259</v>
      </c>
      <c r="D375" s="103" t="s">
        <v>258</v>
      </c>
      <c r="E375" s="328">
        <f t="shared" ref="E375:E379" si="321">F375</f>
        <v>8245000</v>
      </c>
      <c r="F375" s="462">
        <f>(2045000)+6200000</f>
        <v>8245000</v>
      </c>
      <c r="G375" s="462"/>
      <c r="H375" s="462"/>
      <c r="I375" s="462"/>
      <c r="J375" s="328">
        <f t="shared" ref="J375:J379" si="322">L375+O375</f>
        <v>0</v>
      </c>
      <c r="K375" s="462"/>
      <c r="L375" s="462"/>
      <c r="M375" s="462"/>
      <c r="N375" s="462"/>
      <c r="O375" s="459">
        <f>K375</f>
        <v>0</v>
      </c>
      <c r="P375" s="328">
        <f t="shared" ref="P375:P379" si="323">E375+J375</f>
        <v>8245000</v>
      </c>
      <c r="Q375" s="20"/>
      <c r="R375" s="46"/>
    </row>
    <row r="376" spans="1:18" ht="48" thickTop="1" thickBot="1" x14ac:dyDescent="0.25">
      <c r="A376" s="103" t="s">
        <v>252</v>
      </c>
      <c r="B376" s="103" t="s">
        <v>254</v>
      </c>
      <c r="C376" s="103" t="s">
        <v>213</v>
      </c>
      <c r="D376" s="103" t="s">
        <v>253</v>
      </c>
      <c r="E376" s="328">
        <f t="shared" si="321"/>
        <v>505000</v>
      </c>
      <c r="F376" s="462">
        <v>505000</v>
      </c>
      <c r="G376" s="462"/>
      <c r="H376" s="462"/>
      <c r="I376" s="462"/>
      <c r="J376" s="328">
        <f t="shared" si="322"/>
        <v>0</v>
      </c>
      <c r="K376" s="462"/>
      <c r="L376" s="462"/>
      <c r="M376" s="462"/>
      <c r="N376" s="462"/>
      <c r="O376" s="459">
        <f>K376</f>
        <v>0</v>
      </c>
      <c r="P376" s="328">
        <f t="shared" si="323"/>
        <v>505000</v>
      </c>
      <c r="Q376" s="20"/>
      <c r="R376" s="46"/>
    </row>
    <row r="377" spans="1:18" ht="48" thickTop="1" thickBot="1" x14ac:dyDescent="0.25">
      <c r="A377" s="103" t="s">
        <v>1303</v>
      </c>
      <c r="B377" s="103" t="s">
        <v>212</v>
      </c>
      <c r="C377" s="103" t="s">
        <v>213</v>
      </c>
      <c r="D377" s="103" t="s">
        <v>41</v>
      </c>
      <c r="E377" s="328">
        <f t="shared" si="321"/>
        <v>200000</v>
      </c>
      <c r="F377" s="462">
        <v>200000</v>
      </c>
      <c r="G377" s="462"/>
      <c r="H377" s="462"/>
      <c r="I377" s="462"/>
      <c r="J377" s="328">
        <f t="shared" si="322"/>
        <v>100000</v>
      </c>
      <c r="K377" s="462">
        <v>100000</v>
      </c>
      <c r="L377" s="462"/>
      <c r="M377" s="462"/>
      <c r="N377" s="462"/>
      <c r="O377" s="459">
        <f>K377</f>
        <v>100000</v>
      </c>
      <c r="P377" s="328">
        <f t="shared" si="323"/>
        <v>300000</v>
      </c>
      <c r="Q377" s="20"/>
      <c r="R377" s="46"/>
    </row>
    <row r="378" spans="1:18" ht="48" hidden="1" thickTop="1" thickBot="1" x14ac:dyDescent="0.25">
      <c r="A378" s="140" t="s">
        <v>831</v>
      </c>
      <c r="B378" s="140" t="s">
        <v>694</v>
      </c>
      <c r="C378" s="140"/>
      <c r="D378" s="140" t="s">
        <v>692</v>
      </c>
      <c r="E378" s="141">
        <f>E379</f>
        <v>0</v>
      </c>
      <c r="F378" s="141">
        <f t="shared" ref="F378:P378" si="324">F379</f>
        <v>0</v>
      </c>
      <c r="G378" s="141">
        <f t="shared" si="324"/>
        <v>0</v>
      </c>
      <c r="H378" s="141">
        <f t="shared" si="324"/>
        <v>0</v>
      </c>
      <c r="I378" s="141">
        <f t="shared" si="324"/>
        <v>0</v>
      </c>
      <c r="J378" s="141">
        <f t="shared" si="324"/>
        <v>0</v>
      </c>
      <c r="K378" s="141">
        <f t="shared" si="324"/>
        <v>0</v>
      </c>
      <c r="L378" s="141">
        <f t="shared" si="324"/>
        <v>0</v>
      </c>
      <c r="M378" s="141">
        <f t="shared" si="324"/>
        <v>0</v>
      </c>
      <c r="N378" s="141">
        <f t="shared" si="324"/>
        <v>0</v>
      </c>
      <c r="O378" s="141">
        <f t="shared" si="324"/>
        <v>0</v>
      </c>
      <c r="P378" s="141">
        <f t="shared" si="324"/>
        <v>0</v>
      </c>
      <c r="Q378" s="20"/>
      <c r="R378" s="46"/>
    </row>
    <row r="379" spans="1:18" ht="48" hidden="1" thickTop="1" thickBot="1" x14ac:dyDescent="0.25">
      <c r="A379" s="128" t="s">
        <v>256</v>
      </c>
      <c r="B379" s="128" t="s">
        <v>257</v>
      </c>
      <c r="C379" s="128" t="s">
        <v>170</v>
      </c>
      <c r="D379" s="128" t="s">
        <v>255</v>
      </c>
      <c r="E379" s="127">
        <f t="shared" si="321"/>
        <v>0</v>
      </c>
      <c r="F379" s="134"/>
      <c r="G379" s="134"/>
      <c r="H379" s="134"/>
      <c r="I379" s="134"/>
      <c r="J379" s="127">
        <f t="shared" si="322"/>
        <v>0</v>
      </c>
      <c r="K379" s="134"/>
      <c r="L379" s="134"/>
      <c r="M379" s="134"/>
      <c r="N379" s="134"/>
      <c r="O379" s="132">
        <f>K379</f>
        <v>0</v>
      </c>
      <c r="P379" s="127">
        <f t="shared" si="323"/>
        <v>0</v>
      </c>
      <c r="Q379" s="20"/>
      <c r="R379" s="46"/>
    </row>
    <row r="380" spans="1:18" ht="47.25" thickTop="1" thickBot="1" x14ac:dyDescent="0.25">
      <c r="A380" s="311" t="s">
        <v>1305</v>
      </c>
      <c r="B380" s="311" t="s">
        <v>696</v>
      </c>
      <c r="C380" s="311"/>
      <c r="D380" s="311" t="s">
        <v>697</v>
      </c>
      <c r="E380" s="328">
        <f t="shared" ref="E380:P381" si="325">E381</f>
        <v>500000</v>
      </c>
      <c r="F380" s="328">
        <f t="shared" si="325"/>
        <v>500000</v>
      </c>
      <c r="G380" s="328">
        <f t="shared" si="325"/>
        <v>0</v>
      </c>
      <c r="H380" s="328">
        <f t="shared" si="325"/>
        <v>0</v>
      </c>
      <c r="I380" s="328">
        <f t="shared" si="325"/>
        <v>0</v>
      </c>
      <c r="J380" s="328">
        <f t="shared" si="325"/>
        <v>350000</v>
      </c>
      <c r="K380" s="328">
        <f t="shared" si="325"/>
        <v>350000</v>
      </c>
      <c r="L380" s="328">
        <f t="shared" si="325"/>
        <v>0</v>
      </c>
      <c r="M380" s="328">
        <f t="shared" si="325"/>
        <v>0</v>
      </c>
      <c r="N380" s="328">
        <f t="shared" si="325"/>
        <v>0</v>
      </c>
      <c r="O380" s="328">
        <f t="shared" si="325"/>
        <v>350000</v>
      </c>
      <c r="P380" s="328">
        <f t="shared" si="325"/>
        <v>850000</v>
      </c>
      <c r="Q380" s="20"/>
      <c r="R380" s="46"/>
    </row>
    <row r="381" spans="1:18" ht="47.25" thickTop="1" thickBot="1" x14ac:dyDescent="0.25">
      <c r="A381" s="313" t="s">
        <v>1306</v>
      </c>
      <c r="B381" s="313" t="s">
        <v>1186</v>
      </c>
      <c r="C381" s="313"/>
      <c r="D381" s="313" t="s">
        <v>1184</v>
      </c>
      <c r="E381" s="315">
        <f t="shared" si="325"/>
        <v>500000</v>
      </c>
      <c r="F381" s="315">
        <f t="shared" si="325"/>
        <v>500000</v>
      </c>
      <c r="G381" s="315">
        <f t="shared" si="325"/>
        <v>0</v>
      </c>
      <c r="H381" s="315">
        <f t="shared" si="325"/>
        <v>0</v>
      </c>
      <c r="I381" s="315">
        <f t="shared" si="325"/>
        <v>0</v>
      </c>
      <c r="J381" s="315">
        <f t="shared" si="325"/>
        <v>350000</v>
      </c>
      <c r="K381" s="315">
        <f t="shared" si="325"/>
        <v>350000</v>
      </c>
      <c r="L381" s="315">
        <f t="shared" si="325"/>
        <v>0</v>
      </c>
      <c r="M381" s="315">
        <f t="shared" si="325"/>
        <v>0</v>
      </c>
      <c r="N381" s="315">
        <f t="shared" si="325"/>
        <v>0</v>
      </c>
      <c r="O381" s="315">
        <f t="shared" si="325"/>
        <v>350000</v>
      </c>
      <c r="P381" s="315">
        <f t="shared" si="325"/>
        <v>850000</v>
      </c>
      <c r="Q381" s="20"/>
      <c r="R381" s="46"/>
    </row>
    <row r="382" spans="1:18" ht="48" thickTop="1" thickBot="1" x14ac:dyDescent="0.25">
      <c r="A382" s="103" t="s">
        <v>1307</v>
      </c>
      <c r="B382" s="103" t="s">
        <v>1190</v>
      </c>
      <c r="C382" s="103" t="s">
        <v>1188</v>
      </c>
      <c r="D382" s="103" t="s">
        <v>1187</v>
      </c>
      <c r="E382" s="328">
        <f>F382</f>
        <v>500000</v>
      </c>
      <c r="F382" s="462">
        <v>500000</v>
      </c>
      <c r="G382" s="462"/>
      <c r="H382" s="462"/>
      <c r="I382" s="462"/>
      <c r="J382" s="328">
        <f>L382+O382</f>
        <v>350000</v>
      </c>
      <c r="K382" s="462">
        <v>350000</v>
      </c>
      <c r="L382" s="462"/>
      <c r="M382" s="462"/>
      <c r="N382" s="462"/>
      <c r="O382" s="459">
        <f>K382</f>
        <v>350000</v>
      </c>
      <c r="P382" s="328">
        <f>E382+J382</f>
        <v>850000</v>
      </c>
      <c r="Q382" s="20"/>
      <c r="R382" s="46"/>
    </row>
    <row r="383" spans="1:18" ht="47.25" hidden="1" thickTop="1" thickBot="1" x14ac:dyDescent="0.25">
      <c r="A383" s="125" t="s">
        <v>906</v>
      </c>
      <c r="B383" s="125" t="s">
        <v>702</v>
      </c>
      <c r="C383" s="125"/>
      <c r="D383" s="125" t="s">
        <v>703</v>
      </c>
      <c r="E383" s="127">
        <f>E384</f>
        <v>0</v>
      </c>
      <c r="F383" s="127">
        <f t="shared" ref="F383:P384" si="326">F384</f>
        <v>0</v>
      </c>
      <c r="G383" s="127">
        <f t="shared" si="326"/>
        <v>0</v>
      </c>
      <c r="H383" s="127">
        <f t="shared" si="326"/>
        <v>0</v>
      </c>
      <c r="I383" s="127">
        <f t="shared" si="326"/>
        <v>0</v>
      </c>
      <c r="J383" s="127">
        <f t="shared" si="326"/>
        <v>0</v>
      </c>
      <c r="K383" s="127">
        <f t="shared" si="326"/>
        <v>0</v>
      </c>
      <c r="L383" s="127">
        <f t="shared" si="326"/>
        <v>0</v>
      </c>
      <c r="M383" s="127">
        <f t="shared" si="326"/>
        <v>0</v>
      </c>
      <c r="N383" s="127">
        <f t="shared" si="326"/>
        <v>0</v>
      </c>
      <c r="O383" s="127">
        <f t="shared" si="326"/>
        <v>0</v>
      </c>
      <c r="P383" s="127">
        <f t="shared" si="326"/>
        <v>0</v>
      </c>
      <c r="Q383" s="20"/>
      <c r="R383" s="46"/>
    </row>
    <row r="384" spans="1:18" ht="91.5" hidden="1" thickTop="1" thickBot="1" x14ac:dyDescent="0.25">
      <c r="A384" s="136" t="s">
        <v>907</v>
      </c>
      <c r="B384" s="136" t="s">
        <v>705</v>
      </c>
      <c r="C384" s="136"/>
      <c r="D384" s="136" t="s">
        <v>706</v>
      </c>
      <c r="E384" s="137">
        <f>E385</f>
        <v>0</v>
      </c>
      <c r="F384" s="137">
        <f t="shared" si="326"/>
        <v>0</v>
      </c>
      <c r="G384" s="137">
        <f t="shared" si="326"/>
        <v>0</v>
      </c>
      <c r="H384" s="137">
        <f t="shared" si="326"/>
        <v>0</v>
      </c>
      <c r="I384" s="137">
        <f t="shared" si="326"/>
        <v>0</v>
      </c>
      <c r="J384" s="137">
        <f t="shared" si="326"/>
        <v>0</v>
      </c>
      <c r="K384" s="137">
        <f t="shared" si="326"/>
        <v>0</v>
      </c>
      <c r="L384" s="137">
        <f t="shared" si="326"/>
        <v>0</v>
      </c>
      <c r="M384" s="137">
        <f t="shared" si="326"/>
        <v>0</v>
      </c>
      <c r="N384" s="137">
        <f t="shared" si="326"/>
        <v>0</v>
      </c>
      <c r="O384" s="137">
        <f t="shared" si="326"/>
        <v>0</v>
      </c>
      <c r="P384" s="137">
        <f t="shared" si="326"/>
        <v>0</v>
      </c>
      <c r="Q384" s="20"/>
      <c r="R384" s="46"/>
    </row>
    <row r="385" spans="1:18" ht="48" hidden="1" thickTop="1" thickBot="1" x14ac:dyDescent="0.25">
      <c r="A385" s="128" t="s">
        <v>908</v>
      </c>
      <c r="B385" s="128" t="s">
        <v>363</v>
      </c>
      <c r="C385" s="128" t="s">
        <v>43</v>
      </c>
      <c r="D385" s="128" t="s">
        <v>364</v>
      </c>
      <c r="E385" s="127">
        <f t="shared" ref="E385" si="327">F385</f>
        <v>0</v>
      </c>
      <c r="F385" s="134"/>
      <c r="G385" s="134"/>
      <c r="H385" s="134"/>
      <c r="I385" s="134"/>
      <c r="J385" s="127">
        <f>L385+O385</f>
        <v>0</v>
      </c>
      <c r="K385" s="134"/>
      <c r="L385" s="134"/>
      <c r="M385" s="134"/>
      <c r="N385" s="134"/>
      <c r="O385" s="132">
        <f>K385</f>
        <v>0</v>
      </c>
      <c r="P385" s="127">
        <f>E385+J385</f>
        <v>0</v>
      </c>
      <c r="Q385" s="20"/>
      <c r="R385" s="46"/>
    </row>
    <row r="386" spans="1:18" ht="120" customHeight="1" thickTop="1" thickBot="1" x14ac:dyDescent="0.25">
      <c r="A386" s="661" t="s">
        <v>164</v>
      </c>
      <c r="B386" s="661"/>
      <c r="C386" s="661"/>
      <c r="D386" s="662" t="s">
        <v>887</v>
      </c>
      <c r="E386" s="663">
        <f>E387</f>
        <v>7070528</v>
      </c>
      <c r="F386" s="664">
        <f t="shared" ref="F386:G386" si="328">F387</f>
        <v>7070528</v>
      </c>
      <c r="G386" s="664">
        <f t="shared" si="328"/>
        <v>5498880</v>
      </c>
      <c r="H386" s="664">
        <f>H387</f>
        <v>121573</v>
      </c>
      <c r="I386" s="664">
        <f t="shared" ref="I386" si="329">I387</f>
        <v>0</v>
      </c>
      <c r="J386" s="663">
        <f>J387</f>
        <v>1200000</v>
      </c>
      <c r="K386" s="664">
        <f>K387</f>
        <v>0</v>
      </c>
      <c r="L386" s="664">
        <f>L387</f>
        <v>1200000</v>
      </c>
      <c r="M386" s="664">
        <f t="shared" ref="M386" si="330">M387</f>
        <v>0</v>
      </c>
      <c r="N386" s="664">
        <f>N387</f>
        <v>0</v>
      </c>
      <c r="O386" s="663">
        <f>O387</f>
        <v>0</v>
      </c>
      <c r="P386" s="664">
        <f t="shared" ref="P386" si="331">P387</f>
        <v>8270528</v>
      </c>
      <c r="Q386" s="20"/>
    </row>
    <row r="387" spans="1:18" ht="120" customHeight="1" thickTop="1" thickBot="1" x14ac:dyDescent="0.25">
      <c r="A387" s="658" t="s">
        <v>165</v>
      </c>
      <c r="B387" s="658"/>
      <c r="C387" s="658"/>
      <c r="D387" s="659" t="s">
        <v>886</v>
      </c>
      <c r="E387" s="660">
        <f>E388+E391+E394</f>
        <v>7070528</v>
      </c>
      <c r="F387" s="660">
        <f t="shared" ref="F387:P387" si="332">F388+F391+F394</f>
        <v>7070528</v>
      </c>
      <c r="G387" s="660">
        <f>G388+G391+G394</f>
        <v>5498880</v>
      </c>
      <c r="H387" s="660">
        <f t="shared" si="332"/>
        <v>121573</v>
      </c>
      <c r="I387" s="660">
        <f t="shared" si="332"/>
        <v>0</v>
      </c>
      <c r="J387" s="660">
        <f>J388+J391+J394</f>
        <v>1200000</v>
      </c>
      <c r="K387" s="660">
        <f t="shared" si="332"/>
        <v>0</v>
      </c>
      <c r="L387" s="660">
        <f>L388+L391+L394</f>
        <v>1200000</v>
      </c>
      <c r="M387" s="660">
        <f t="shared" si="332"/>
        <v>0</v>
      </c>
      <c r="N387" s="660">
        <f t="shared" si="332"/>
        <v>0</v>
      </c>
      <c r="O387" s="660">
        <f t="shared" si="332"/>
        <v>0</v>
      </c>
      <c r="P387" s="660">
        <f t="shared" si="332"/>
        <v>8270528</v>
      </c>
      <c r="Q387" s="503" t="b">
        <f>P387=P389+P393</f>
        <v>1</v>
      </c>
      <c r="R387" s="46"/>
    </row>
    <row r="388" spans="1:18" ht="47.25" thickTop="1" thickBot="1" x14ac:dyDescent="0.25">
      <c r="A388" s="311" t="s">
        <v>832</v>
      </c>
      <c r="B388" s="311" t="s">
        <v>684</v>
      </c>
      <c r="C388" s="311"/>
      <c r="D388" s="311" t="s">
        <v>685</v>
      </c>
      <c r="E388" s="328">
        <f>SUM(E389:E390)</f>
        <v>7070528</v>
      </c>
      <c r="F388" s="328">
        <f t="shared" ref="F388:N388" si="333">SUM(F389:F390)</f>
        <v>7070528</v>
      </c>
      <c r="G388" s="328">
        <f t="shared" si="333"/>
        <v>5498880</v>
      </c>
      <c r="H388" s="328">
        <f t="shared" si="333"/>
        <v>121573</v>
      </c>
      <c r="I388" s="328">
        <f t="shared" si="333"/>
        <v>0</v>
      </c>
      <c r="J388" s="328">
        <f t="shared" si="333"/>
        <v>0</v>
      </c>
      <c r="K388" s="328">
        <f t="shared" si="333"/>
        <v>0</v>
      </c>
      <c r="L388" s="328">
        <f t="shared" si="333"/>
        <v>0</v>
      </c>
      <c r="M388" s="328">
        <f t="shared" si="333"/>
        <v>0</v>
      </c>
      <c r="N388" s="328">
        <f t="shared" si="333"/>
        <v>0</v>
      </c>
      <c r="O388" s="328">
        <f>SUM(O389:O390)</f>
        <v>0</v>
      </c>
      <c r="P388" s="328">
        <f t="shared" ref="P388" si="334">SUM(P389:P390)</f>
        <v>7070528</v>
      </c>
      <c r="Q388" s="47"/>
      <c r="R388" s="46"/>
    </row>
    <row r="389" spans="1:18" ht="93" thickTop="1" thickBot="1" x14ac:dyDescent="0.25">
      <c r="A389" s="103" t="s">
        <v>422</v>
      </c>
      <c r="B389" s="103" t="s">
        <v>236</v>
      </c>
      <c r="C389" s="103" t="s">
        <v>234</v>
      </c>
      <c r="D389" s="103" t="s">
        <v>235</v>
      </c>
      <c r="E389" s="328">
        <f>F389</f>
        <v>7070528</v>
      </c>
      <c r="F389" s="462">
        <v>7070528</v>
      </c>
      <c r="G389" s="462">
        <v>5498880</v>
      </c>
      <c r="H389" s="462">
        <v>121573</v>
      </c>
      <c r="I389" s="462"/>
      <c r="J389" s="328">
        <f t="shared" ref="J389:J393" si="335">L389+O389</f>
        <v>0</v>
      </c>
      <c r="K389" s="462"/>
      <c r="L389" s="462"/>
      <c r="M389" s="462"/>
      <c r="N389" s="462"/>
      <c r="O389" s="459">
        <f>K389</f>
        <v>0</v>
      </c>
      <c r="P389" s="328">
        <f t="shared" ref="P389:P393" si="336">E389+J389</f>
        <v>7070528</v>
      </c>
      <c r="Q389" s="47"/>
      <c r="R389" s="46"/>
    </row>
    <row r="390" spans="1:18" ht="93" hidden="1" thickTop="1" thickBot="1" x14ac:dyDescent="0.25">
      <c r="A390" s="41" t="s">
        <v>633</v>
      </c>
      <c r="B390" s="41" t="s">
        <v>362</v>
      </c>
      <c r="C390" s="41" t="s">
        <v>625</v>
      </c>
      <c r="D390" s="41" t="s">
        <v>626</v>
      </c>
      <c r="E390" s="152">
        <f>F390</f>
        <v>0</v>
      </c>
      <c r="F390" s="129">
        <v>0</v>
      </c>
      <c r="G390" s="129"/>
      <c r="H390" s="129"/>
      <c r="I390" s="129"/>
      <c r="J390" s="127">
        <f t="shared" si="335"/>
        <v>0</v>
      </c>
      <c r="K390" s="129"/>
      <c r="L390" s="130"/>
      <c r="M390" s="130"/>
      <c r="N390" s="130"/>
      <c r="O390" s="132">
        <f t="shared" ref="O390" si="337">K390</f>
        <v>0</v>
      </c>
      <c r="P390" s="127">
        <f t="shared" ref="P390" si="338">+J390+E390</f>
        <v>0</v>
      </c>
      <c r="Q390" s="47"/>
      <c r="R390" s="46"/>
    </row>
    <row r="391" spans="1:18" ht="47.25" thickTop="1" thickBot="1" x14ac:dyDescent="0.25">
      <c r="A391" s="311" t="s">
        <v>833</v>
      </c>
      <c r="B391" s="311" t="s">
        <v>696</v>
      </c>
      <c r="C391" s="311"/>
      <c r="D391" s="311" t="s">
        <v>697</v>
      </c>
      <c r="E391" s="312">
        <f>E392</f>
        <v>0</v>
      </c>
      <c r="F391" s="312">
        <f t="shared" ref="F391:P392" si="339">F392</f>
        <v>0</v>
      </c>
      <c r="G391" s="312">
        <f t="shared" si="339"/>
        <v>0</v>
      </c>
      <c r="H391" s="312">
        <f t="shared" si="339"/>
        <v>0</v>
      </c>
      <c r="I391" s="312">
        <f t="shared" si="339"/>
        <v>0</v>
      </c>
      <c r="J391" s="312">
        <f t="shared" si="339"/>
        <v>1200000</v>
      </c>
      <c r="K391" s="312">
        <f t="shared" si="339"/>
        <v>0</v>
      </c>
      <c r="L391" s="312">
        <f t="shared" si="339"/>
        <v>1200000</v>
      </c>
      <c r="M391" s="312">
        <f t="shared" si="339"/>
        <v>0</v>
      </c>
      <c r="N391" s="312">
        <f t="shared" si="339"/>
        <v>0</v>
      </c>
      <c r="O391" s="312">
        <f t="shared" si="339"/>
        <v>0</v>
      </c>
      <c r="P391" s="312">
        <f t="shared" si="339"/>
        <v>1200000</v>
      </c>
      <c r="Q391" s="47"/>
      <c r="R391" s="46"/>
    </row>
    <row r="392" spans="1:18" ht="47.25" thickTop="1" thickBot="1" x14ac:dyDescent="0.25">
      <c r="A392" s="313" t="s">
        <v>834</v>
      </c>
      <c r="B392" s="313" t="s">
        <v>835</v>
      </c>
      <c r="C392" s="313"/>
      <c r="D392" s="313" t="s">
        <v>836</v>
      </c>
      <c r="E392" s="314">
        <f>E393</f>
        <v>0</v>
      </c>
      <c r="F392" s="314">
        <f t="shared" si="339"/>
        <v>0</v>
      </c>
      <c r="G392" s="314">
        <f t="shared" si="339"/>
        <v>0</v>
      </c>
      <c r="H392" s="314">
        <f t="shared" si="339"/>
        <v>0</v>
      </c>
      <c r="I392" s="314">
        <f t="shared" si="339"/>
        <v>0</v>
      </c>
      <c r="J392" s="314">
        <f t="shared" si="339"/>
        <v>1200000</v>
      </c>
      <c r="K392" s="314">
        <f t="shared" si="339"/>
        <v>0</v>
      </c>
      <c r="L392" s="314">
        <f t="shared" si="339"/>
        <v>1200000</v>
      </c>
      <c r="M392" s="314">
        <f t="shared" si="339"/>
        <v>0</v>
      </c>
      <c r="N392" s="314">
        <f t="shared" si="339"/>
        <v>0</v>
      </c>
      <c r="O392" s="314">
        <f t="shared" si="339"/>
        <v>0</v>
      </c>
      <c r="P392" s="314">
        <f t="shared" si="339"/>
        <v>1200000</v>
      </c>
      <c r="Q392" s="47"/>
      <c r="R392" s="46"/>
    </row>
    <row r="393" spans="1:18" ht="48" thickTop="1" thickBot="1" x14ac:dyDescent="0.25">
      <c r="A393" s="103" t="s">
        <v>1127</v>
      </c>
      <c r="B393" s="103" t="s">
        <v>1128</v>
      </c>
      <c r="C393" s="103" t="s">
        <v>51</v>
      </c>
      <c r="D393" s="103" t="s">
        <v>1129</v>
      </c>
      <c r="E393" s="328">
        <v>0</v>
      </c>
      <c r="F393" s="462"/>
      <c r="G393" s="462"/>
      <c r="H393" s="462"/>
      <c r="I393" s="462"/>
      <c r="J393" s="328">
        <f t="shared" si="335"/>
        <v>1200000</v>
      </c>
      <c r="K393" s="328"/>
      <c r="L393" s="462">
        <f>80000+60000+60000+80000+20000+100000+500000+300000</f>
        <v>1200000</v>
      </c>
      <c r="M393" s="462"/>
      <c r="N393" s="462"/>
      <c r="O393" s="459">
        <f>K393</f>
        <v>0</v>
      </c>
      <c r="P393" s="328">
        <f t="shared" si="336"/>
        <v>1200000</v>
      </c>
      <c r="Q393" s="503" t="b">
        <f>J393='d9'!F20</f>
        <v>1</v>
      </c>
    </row>
    <row r="394" spans="1:18" ht="47.25" hidden="1" thickTop="1" thickBot="1" x14ac:dyDescent="0.25">
      <c r="A394" s="125" t="s">
        <v>1249</v>
      </c>
      <c r="B394" s="125" t="s">
        <v>702</v>
      </c>
      <c r="C394" s="125"/>
      <c r="D394" s="125" t="s">
        <v>703</v>
      </c>
      <c r="E394" s="127">
        <f t="shared" ref="E394:P394" si="340">E395</f>
        <v>0</v>
      </c>
      <c r="F394" s="127">
        <f t="shared" si="340"/>
        <v>0</v>
      </c>
      <c r="G394" s="127">
        <f t="shared" si="340"/>
        <v>0</v>
      </c>
      <c r="H394" s="127">
        <f t="shared" si="340"/>
        <v>0</v>
      </c>
      <c r="I394" s="127">
        <f t="shared" si="340"/>
        <v>0</v>
      </c>
      <c r="J394" s="127">
        <f t="shared" si="340"/>
        <v>0</v>
      </c>
      <c r="K394" s="127">
        <f t="shared" si="340"/>
        <v>0</v>
      </c>
      <c r="L394" s="127">
        <f t="shared" si="340"/>
        <v>0</v>
      </c>
      <c r="M394" s="127">
        <f t="shared" si="340"/>
        <v>0</v>
      </c>
      <c r="N394" s="127">
        <f t="shared" si="340"/>
        <v>0</v>
      </c>
      <c r="O394" s="127">
        <f t="shared" si="340"/>
        <v>0</v>
      </c>
      <c r="P394" s="127">
        <f t="shared" si="340"/>
        <v>0</v>
      </c>
      <c r="Q394" s="47"/>
    </row>
    <row r="395" spans="1:18" ht="91.5" hidden="1" thickTop="1" thickBot="1" x14ac:dyDescent="0.25">
      <c r="A395" s="136" t="s">
        <v>1248</v>
      </c>
      <c r="B395" s="136" t="s">
        <v>514</v>
      </c>
      <c r="C395" s="136" t="s">
        <v>43</v>
      </c>
      <c r="D395" s="136" t="s">
        <v>515</v>
      </c>
      <c r="E395" s="137">
        <f t="shared" ref="E395" si="341">F395</f>
        <v>0</v>
      </c>
      <c r="F395" s="137">
        <v>0</v>
      </c>
      <c r="G395" s="137"/>
      <c r="H395" s="137"/>
      <c r="I395" s="137"/>
      <c r="J395" s="137">
        <f>L395+O395</f>
        <v>0</v>
      </c>
      <c r="K395" s="134">
        <v>0</v>
      </c>
      <c r="L395" s="137"/>
      <c r="M395" s="137"/>
      <c r="N395" s="137"/>
      <c r="O395" s="137">
        <f>(K395+0)</f>
        <v>0</v>
      </c>
      <c r="P395" s="137">
        <f>E395+J395</f>
        <v>0</v>
      </c>
      <c r="Q395" s="47"/>
    </row>
    <row r="396" spans="1:18" ht="120" customHeight="1" thickTop="1" thickBot="1" x14ac:dyDescent="0.25">
      <c r="A396" s="661" t="s">
        <v>162</v>
      </c>
      <c r="B396" s="661"/>
      <c r="C396" s="661"/>
      <c r="D396" s="662" t="s">
        <v>896</v>
      </c>
      <c r="E396" s="663">
        <f>E397</f>
        <v>10319624</v>
      </c>
      <c r="F396" s="664">
        <f t="shared" ref="F396:G396" si="342">F397</f>
        <v>10319624</v>
      </c>
      <c r="G396" s="664">
        <f t="shared" si="342"/>
        <v>7843804</v>
      </c>
      <c r="H396" s="664">
        <f>H397</f>
        <v>329783</v>
      </c>
      <c r="I396" s="664">
        <f t="shared" ref="I396" si="343">I397</f>
        <v>0</v>
      </c>
      <c r="J396" s="663">
        <f>J397</f>
        <v>15000</v>
      </c>
      <c r="K396" s="664">
        <f>K397</f>
        <v>15000</v>
      </c>
      <c r="L396" s="664">
        <f>L397</f>
        <v>0</v>
      </c>
      <c r="M396" s="664">
        <f t="shared" ref="M396" si="344">M397</f>
        <v>0</v>
      </c>
      <c r="N396" s="664">
        <f>N397</f>
        <v>0</v>
      </c>
      <c r="O396" s="663">
        <f>O397</f>
        <v>15000</v>
      </c>
      <c r="P396" s="664">
        <f t="shared" ref="P396" si="345">P397</f>
        <v>10334624</v>
      </c>
      <c r="Q396" s="20"/>
    </row>
    <row r="397" spans="1:18" ht="120" customHeight="1" thickTop="1" thickBot="1" x14ac:dyDescent="0.25">
      <c r="A397" s="658" t="s">
        <v>163</v>
      </c>
      <c r="B397" s="658"/>
      <c r="C397" s="658"/>
      <c r="D397" s="659" t="s">
        <v>895</v>
      </c>
      <c r="E397" s="660">
        <f>E398+E400</f>
        <v>10319624</v>
      </c>
      <c r="F397" s="660">
        <f t="shared" ref="F397:I397" si="346">F398+F400</f>
        <v>10319624</v>
      </c>
      <c r="G397" s="660">
        <f t="shared" si="346"/>
        <v>7843804</v>
      </c>
      <c r="H397" s="660">
        <f t="shared" si="346"/>
        <v>329783</v>
      </c>
      <c r="I397" s="660">
        <f t="shared" si="346"/>
        <v>0</v>
      </c>
      <c r="J397" s="660">
        <f>L397+O397</f>
        <v>15000</v>
      </c>
      <c r="K397" s="660">
        <f t="shared" ref="K397:O397" si="347">K398+K400</f>
        <v>15000</v>
      </c>
      <c r="L397" s="660">
        <f t="shared" si="347"/>
        <v>0</v>
      </c>
      <c r="M397" s="660">
        <f t="shared" si="347"/>
        <v>0</v>
      </c>
      <c r="N397" s="660">
        <f t="shared" si="347"/>
        <v>0</v>
      </c>
      <c r="O397" s="660">
        <f t="shared" si="347"/>
        <v>15000</v>
      </c>
      <c r="P397" s="660">
        <f>E397+J397</f>
        <v>10334624</v>
      </c>
      <c r="Q397" s="503" t="b">
        <f>P397=P399+P402+P404</f>
        <v>1</v>
      </c>
      <c r="R397" s="45"/>
    </row>
    <row r="398" spans="1:18" ht="47.25" thickTop="1" thickBot="1" x14ac:dyDescent="0.25">
      <c r="A398" s="311" t="s">
        <v>837</v>
      </c>
      <c r="B398" s="311" t="s">
        <v>684</v>
      </c>
      <c r="C398" s="311"/>
      <c r="D398" s="311" t="s">
        <v>685</v>
      </c>
      <c r="E398" s="328">
        <f>SUM(E399)</f>
        <v>10159624</v>
      </c>
      <c r="F398" s="328">
        <f t="shared" ref="F398:P398" si="348">SUM(F399)</f>
        <v>10159624</v>
      </c>
      <c r="G398" s="328">
        <f t="shared" si="348"/>
        <v>7843804</v>
      </c>
      <c r="H398" s="328">
        <f t="shared" si="348"/>
        <v>329783</v>
      </c>
      <c r="I398" s="328">
        <f t="shared" si="348"/>
        <v>0</v>
      </c>
      <c r="J398" s="328">
        <f t="shared" si="348"/>
        <v>0</v>
      </c>
      <c r="K398" s="328">
        <f t="shared" si="348"/>
        <v>0</v>
      </c>
      <c r="L398" s="328">
        <f t="shared" si="348"/>
        <v>0</v>
      </c>
      <c r="M398" s="328">
        <f t="shared" si="348"/>
        <v>0</v>
      </c>
      <c r="N398" s="328">
        <f t="shared" si="348"/>
        <v>0</v>
      </c>
      <c r="O398" s="328">
        <f t="shared" si="348"/>
        <v>0</v>
      </c>
      <c r="P398" s="328">
        <f t="shared" si="348"/>
        <v>10159624</v>
      </c>
      <c r="Q398" s="47"/>
      <c r="R398" s="45"/>
    </row>
    <row r="399" spans="1:18" ht="93" thickTop="1" thickBot="1" x14ac:dyDescent="0.25">
      <c r="A399" s="103" t="s">
        <v>418</v>
      </c>
      <c r="B399" s="103" t="s">
        <v>236</v>
      </c>
      <c r="C399" s="103" t="s">
        <v>234</v>
      </c>
      <c r="D399" s="103" t="s">
        <v>235</v>
      </c>
      <c r="E399" s="328">
        <f>F399</f>
        <v>10159624</v>
      </c>
      <c r="F399" s="462">
        <v>10159624</v>
      </c>
      <c r="G399" s="462">
        <v>7843804</v>
      </c>
      <c r="H399" s="462">
        <v>329783</v>
      </c>
      <c r="I399" s="462"/>
      <c r="J399" s="328">
        <f>L399+O399</f>
        <v>0</v>
      </c>
      <c r="K399" s="462">
        <v>0</v>
      </c>
      <c r="L399" s="462"/>
      <c r="M399" s="462"/>
      <c r="N399" s="462"/>
      <c r="O399" s="459">
        <f>K399</f>
        <v>0</v>
      </c>
      <c r="P399" s="328">
        <f>E399+J399</f>
        <v>10159624</v>
      </c>
      <c r="Q399" s="20"/>
      <c r="R399" s="45"/>
    </row>
    <row r="400" spans="1:18" ht="47.25" thickTop="1" thickBot="1" x14ac:dyDescent="0.25">
      <c r="A400" s="311" t="s">
        <v>838</v>
      </c>
      <c r="B400" s="311" t="s">
        <v>748</v>
      </c>
      <c r="C400" s="103"/>
      <c r="D400" s="311" t="s">
        <v>794</v>
      </c>
      <c r="E400" s="328">
        <f t="shared" ref="E400:P400" si="349">E401+E403</f>
        <v>160000</v>
      </c>
      <c r="F400" s="328">
        <f t="shared" si="349"/>
        <v>160000</v>
      </c>
      <c r="G400" s="328">
        <f t="shared" si="349"/>
        <v>0</v>
      </c>
      <c r="H400" s="328">
        <f t="shared" si="349"/>
        <v>0</v>
      </c>
      <c r="I400" s="328">
        <f t="shared" si="349"/>
        <v>0</v>
      </c>
      <c r="J400" s="328">
        <f t="shared" si="349"/>
        <v>15000</v>
      </c>
      <c r="K400" s="328">
        <f t="shared" si="349"/>
        <v>15000</v>
      </c>
      <c r="L400" s="328">
        <f t="shared" si="349"/>
        <v>0</v>
      </c>
      <c r="M400" s="328">
        <f t="shared" si="349"/>
        <v>0</v>
      </c>
      <c r="N400" s="328">
        <f t="shared" si="349"/>
        <v>0</v>
      </c>
      <c r="O400" s="328">
        <f t="shared" si="349"/>
        <v>15000</v>
      </c>
      <c r="P400" s="328">
        <f t="shared" si="349"/>
        <v>175000</v>
      </c>
      <c r="Q400" s="20"/>
      <c r="R400" s="47"/>
    </row>
    <row r="401" spans="1:19" ht="47.25" thickTop="1" thickBot="1" x14ac:dyDescent="0.25">
      <c r="A401" s="313" t="s">
        <v>839</v>
      </c>
      <c r="B401" s="313" t="s">
        <v>840</v>
      </c>
      <c r="C401" s="313"/>
      <c r="D401" s="313" t="s">
        <v>841</v>
      </c>
      <c r="E401" s="315">
        <f>SUM(E402)</f>
        <v>160000</v>
      </c>
      <c r="F401" s="315">
        <f t="shared" ref="F401:P401" si="350">SUM(F402)</f>
        <v>160000</v>
      </c>
      <c r="G401" s="315">
        <f t="shared" si="350"/>
        <v>0</v>
      </c>
      <c r="H401" s="315">
        <f t="shared" si="350"/>
        <v>0</v>
      </c>
      <c r="I401" s="315">
        <f t="shared" si="350"/>
        <v>0</v>
      </c>
      <c r="J401" s="315">
        <f t="shared" si="350"/>
        <v>0</v>
      </c>
      <c r="K401" s="315">
        <f t="shared" si="350"/>
        <v>0</v>
      </c>
      <c r="L401" s="315">
        <f t="shared" si="350"/>
        <v>0</v>
      </c>
      <c r="M401" s="315">
        <f t="shared" si="350"/>
        <v>0</v>
      </c>
      <c r="N401" s="315">
        <f t="shared" si="350"/>
        <v>0</v>
      </c>
      <c r="O401" s="315">
        <f t="shared" si="350"/>
        <v>0</v>
      </c>
      <c r="P401" s="315">
        <f t="shared" si="350"/>
        <v>160000</v>
      </c>
      <c r="Q401" s="20"/>
      <c r="R401" s="47"/>
    </row>
    <row r="402" spans="1:19" ht="48" thickTop="1" thickBot="1" x14ac:dyDescent="0.25">
      <c r="A402" s="103" t="s">
        <v>306</v>
      </c>
      <c r="B402" s="103" t="s">
        <v>307</v>
      </c>
      <c r="C402" s="103" t="s">
        <v>308</v>
      </c>
      <c r="D402" s="103" t="s">
        <v>461</v>
      </c>
      <c r="E402" s="328">
        <f>F402</f>
        <v>160000</v>
      </c>
      <c r="F402" s="462">
        <f>(30000)+80000+50000</f>
        <v>160000</v>
      </c>
      <c r="G402" s="462"/>
      <c r="H402" s="462"/>
      <c r="I402" s="462"/>
      <c r="J402" s="328">
        <f>L402+O402</f>
        <v>0</v>
      </c>
      <c r="K402" s="462">
        <f>(30000)-30000</f>
        <v>0</v>
      </c>
      <c r="L402" s="462"/>
      <c r="M402" s="462"/>
      <c r="N402" s="462"/>
      <c r="O402" s="459">
        <f>(K402)</f>
        <v>0</v>
      </c>
      <c r="P402" s="328">
        <f>E402+J402</f>
        <v>160000</v>
      </c>
      <c r="Q402" s="20"/>
      <c r="R402" s="45"/>
    </row>
    <row r="403" spans="1:19" ht="47.25" thickTop="1" thickBot="1" x14ac:dyDescent="0.25">
      <c r="A403" s="313" t="s">
        <v>842</v>
      </c>
      <c r="B403" s="313" t="s">
        <v>691</v>
      </c>
      <c r="C403" s="103"/>
      <c r="D403" s="313" t="s">
        <v>843</v>
      </c>
      <c r="E403" s="315">
        <f>SUM(E404)</f>
        <v>0</v>
      </c>
      <c r="F403" s="315">
        <f t="shared" ref="F403:P403" si="351">SUM(F404)</f>
        <v>0</v>
      </c>
      <c r="G403" s="315">
        <f t="shared" si="351"/>
        <v>0</v>
      </c>
      <c r="H403" s="315">
        <f t="shared" si="351"/>
        <v>0</v>
      </c>
      <c r="I403" s="315">
        <f t="shared" si="351"/>
        <v>0</v>
      </c>
      <c r="J403" s="315">
        <f t="shared" si="351"/>
        <v>15000</v>
      </c>
      <c r="K403" s="315">
        <f t="shared" si="351"/>
        <v>15000</v>
      </c>
      <c r="L403" s="315">
        <f t="shared" si="351"/>
        <v>0</v>
      </c>
      <c r="M403" s="315">
        <f t="shared" si="351"/>
        <v>0</v>
      </c>
      <c r="N403" s="315">
        <f t="shared" si="351"/>
        <v>0</v>
      </c>
      <c r="O403" s="315">
        <f t="shared" si="351"/>
        <v>15000</v>
      </c>
      <c r="P403" s="315">
        <f t="shared" si="351"/>
        <v>15000</v>
      </c>
      <c r="Q403" s="20"/>
    </row>
    <row r="404" spans="1:19" ht="48" thickTop="1" thickBot="1" x14ac:dyDescent="0.25">
      <c r="A404" s="103" t="s">
        <v>368</v>
      </c>
      <c r="B404" s="103" t="s">
        <v>369</v>
      </c>
      <c r="C404" s="103" t="s">
        <v>170</v>
      </c>
      <c r="D404" s="103" t="s">
        <v>370</v>
      </c>
      <c r="E404" s="328">
        <f>F404</f>
        <v>0</v>
      </c>
      <c r="F404" s="462"/>
      <c r="G404" s="462"/>
      <c r="H404" s="462"/>
      <c r="I404" s="462"/>
      <c r="J404" s="328">
        <f>L404+O404</f>
        <v>15000</v>
      </c>
      <c r="K404" s="462">
        <f>(5000)+10000</f>
        <v>15000</v>
      </c>
      <c r="L404" s="462"/>
      <c r="M404" s="462"/>
      <c r="N404" s="462"/>
      <c r="O404" s="459">
        <f>K404</f>
        <v>15000</v>
      </c>
      <c r="P404" s="328">
        <f>E404+J404</f>
        <v>15000</v>
      </c>
      <c r="Q404" s="20"/>
      <c r="R404" s="45"/>
    </row>
    <row r="405" spans="1:19" ht="120" customHeight="1" thickTop="1" thickBot="1" x14ac:dyDescent="0.25">
      <c r="A405" s="661" t="s">
        <v>168</v>
      </c>
      <c r="B405" s="661"/>
      <c r="C405" s="661"/>
      <c r="D405" s="662" t="s">
        <v>27</v>
      </c>
      <c r="E405" s="663">
        <f>E406</f>
        <v>33294217.780000001</v>
      </c>
      <c r="F405" s="664">
        <f t="shared" ref="F405:G405" si="352">F406</f>
        <v>33294217.780000001</v>
      </c>
      <c r="G405" s="664">
        <f t="shared" si="352"/>
        <v>8214383</v>
      </c>
      <c r="H405" s="664">
        <f>H406</f>
        <v>258373</v>
      </c>
      <c r="I405" s="664">
        <f t="shared" ref="I405" si="353">I406</f>
        <v>0</v>
      </c>
      <c r="J405" s="663">
        <f>J406</f>
        <v>0</v>
      </c>
      <c r="K405" s="664">
        <f>K406</f>
        <v>0</v>
      </c>
      <c r="L405" s="664">
        <f>L406</f>
        <v>0</v>
      </c>
      <c r="M405" s="664">
        <f t="shared" ref="M405" si="354">M406</f>
        <v>0</v>
      </c>
      <c r="N405" s="664">
        <f>N406</f>
        <v>0</v>
      </c>
      <c r="O405" s="663">
        <f>O406</f>
        <v>0</v>
      </c>
      <c r="P405" s="664">
        <f t="shared" ref="P405" si="355">P406</f>
        <v>33294217.780000001</v>
      </c>
      <c r="Q405" s="20"/>
    </row>
    <row r="406" spans="1:19" ht="120" customHeight="1" thickTop="1" thickBot="1" x14ac:dyDescent="0.25">
      <c r="A406" s="658" t="s">
        <v>169</v>
      </c>
      <c r="B406" s="658"/>
      <c r="C406" s="658"/>
      <c r="D406" s="659" t="s">
        <v>40</v>
      </c>
      <c r="E406" s="660">
        <f>E407+E413+E420+E410</f>
        <v>33294217.780000001</v>
      </c>
      <c r="F406" s="660">
        <f t="shared" ref="F406:P406" si="356">F407+F413+F420+F410</f>
        <v>33294217.780000001</v>
      </c>
      <c r="G406" s="660">
        <f t="shared" si="356"/>
        <v>8214383</v>
      </c>
      <c r="H406" s="660">
        <f t="shared" si="356"/>
        <v>258373</v>
      </c>
      <c r="I406" s="660">
        <f t="shared" si="356"/>
        <v>0</v>
      </c>
      <c r="J406" s="660">
        <f t="shared" si="356"/>
        <v>0</v>
      </c>
      <c r="K406" s="660">
        <f t="shared" si="356"/>
        <v>0</v>
      </c>
      <c r="L406" s="660">
        <f t="shared" si="356"/>
        <v>0</v>
      </c>
      <c r="M406" s="660">
        <f t="shared" si="356"/>
        <v>0</v>
      </c>
      <c r="N406" s="660">
        <f t="shared" si="356"/>
        <v>0</v>
      </c>
      <c r="O406" s="660">
        <f t="shared" si="356"/>
        <v>0</v>
      </c>
      <c r="P406" s="660">
        <f t="shared" si="356"/>
        <v>33294217.780000001</v>
      </c>
      <c r="Q406" s="503" t="b">
        <f>P406=P408+P414+P416</f>
        <v>1</v>
      </c>
      <c r="R406" s="45"/>
    </row>
    <row r="407" spans="1:19" ht="47.25" thickTop="1" thickBot="1" x14ac:dyDescent="0.25">
      <c r="A407" s="311" t="s">
        <v>844</v>
      </c>
      <c r="B407" s="311" t="s">
        <v>684</v>
      </c>
      <c r="C407" s="311"/>
      <c r="D407" s="311" t="s">
        <v>685</v>
      </c>
      <c r="E407" s="328">
        <f>SUM(E408:E409)</f>
        <v>10337342</v>
      </c>
      <c r="F407" s="328">
        <f t="shared" ref="F407:P407" si="357">SUM(F408:F409)</f>
        <v>10337342</v>
      </c>
      <c r="G407" s="328">
        <f t="shared" si="357"/>
        <v>8214383</v>
      </c>
      <c r="H407" s="328">
        <f t="shared" si="357"/>
        <v>258373</v>
      </c>
      <c r="I407" s="328">
        <f t="shared" si="357"/>
        <v>0</v>
      </c>
      <c r="J407" s="328">
        <f t="shared" si="357"/>
        <v>0</v>
      </c>
      <c r="K407" s="328">
        <f t="shared" si="357"/>
        <v>0</v>
      </c>
      <c r="L407" s="328">
        <f t="shared" si="357"/>
        <v>0</v>
      </c>
      <c r="M407" s="328">
        <f t="shared" si="357"/>
        <v>0</v>
      </c>
      <c r="N407" s="328">
        <f t="shared" si="357"/>
        <v>0</v>
      </c>
      <c r="O407" s="328">
        <f t="shared" si="357"/>
        <v>0</v>
      </c>
      <c r="P407" s="328">
        <f t="shared" si="357"/>
        <v>10337342</v>
      </c>
      <c r="Q407" s="47"/>
      <c r="R407" s="50"/>
    </row>
    <row r="408" spans="1:19" ht="93" thickTop="1" thickBot="1" x14ac:dyDescent="0.25">
      <c r="A408" s="103" t="s">
        <v>420</v>
      </c>
      <c r="B408" s="103" t="s">
        <v>236</v>
      </c>
      <c r="C408" s="103" t="s">
        <v>234</v>
      </c>
      <c r="D408" s="103" t="s">
        <v>235</v>
      </c>
      <c r="E408" s="328">
        <f>F408</f>
        <v>10337342</v>
      </c>
      <c r="F408" s="462">
        <v>10337342</v>
      </c>
      <c r="G408" s="462">
        <v>8214383</v>
      </c>
      <c r="H408" s="462">
        <v>258373</v>
      </c>
      <c r="I408" s="462"/>
      <c r="J408" s="328">
        <f>L408+O408</f>
        <v>0</v>
      </c>
      <c r="K408" s="462">
        <v>0</v>
      </c>
      <c r="L408" s="462"/>
      <c r="M408" s="462"/>
      <c r="N408" s="462"/>
      <c r="O408" s="459">
        <f>K408</f>
        <v>0</v>
      </c>
      <c r="P408" s="328">
        <f>E408+J408</f>
        <v>10337342</v>
      </c>
      <c r="Q408" s="47"/>
      <c r="R408" s="50"/>
      <c r="S408" s="47"/>
    </row>
    <row r="409" spans="1:19" ht="93" hidden="1" thickTop="1" thickBot="1" x14ac:dyDescent="0.25">
      <c r="A409" s="128" t="s">
        <v>634</v>
      </c>
      <c r="B409" s="128" t="s">
        <v>362</v>
      </c>
      <c r="C409" s="128" t="s">
        <v>625</v>
      </c>
      <c r="D409" s="128" t="s">
        <v>626</v>
      </c>
      <c r="E409" s="152">
        <f>F409</f>
        <v>0</v>
      </c>
      <c r="F409" s="129"/>
      <c r="G409" s="129"/>
      <c r="H409" s="129"/>
      <c r="I409" s="129"/>
      <c r="J409" s="127">
        <f t="shared" ref="J409" si="358">L409+O409</f>
        <v>0</v>
      </c>
      <c r="K409" s="129"/>
      <c r="L409" s="130"/>
      <c r="M409" s="130"/>
      <c r="N409" s="130"/>
      <c r="O409" s="132">
        <f t="shared" ref="O409" si="359">K409</f>
        <v>0</v>
      </c>
      <c r="P409" s="127">
        <f t="shared" ref="P409" si="360">+J409+E409</f>
        <v>0</v>
      </c>
      <c r="Q409" s="47"/>
      <c r="R409" s="50"/>
    </row>
    <row r="410" spans="1:19" ht="47.25" hidden="1" thickTop="1" thickBot="1" x14ac:dyDescent="0.25">
      <c r="A410" s="136" t="s">
        <v>1204</v>
      </c>
      <c r="B410" s="136" t="s">
        <v>691</v>
      </c>
      <c r="C410" s="136"/>
      <c r="D410" s="136" t="s">
        <v>689</v>
      </c>
      <c r="E410" s="165">
        <f>E411</f>
        <v>0</v>
      </c>
      <c r="F410" s="165">
        <f t="shared" ref="F410:P411" si="361">F411</f>
        <v>0</v>
      </c>
      <c r="G410" s="165">
        <f t="shared" si="361"/>
        <v>0</v>
      </c>
      <c r="H410" s="165">
        <f t="shared" si="361"/>
        <v>0</v>
      </c>
      <c r="I410" s="165">
        <f t="shared" si="361"/>
        <v>0</v>
      </c>
      <c r="J410" s="165">
        <f t="shared" si="361"/>
        <v>0</v>
      </c>
      <c r="K410" s="165">
        <f t="shared" si="361"/>
        <v>0</v>
      </c>
      <c r="L410" s="165">
        <f t="shared" si="361"/>
        <v>0</v>
      </c>
      <c r="M410" s="165">
        <f t="shared" si="361"/>
        <v>0</v>
      </c>
      <c r="N410" s="165">
        <f t="shared" si="361"/>
        <v>0</v>
      </c>
      <c r="O410" s="165">
        <f t="shared" si="361"/>
        <v>0</v>
      </c>
      <c r="P410" s="165">
        <f t="shared" si="361"/>
        <v>0</v>
      </c>
      <c r="Q410" s="47"/>
      <c r="R410" s="50"/>
    </row>
    <row r="411" spans="1:19" ht="48" hidden="1" thickTop="1" thickBot="1" x14ac:dyDescent="0.25">
      <c r="A411" s="140" t="s">
        <v>1205</v>
      </c>
      <c r="B411" s="140" t="s">
        <v>694</v>
      </c>
      <c r="C411" s="140"/>
      <c r="D411" s="140" t="s">
        <v>692</v>
      </c>
      <c r="E411" s="141">
        <f>E412</f>
        <v>0</v>
      </c>
      <c r="F411" s="141">
        <f t="shared" si="361"/>
        <v>0</v>
      </c>
      <c r="G411" s="141">
        <f t="shared" si="361"/>
        <v>0</v>
      </c>
      <c r="H411" s="141">
        <f t="shared" si="361"/>
        <v>0</v>
      </c>
      <c r="I411" s="141">
        <f t="shared" si="361"/>
        <v>0</v>
      </c>
      <c r="J411" s="141">
        <f t="shared" si="361"/>
        <v>0</v>
      </c>
      <c r="K411" s="141">
        <f t="shared" si="361"/>
        <v>0</v>
      </c>
      <c r="L411" s="141">
        <f t="shared" si="361"/>
        <v>0</v>
      </c>
      <c r="M411" s="141">
        <f t="shared" si="361"/>
        <v>0</v>
      </c>
      <c r="N411" s="141">
        <f t="shared" si="361"/>
        <v>0</v>
      </c>
      <c r="O411" s="141">
        <f t="shared" si="361"/>
        <v>0</v>
      </c>
      <c r="P411" s="141">
        <f t="shared" si="361"/>
        <v>0</v>
      </c>
      <c r="Q411" s="47"/>
      <c r="R411" s="50"/>
    </row>
    <row r="412" spans="1:19" ht="48" hidden="1" thickTop="1" thickBot="1" x14ac:dyDescent="0.25">
      <c r="A412" s="128" t="s">
        <v>1206</v>
      </c>
      <c r="B412" s="128" t="s">
        <v>257</v>
      </c>
      <c r="C412" s="128" t="s">
        <v>170</v>
      </c>
      <c r="D412" s="128" t="s">
        <v>255</v>
      </c>
      <c r="E412" s="127">
        <f t="shared" ref="E412" si="362">F412</f>
        <v>0</v>
      </c>
      <c r="F412" s="134"/>
      <c r="G412" s="134"/>
      <c r="H412" s="134"/>
      <c r="I412" s="134"/>
      <c r="J412" s="127">
        <f t="shared" ref="J412" si="363">L412+O412</f>
        <v>0</v>
      </c>
      <c r="K412" s="134"/>
      <c r="L412" s="134"/>
      <c r="M412" s="134"/>
      <c r="N412" s="134"/>
      <c r="O412" s="132">
        <f>K412</f>
        <v>0</v>
      </c>
      <c r="P412" s="127">
        <f t="shared" ref="P412" si="364">E412+J412</f>
        <v>0</v>
      </c>
      <c r="Q412" s="47"/>
      <c r="R412" s="50"/>
    </row>
    <row r="413" spans="1:19" ht="47.25" thickTop="1" thickBot="1" x14ac:dyDescent="0.25">
      <c r="A413" s="311" t="s">
        <v>845</v>
      </c>
      <c r="B413" s="311" t="s">
        <v>696</v>
      </c>
      <c r="C413" s="311"/>
      <c r="D413" s="311" t="s">
        <v>697</v>
      </c>
      <c r="E413" s="312">
        <f t="shared" ref="E413:P413" si="365">E414+E415+E417</f>
        <v>22956875.780000001</v>
      </c>
      <c r="F413" s="312">
        <f t="shared" si="365"/>
        <v>22956875.780000001</v>
      </c>
      <c r="G413" s="312">
        <f t="shared" si="365"/>
        <v>0</v>
      </c>
      <c r="H413" s="312">
        <f t="shared" si="365"/>
        <v>0</v>
      </c>
      <c r="I413" s="312">
        <f t="shared" si="365"/>
        <v>0</v>
      </c>
      <c r="J413" s="312">
        <f t="shared" si="365"/>
        <v>0</v>
      </c>
      <c r="K413" s="312">
        <f t="shared" si="365"/>
        <v>0</v>
      </c>
      <c r="L413" s="312">
        <f t="shared" si="365"/>
        <v>0</v>
      </c>
      <c r="M413" s="312">
        <f t="shared" si="365"/>
        <v>0</v>
      </c>
      <c r="N413" s="312">
        <f t="shared" si="365"/>
        <v>0</v>
      </c>
      <c r="O413" s="312">
        <f t="shared" si="365"/>
        <v>0</v>
      </c>
      <c r="P413" s="312">
        <f t="shared" si="365"/>
        <v>22956875.780000001</v>
      </c>
      <c r="Q413" s="47"/>
      <c r="R413" s="50"/>
    </row>
    <row r="414" spans="1:19" ht="47.25" thickTop="1" thickBot="1" x14ac:dyDescent="0.25">
      <c r="A414" s="526">
        <v>3718600</v>
      </c>
      <c r="B414" s="526">
        <v>8600</v>
      </c>
      <c r="C414" s="313" t="s">
        <v>362</v>
      </c>
      <c r="D414" s="526" t="s">
        <v>452</v>
      </c>
      <c r="E414" s="315">
        <f>F414</f>
        <v>525644</v>
      </c>
      <c r="F414" s="315">
        <v>525644</v>
      </c>
      <c r="G414" s="315"/>
      <c r="H414" s="315"/>
      <c r="I414" s="315"/>
      <c r="J414" s="315">
        <f>L414+O414</f>
        <v>0</v>
      </c>
      <c r="K414" s="315"/>
      <c r="L414" s="315"/>
      <c r="M414" s="315"/>
      <c r="N414" s="315"/>
      <c r="O414" s="527">
        <f>K414</f>
        <v>0</v>
      </c>
      <c r="P414" s="315">
        <f>E414+J414</f>
        <v>525644</v>
      </c>
      <c r="Q414" s="20"/>
    </row>
    <row r="415" spans="1:19" ht="47.25" thickTop="1" thickBot="1" x14ac:dyDescent="0.25">
      <c r="A415" s="526">
        <v>3718700</v>
      </c>
      <c r="B415" s="526">
        <v>8700</v>
      </c>
      <c r="C415" s="313"/>
      <c r="D415" s="526" t="s">
        <v>846</v>
      </c>
      <c r="E415" s="315">
        <f t="shared" ref="E415:P415" si="366">E416</f>
        <v>22431231.780000001</v>
      </c>
      <c r="F415" s="315">
        <f t="shared" si="366"/>
        <v>22431231.780000001</v>
      </c>
      <c r="G415" s="315">
        <f t="shared" si="366"/>
        <v>0</v>
      </c>
      <c r="H415" s="315">
        <f t="shared" si="366"/>
        <v>0</v>
      </c>
      <c r="I415" s="315">
        <f t="shared" si="366"/>
        <v>0</v>
      </c>
      <c r="J415" s="315">
        <f t="shared" si="366"/>
        <v>0</v>
      </c>
      <c r="K415" s="315">
        <f t="shared" si="366"/>
        <v>0</v>
      </c>
      <c r="L415" s="315">
        <f t="shared" si="366"/>
        <v>0</v>
      </c>
      <c r="M415" s="315">
        <f t="shared" si="366"/>
        <v>0</v>
      </c>
      <c r="N415" s="315">
        <f t="shared" si="366"/>
        <v>0</v>
      </c>
      <c r="O415" s="315">
        <f t="shared" si="366"/>
        <v>0</v>
      </c>
      <c r="P415" s="315">
        <f t="shared" si="366"/>
        <v>22431231.780000001</v>
      </c>
      <c r="Q415" s="20"/>
    </row>
    <row r="416" spans="1:19" ht="69" customHeight="1" thickTop="1" thickBot="1" x14ac:dyDescent="0.25">
      <c r="A416" s="330">
        <v>3718710</v>
      </c>
      <c r="B416" s="330">
        <v>8710</v>
      </c>
      <c r="C416" s="103" t="s">
        <v>42</v>
      </c>
      <c r="D416" s="470" t="s">
        <v>640</v>
      </c>
      <c r="E416" s="328">
        <f>F416</f>
        <v>22431231.780000001</v>
      </c>
      <c r="F416" s="462">
        <f>50431231.78-20000000-8000000</f>
        <v>22431231.780000001</v>
      </c>
      <c r="G416" s="462"/>
      <c r="H416" s="462"/>
      <c r="I416" s="462"/>
      <c r="J416" s="328">
        <f>L416+O416</f>
        <v>0</v>
      </c>
      <c r="K416" s="462"/>
      <c r="L416" s="462"/>
      <c r="M416" s="462"/>
      <c r="N416" s="462"/>
      <c r="O416" s="459">
        <f>K416</f>
        <v>0</v>
      </c>
      <c r="P416" s="328">
        <f>E416+J416</f>
        <v>22431231.780000001</v>
      </c>
      <c r="Q416" s="20"/>
    </row>
    <row r="417" spans="1:18" ht="47.25" hidden="1" thickTop="1" thickBot="1" x14ac:dyDescent="0.25">
      <c r="A417" s="166">
        <v>3718800</v>
      </c>
      <c r="B417" s="166">
        <v>8800</v>
      </c>
      <c r="C417" s="136"/>
      <c r="D417" s="166" t="s">
        <v>854</v>
      </c>
      <c r="E417" s="137">
        <f>E418</f>
        <v>0</v>
      </c>
      <c r="F417" s="137">
        <f>F418</f>
        <v>0</v>
      </c>
      <c r="G417" s="137">
        <f t="shared" ref="G417:P418" si="367">G418</f>
        <v>0</v>
      </c>
      <c r="H417" s="137">
        <f t="shared" si="367"/>
        <v>0</v>
      </c>
      <c r="I417" s="137">
        <f t="shared" si="367"/>
        <v>0</v>
      </c>
      <c r="J417" s="137">
        <f t="shared" si="367"/>
        <v>0</v>
      </c>
      <c r="K417" s="137">
        <f t="shared" si="367"/>
        <v>0</v>
      </c>
      <c r="L417" s="137">
        <f t="shared" si="367"/>
        <v>0</v>
      </c>
      <c r="M417" s="137">
        <f t="shared" si="367"/>
        <v>0</v>
      </c>
      <c r="N417" s="137">
        <f t="shared" si="367"/>
        <v>0</v>
      </c>
      <c r="O417" s="137">
        <f t="shared" si="367"/>
        <v>0</v>
      </c>
      <c r="P417" s="137">
        <f t="shared" si="367"/>
        <v>0</v>
      </c>
      <c r="Q417" s="20"/>
    </row>
    <row r="418" spans="1:18" ht="93" hidden="1" thickTop="1" thickBot="1" x14ac:dyDescent="0.25">
      <c r="A418" s="167">
        <v>3718880</v>
      </c>
      <c r="B418" s="167">
        <v>8880</v>
      </c>
      <c r="C418" s="140"/>
      <c r="D418" s="153" t="s">
        <v>1154</v>
      </c>
      <c r="E418" s="141">
        <f>E419</f>
        <v>0</v>
      </c>
      <c r="F418" s="141">
        <f t="shared" ref="F418" si="368">F419</f>
        <v>0</v>
      </c>
      <c r="G418" s="141">
        <f t="shared" si="367"/>
        <v>0</v>
      </c>
      <c r="H418" s="141">
        <f t="shared" si="367"/>
        <v>0</v>
      </c>
      <c r="I418" s="141">
        <f t="shared" si="367"/>
        <v>0</v>
      </c>
      <c r="J418" s="141">
        <f t="shared" si="367"/>
        <v>0</v>
      </c>
      <c r="K418" s="141">
        <f t="shared" si="367"/>
        <v>0</v>
      </c>
      <c r="L418" s="141">
        <f t="shared" si="367"/>
        <v>0</v>
      </c>
      <c r="M418" s="141">
        <f t="shared" si="367"/>
        <v>0</v>
      </c>
      <c r="N418" s="141">
        <f t="shared" si="367"/>
        <v>0</v>
      </c>
      <c r="O418" s="141">
        <f t="shared" si="367"/>
        <v>0</v>
      </c>
      <c r="P418" s="141">
        <f t="shared" si="367"/>
        <v>0</v>
      </c>
      <c r="Q418" s="20"/>
    </row>
    <row r="419" spans="1:18" ht="93" hidden="1" thickTop="1" thickBot="1" x14ac:dyDescent="0.25">
      <c r="A419" s="128">
        <v>3718881</v>
      </c>
      <c r="B419" s="128">
        <v>8881</v>
      </c>
      <c r="C419" s="128" t="s">
        <v>170</v>
      </c>
      <c r="D419" s="128" t="s">
        <v>1155</v>
      </c>
      <c r="E419" s="152">
        <f>F419</f>
        <v>0</v>
      </c>
      <c r="F419" s="129">
        <f>(2500000)-2500000</f>
        <v>0</v>
      </c>
      <c r="G419" s="129"/>
      <c r="H419" s="129"/>
      <c r="I419" s="129"/>
      <c r="J419" s="127">
        <f t="shared" ref="J419" si="369">L419+O419</f>
        <v>0</v>
      </c>
      <c r="K419" s="129"/>
      <c r="L419" s="130"/>
      <c r="M419" s="130"/>
      <c r="N419" s="130"/>
      <c r="O419" s="132">
        <f t="shared" ref="O419" si="370">K419</f>
        <v>0</v>
      </c>
      <c r="P419" s="127">
        <f t="shared" ref="P419" si="371">+J419+E419</f>
        <v>0</v>
      </c>
      <c r="Q419" s="20"/>
    </row>
    <row r="420" spans="1:18" ht="47.25" hidden="1" thickTop="1" thickBot="1" x14ac:dyDescent="0.25">
      <c r="A420" s="125" t="s">
        <v>847</v>
      </c>
      <c r="B420" s="125" t="s">
        <v>702</v>
      </c>
      <c r="C420" s="125"/>
      <c r="D420" s="125" t="s">
        <v>703</v>
      </c>
      <c r="E420" s="127">
        <f>E421</f>
        <v>0</v>
      </c>
      <c r="F420" s="127">
        <f t="shared" ref="F420:P421" si="372">F421</f>
        <v>0</v>
      </c>
      <c r="G420" s="127">
        <f t="shared" si="372"/>
        <v>0</v>
      </c>
      <c r="H420" s="127">
        <f t="shared" si="372"/>
        <v>0</v>
      </c>
      <c r="I420" s="127">
        <f t="shared" si="372"/>
        <v>0</v>
      </c>
      <c r="J420" s="127">
        <f t="shared" si="372"/>
        <v>0</v>
      </c>
      <c r="K420" s="127">
        <f t="shared" si="372"/>
        <v>0</v>
      </c>
      <c r="L420" s="127">
        <f t="shared" si="372"/>
        <v>0</v>
      </c>
      <c r="M420" s="127">
        <f t="shared" si="372"/>
        <v>0</v>
      </c>
      <c r="N420" s="127">
        <f t="shared" si="372"/>
        <v>0</v>
      </c>
      <c r="O420" s="127">
        <f t="shared" si="372"/>
        <v>0</v>
      </c>
      <c r="P420" s="127">
        <f t="shared" si="372"/>
        <v>0</v>
      </c>
      <c r="Q420" s="20"/>
    </row>
    <row r="421" spans="1:18" ht="47.25" hidden="1" thickTop="1" thickBot="1" x14ac:dyDescent="0.25">
      <c r="A421" s="166">
        <v>3719100</v>
      </c>
      <c r="B421" s="136" t="s">
        <v>849</v>
      </c>
      <c r="C421" s="136"/>
      <c r="D421" s="136" t="s">
        <v>848</v>
      </c>
      <c r="E421" s="137">
        <f>E422</f>
        <v>0</v>
      </c>
      <c r="F421" s="137">
        <f t="shared" si="372"/>
        <v>0</v>
      </c>
      <c r="G421" s="137">
        <f t="shared" si="372"/>
        <v>0</v>
      </c>
      <c r="H421" s="137">
        <f t="shared" si="372"/>
        <v>0</v>
      </c>
      <c r="I421" s="137">
        <f t="shared" si="372"/>
        <v>0</v>
      </c>
      <c r="J421" s="137">
        <f t="shared" si="372"/>
        <v>0</v>
      </c>
      <c r="K421" s="137">
        <f t="shared" si="372"/>
        <v>0</v>
      </c>
      <c r="L421" s="137">
        <f t="shared" si="372"/>
        <v>0</v>
      </c>
      <c r="M421" s="137">
        <f t="shared" si="372"/>
        <v>0</v>
      </c>
      <c r="N421" s="137">
        <f t="shared" si="372"/>
        <v>0</v>
      </c>
      <c r="O421" s="137">
        <f t="shared" si="372"/>
        <v>0</v>
      </c>
      <c r="P421" s="137">
        <f t="shared" si="372"/>
        <v>0</v>
      </c>
      <c r="Q421" s="20"/>
    </row>
    <row r="422" spans="1:18" ht="51" hidden="1" customHeight="1" thickTop="1" thickBot="1" x14ac:dyDescent="0.25">
      <c r="A422" s="151">
        <v>3719110</v>
      </c>
      <c r="B422" s="151">
        <v>9110</v>
      </c>
      <c r="C422" s="128" t="s">
        <v>43</v>
      </c>
      <c r="D422" s="402" t="s">
        <v>451</v>
      </c>
      <c r="E422" s="127">
        <f>F422</f>
        <v>0</v>
      </c>
      <c r="F422" s="134">
        <v>0</v>
      </c>
      <c r="G422" s="134"/>
      <c r="H422" s="134"/>
      <c r="I422" s="134"/>
      <c r="J422" s="127">
        <f>L422+O422</f>
        <v>0</v>
      </c>
      <c r="K422" s="134"/>
      <c r="L422" s="134"/>
      <c r="M422" s="134"/>
      <c r="N422" s="134"/>
      <c r="O422" s="132">
        <f>K422</f>
        <v>0</v>
      </c>
      <c r="P422" s="127">
        <f>E422+J422</f>
        <v>0</v>
      </c>
      <c r="Q422" s="20"/>
    </row>
    <row r="423" spans="1:18" ht="111" customHeight="1" thickTop="1" thickBot="1" x14ac:dyDescent="0.25">
      <c r="A423" s="674" t="s">
        <v>381</v>
      </c>
      <c r="B423" s="674" t="s">
        <v>381</v>
      </c>
      <c r="C423" s="674" t="s">
        <v>381</v>
      </c>
      <c r="D423" s="674" t="s">
        <v>391</v>
      </c>
      <c r="E423" s="675">
        <f t="shared" ref="E423:P423" si="373">E16+E45+E216+E105+E135+E195++E315+E340+E406+E368+E387+E397+E349+E280+E252</f>
        <v>3944048453.1799998</v>
      </c>
      <c r="F423" s="675">
        <f t="shared" si="373"/>
        <v>3944048453.1799998</v>
      </c>
      <c r="G423" s="675">
        <f t="shared" si="373"/>
        <v>1928515611.3899999</v>
      </c>
      <c r="H423" s="675">
        <f t="shared" si="373"/>
        <v>197224750.78999999</v>
      </c>
      <c r="I423" s="675">
        <f t="shared" si="373"/>
        <v>0</v>
      </c>
      <c r="J423" s="675">
        <f t="shared" si="373"/>
        <v>754160087.20000005</v>
      </c>
      <c r="K423" s="675">
        <f t="shared" si="373"/>
        <v>510258335.05000001</v>
      </c>
      <c r="L423" s="675">
        <f t="shared" si="373"/>
        <v>230925959.15000001</v>
      </c>
      <c r="M423" s="675">
        <f t="shared" si="373"/>
        <v>65285830</v>
      </c>
      <c r="N423" s="675">
        <f t="shared" si="373"/>
        <v>18851671</v>
      </c>
      <c r="O423" s="675">
        <f t="shared" si="373"/>
        <v>523234128.05000001</v>
      </c>
      <c r="P423" s="675">
        <f t="shared" si="373"/>
        <v>4698208540.3800001</v>
      </c>
      <c r="Q423" s="79" t="b">
        <f>P423=J423+E423</f>
        <v>1</v>
      </c>
    </row>
    <row r="424" spans="1:18" ht="46.5" thickTop="1" x14ac:dyDescent="0.2">
      <c r="A424" s="819" t="s">
        <v>1520</v>
      </c>
      <c r="B424" s="820"/>
      <c r="C424" s="820"/>
      <c r="D424" s="820"/>
      <c r="E424" s="820"/>
      <c r="F424" s="820"/>
      <c r="G424" s="820"/>
      <c r="H424" s="820"/>
      <c r="I424" s="820"/>
      <c r="J424" s="820"/>
      <c r="K424" s="820"/>
      <c r="L424" s="820"/>
      <c r="M424" s="820"/>
      <c r="N424" s="820"/>
      <c r="O424" s="820"/>
      <c r="P424" s="820"/>
      <c r="Q424" s="56"/>
    </row>
    <row r="425" spans="1:18" ht="60.75" hidden="1" x14ac:dyDescent="0.2">
      <c r="A425" s="15"/>
      <c r="B425" s="16"/>
      <c r="C425" s="16"/>
      <c r="D425" s="16"/>
      <c r="E425" s="550">
        <f>F425</f>
        <v>3944048453.1799998</v>
      </c>
      <c r="F425" s="550">
        <f>((3716414441.2)+222038975.97)+1158900+4436136.01</f>
        <v>3944048453.1799998</v>
      </c>
      <c r="G425" s="550">
        <f>((95820900+1446614253+3269881+127110999+52092425+53854513+94248348+1953964)+45702476.39+3377320)+949920+3007261+436671+76680</f>
        <v>1928515611.3900001</v>
      </c>
      <c r="H425" s="550">
        <f>((6241293+170645348+208800+8158262+4493410+2946945+4237921+58880)+92902.78)+140989.01</f>
        <v>197224750.78999999</v>
      </c>
      <c r="I425" s="550">
        <v>0</v>
      </c>
      <c r="J425" s="550">
        <f>((480219450.8+'d2'!E42-'d4'!O29)+268859015.4)+7672111</f>
        <v>754160087.20000005</v>
      </c>
      <c r="K425" s="550">
        <f>(480219450.8+'d2'!F42-'d4'!P29-1200000-5215800-229145152)+268859015.4-4737.15-663952</f>
        <v>510258335.05000001</v>
      </c>
      <c r="L425" s="550">
        <f>((2604400+176000+570000+1000000)+206347210+6239260+10895910+1888442+1200000)+4737.15</f>
        <v>230925959.15000001</v>
      </c>
      <c r="M425" s="550">
        <f>53944610+2604685+8032370+704165</f>
        <v>65285830</v>
      </c>
      <c r="N425" s="550">
        <f>17336870+705805+284620+524376</f>
        <v>18851671</v>
      </c>
      <c r="O425" s="550">
        <f>((480219450.8+'d2'!F42-'d4'!O29-1200000-5215800-229145152+865400+3487390+24000+237940+25000)+268859015.4-4737.15)+7672111</f>
        <v>523234128.05000001</v>
      </c>
      <c r="P425" s="550">
        <f>((4196633892+'d2'!C46-'d4'!Q29)+490897991.37)+7672111+4436136.01+1158900</f>
        <v>4698208540.3800001</v>
      </c>
      <c r="Q425" s="79" t="b">
        <f>E425+J425=P425</f>
        <v>1</v>
      </c>
      <c r="R425" s="56"/>
    </row>
    <row r="426" spans="1:18" ht="45.75" x14ac:dyDescent="0.65">
      <c r="A426" s="15"/>
      <c r="B426" s="16"/>
      <c r="C426" s="16"/>
      <c r="D426" s="551" t="s">
        <v>1480</v>
      </c>
      <c r="E426" s="319"/>
      <c r="F426" s="319"/>
      <c r="G426" s="2"/>
      <c r="H426" s="3"/>
      <c r="I426" s="2"/>
      <c r="J426" s="3"/>
      <c r="K426" s="2" t="s">
        <v>1481</v>
      </c>
      <c r="L426" s="2"/>
      <c r="M426" s="2"/>
      <c r="N426" s="2"/>
      <c r="O426" s="2"/>
      <c r="P426" s="2"/>
      <c r="Q426" s="56"/>
    </row>
    <row r="427" spans="1:18" ht="45.75" x14ac:dyDescent="0.65">
      <c r="A427" s="168"/>
      <c r="B427" s="169"/>
      <c r="C427" s="169"/>
      <c r="D427" s="3" t="s">
        <v>1445</v>
      </c>
      <c r="E427" s="319"/>
      <c r="F427" s="319"/>
      <c r="G427" s="2"/>
      <c r="H427" s="3"/>
      <c r="I427" s="2"/>
      <c r="J427" s="3"/>
      <c r="K427" s="3" t="s">
        <v>1446</v>
      </c>
      <c r="L427" s="202"/>
      <c r="M427" s="202"/>
      <c r="N427" s="202"/>
      <c r="O427" s="202"/>
      <c r="P427" s="202"/>
      <c r="Q427" s="56"/>
    </row>
    <row r="428" spans="1:18" ht="26.25" customHeight="1" x14ac:dyDescent="0.65">
      <c r="A428" s="15"/>
      <c r="B428" s="16"/>
      <c r="C428" s="16"/>
      <c r="D428" s="798"/>
      <c r="E428" s="798"/>
      <c r="F428" s="798"/>
      <c r="G428" s="798"/>
      <c r="H428" s="798"/>
      <c r="I428" s="798"/>
      <c r="J428" s="798"/>
      <c r="K428" s="798"/>
      <c r="L428" s="798"/>
      <c r="M428" s="798"/>
      <c r="N428" s="798"/>
      <c r="O428" s="798"/>
      <c r="P428" s="798"/>
      <c r="Q428" s="83"/>
    </row>
    <row r="429" spans="1:18" ht="50.25" customHeight="1" thickBot="1" x14ac:dyDescent="0.7">
      <c r="A429" s="15"/>
      <c r="B429" s="16"/>
      <c r="C429" s="16"/>
      <c r="D429" s="769" t="s">
        <v>523</v>
      </c>
      <c r="E429" s="770"/>
      <c r="F429" s="770"/>
      <c r="G429" s="361"/>
      <c r="H429" s="361"/>
      <c r="I429" s="2"/>
      <c r="J429" s="2"/>
      <c r="K429" s="3" t="s">
        <v>1346</v>
      </c>
      <c r="L429" s="2"/>
      <c r="M429" s="2"/>
      <c r="N429" s="2"/>
      <c r="O429" s="2"/>
      <c r="P429" s="2"/>
      <c r="Q429" s="83"/>
    </row>
    <row r="430" spans="1:18" ht="47.25" thickTop="1" thickBot="1" x14ac:dyDescent="0.7">
      <c r="A430" s="19"/>
      <c r="B430" s="19"/>
      <c r="C430" s="19"/>
      <c r="D430" s="821"/>
      <c r="E430" s="821"/>
      <c r="F430" s="821"/>
      <c r="G430" s="821"/>
      <c r="H430" s="821"/>
      <c r="I430" s="821"/>
      <c r="J430" s="821"/>
      <c r="K430" s="821"/>
      <c r="L430" s="821"/>
      <c r="M430" s="821"/>
      <c r="N430" s="821"/>
      <c r="O430" s="821"/>
      <c r="P430" s="821"/>
      <c r="Q430" s="84"/>
    </row>
    <row r="431" spans="1:18" ht="95.25" customHeight="1" thickTop="1" x14ac:dyDescent="0.55000000000000004">
      <c r="G431" s="58"/>
      <c r="H431" s="58"/>
      <c r="I431" s="92"/>
      <c r="J431" s="93"/>
      <c r="K431" s="93"/>
      <c r="L431" s="92"/>
      <c r="M431" s="92"/>
      <c r="N431" s="92"/>
      <c r="O431" s="92"/>
      <c r="P431" s="93"/>
      <c r="Q431" s="82"/>
    </row>
    <row r="432" spans="1:18" x14ac:dyDescent="0.2">
      <c r="E432" s="59"/>
      <c r="F432" s="60"/>
      <c r="G432" s="58"/>
      <c r="H432" s="58"/>
      <c r="I432" s="92"/>
      <c r="J432" s="94"/>
      <c r="K432" s="94"/>
      <c r="L432" s="92"/>
      <c r="M432" s="92"/>
      <c r="N432" s="92"/>
      <c r="O432" s="92"/>
      <c r="P432" s="93"/>
    </row>
    <row r="433" spans="1:18" x14ac:dyDescent="0.2">
      <c r="E433" s="59"/>
      <c r="F433" s="60"/>
      <c r="G433" s="58"/>
      <c r="H433" s="58"/>
      <c r="I433" s="92"/>
      <c r="J433" s="94"/>
      <c r="K433" s="94"/>
      <c r="L433" s="92"/>
      <c r="M433" s="92"/>
      <c r="N433" s="92"/>
      <c r="O433" s="92"/>
      <c r="P433" s="93"/>
    </row>
    <row r="434" spans="1:18" ht="60.75" x14ac:dyDescent="0.2">
      <c r="E434" s="79" t="b">
        <f>E425=E423</f>
        <v>1</v>
      </c>
      <c r="F434" s="79" t="b">
        <f>F425=F423</f>
        <v>1</v>
      </c>
      <c r="G434" s="79" t="b">
        <f>G425=G423</f>
        <v>1</v>
      </c>
      <c r="H434" s="79" t="b">
        <f t="shared" ref="H434:O434" si="374">H425=H423</f>
        <v>1</v>
      </c>
      <c r="I434" s="79" t="b">
        <f>I425=I423</f>
        <v>1</v>
      </c>
      <c r="J434" s="79" t="b">
        <f>J425=J423</f>
        <v>1</v>
      </c>
      <c r="K434" s="79" t="b">
        <f>K425=K423</f>
        <v>1</v>
      </c>
      <c r="L434" s="79" t="b">
        <f t="shared" si="374"/>
        <v>1</v>
      </c>
      <c r="M434" s="79" t="b">
        <f t="shared" si="374"/>
        <v>1</v>
      </c>
      <c r="N434" s="79" t="b">
        <f>N425=N423</f>
        <v>1</v>
      </c>
      <c r="O434" s="79" t="b">
        <f t="shared" si="374"/>
        <v>1</v>
      </c>
      <c r="P434" s="79" t="b">
        <f>P425=P423</f>
        <v>1</v>
      </c>
    </row>
    <row r="435" spans="1:18" ht="61.5" x14ac:dyDescent="0.2">
      <c r="E435" s="79" t="b">
        <f>E423=F423</f>
        <v>1</v>
      </c>
      <c r="F435" s="97">
        <f>F416/E423</f>
        <v>5.6873621220130269E-3</v>
      </c>
      <c r="G435" s="86"/>
      <c r="H435" s="87"/>
      <c r="I435" s="88"/>
      <c r="J435" s="79" t="b">
        <f>J425=L425+O425</f>
        <v>1</v>
      </c>
      <c r="K435" s="95"/>
      <c r="L435" s="79"/>
      <c r="M435" s="88"/>
      <c r="N435" s="88"/>
      <c r="O435" s="79"/>
      <c r="P435" s="79" t="b">
        <f>E423+J423=P423</f>
        <v>1</v>
      </c>
    </row>
    <row r="436" spans="1:18" ht="60.75" x14ac:dyDescent="0.2">
      <c r="E436" s="89"/>
      <c r="F436" s="90"/>
      <c r="G436" s="89"/>
      <c r="H436" s="91">
        <f>H425-H423</f>
        <v>0</v>
      </c>
      <c r="I436" s="89"/>
      <c r="J436" s="59"/>
      <c r="K436" s="59"/>
    </row>
    <row r="437" spans="1:18" ht="61.5" x14ac:dyDescent="0.2">
      <c r="A437" s="21"/>
      <c r="B437" s="21"/>
      <c r="C437" s="21"/>
      <c r="D437" s="22"/>
      <c r="E437" s="37">
        <f>E423-E425</f>
        <v>0</v>
      </c>
      <c r="F437" s="97">
        <f>400000/E423</f>
        <v>1.0141863233893304E-4</v>
      </c>
      <c r="G437" s="86"/>
      <c r="H437" s="61"/>
      <c r="I437" s="22"/>
      <c r="J437" s="37">
        <f>J423-J425</f>
        <v>0</v>
      </c>
      <c r="K437" s="37">
        <f>K423-K425</f>
        <v>0</v>
      </c>
      <c r="L437" s="37"/>
      <c r="M437" s="37"/>
      <c r="N437" s="37"/>
      <c r="O437" s="37">
        <f>O423-O425</f>
        <v>0</v>
      </c>
      <c r="P437" s="37"/>
    </row>
    <row r="438" spans="1:18" ht="61.5" x14ac:dyDescent="0.2">
      <c r="D438" s="22"/>
      <c r="E438" s="37"/>
      <c r="F438" s="63"/>
      <c r="G438" s="55"/>
      <c r="H438" s="61"/>
      <c r="I438" s="22"/>
      <c r="J438" s="37"/>
      <c r="K438" s="37"/>
      <c r="L438" s="64"/>
      <c r="P438" s="55"/>
      <c r="Q438" s="85"/>
      <c r="R438" s="65"/>
    </row>
    <row r="439" spans="1:18" ht="60.75" x14ac:dyDescent="0.2">
      <c r="A439" s="21"/>
      <c r="B439" s="21"/>
      <c r="C439" s="21"/>
      <c r="D439" s="22"/>
      <c r="E439" s="26"/>
      <c r="F439" s="26"/>
      <c r="G439" s="26"/>
      <c r="H439" s="26"/>
      <c r="I439" s="66"/>
      <c r="J439" s="26"/>
      <c r="K439" s="26"/>
      <c r="L439" s="26"/>
      <c r="M439" s="26"/>
      <c r="N439" s="26"/>
      <c r="O439" s="26"/>
      <c r="P439" s="26"/>
      <c r="Q439" s="85"/>
      <c r="R439" s="65"/>
    </row>
    <row r="440" spans="1:18" ht="60.75" x14ac:dyDescent="0.2">
      <c r="D440" s="22"/>
      <c r="E440" s="37"/>
      <c r="F440" s="67"/>
      <c r="O440" s="55"/>
      <c r="P440" s="55"/>
    </row>
    <row r="441" spans="1:18" ht="60.75" x14ac:dyDescent="0.2">
      <c r="A441" s="21"/>
      <c r="B441" s="21"/>
      <c r="C441" s="21"/>
      <c r="D441" s="22"/>
      <c r="E441" s="37"/>
      <c r="F441" s="62"/>
      <c r="G441" s="64"/>
      <c r="I441" s="68"/>
      <c r="J441" s="59"/>
      <c r="K441" s="59"/>
      <c r="L441" s="21"/>
      <c r="M441" s="21"/>
      <c r="N441" s="21"/>
      <c r="O441" s="21"/>
      <c r="P441" s="55"/>
    </row>
    <row r="442" spans="1:18" ht="62.25" x14ac:dyDescent="0.8">
      <c r="A442" s="21"/>
      <c r="B442" s="21"/>
      <c r="C442" s="21"/>
      <c r="D442" s="21"/>
      <c r="E442" s="69"/>
      <c r="F442" s="62"/>
      <c r="J442" s="59"/>
      <c r="K442" s="59"/>
      <c r="L442" s="21"/>
      <c r="M442" s="21"/>
      <c r="N442" s="21"/>
      <c r="O442" s="21"/>
      <c r="P442" s="70"/>
    </row>
    <row r="443" spans="1:18" ht="45.75" x14ac:dyDescent="0.2">
      <c r="E443" s="71"/>
      <c r="F443" s="67"/>
    </row>
    <row r="444" spans="1:18" ht="45.75" x14ac:dyDescent="0.2">
      <c r="A444" s="21"/>
      <c r="B444" s="21"/>
      <c r="C444" s="21"/>
      <c r="D444" s="21"/>
      <c r="E444" s="69"/>
      <c r="F444" s="62"/>
      <c r="L444" s="21"/>
      <c r="M444" s="21"/>
      <c r="N444" s="21"/>
      <c r="O444" s="21"/>
      <c r="P444" s="21"/>
    </row>
    <row r="445" spans="1:18" ht="45.75" x14ac:dyDescent="0.2">
      <c r="E445" s="72"/>
      <c r="F445" s="67"/>
    </row>
    <row r="446" spans="1:18" ht="45.75" x14ac:dyDescent="0.2">
      <c r="E446" s="72"/>
      <c r="F446" s="67"/>
    </row>
    <row r="447" spans="1:18" ht="45.75" x14ac:dyDescent="0.2">
      <c r="E447" s="72"/>
      <c r="F447" s="67"/>
    </row>
    <row r="448" spans="1:18" ht="45.75" x14ac:dyDescent="0.2">
      <c r="A448" s="21"/>
      <c r="B448" s="21"/>
      <c r="C448" s="21"/>
      <c r="D448" s="21"/>
      <c r="E448" s="72"/>
      <c r="F448" s="67"/>
      <c r="G448" s="21"/>
      <c r="H448" s="21"/>
      <c r="I448" s="21"/>
      <c r="J448" s="21"/>
      <c r="K448" s="21"/>
      <c r="L448" s="21"/>
      <c r="M448" s="21"/>
      <c r="N448" s="21"/>
      <c r="O448" s="21"/>
      <c r="P448" s="21"/>
    </row>
    <row r="449" spans="1:16" ht="45.75" x14ac:dyDescent="0.2">
      <c r="A449" s="21"/>
      <c r="B449" s="21"/>
      <c r="C449" s="21"/>
      <c r="D449" s="21"/>
      <c r="E449" s="72"/>
      <c r="F449" s="67"/>
      <c r="G449" s="21"/>
      <c r="H449" s="21"/>
      <c r="I449" s="21"/>
      <c r="J449" s="21"/>
      <c r="K449" s="21"/>
      <c r="L449" s="21"/>
      <c r="M449" s="21"/>
      <c r="N449" s="21"/>
      <c r="O449" s="21"/>
      <c r="P449" s="21"/>
    </row>
    <row r="450" spans="1:16" ht="45.75" x14ac:dyDescent="0.2">
      <c r="A450" s="21"/>
      <c r="B450" s="21"/>
      <c r="C450" s="21"/>
      <c r="D450" s="21"/>
      <c r="E450" s="72"/>
      <c r="F450" s="67"/>
      <c r="G450" s="21"/>
      <c r="H450" s="21"/>
      <c r="I450" s="21"/>
      <c r="J450" s="21"/>
      <c r="K450" s="21"/>
      <c r="L450" s="21"/>
      <c r="M450" s="21"/>
      <c r="N450" s="21"/>
      <c r="O450" s="21"/>
      <c r="P450" s="21"/>
    </row>
    <row r="451" spans="1:16" ht="45.75" x14ac:dyDescent="0.2">
      <c r="A451" s="21"/>
      <c r="B451" s="21"/>
      <c r="C451" s="21"/>
      <c r="D451" s="21"/>
      <c r="E451" s="72"/>
      <c r="F451" s="67"/>
      <c r="G451" s="21"/>
      <c r="H451" s="21"/>
      <c r="I451" s="21"/>
      <c r="J451" s="21"/>
      <c r="K451" s="21"/>
      <c r="L451" s="21"/>
      <c r="M451" s="21"/>
      <c r="N451" s="21"/>
      <c r="O451" s="21"/>
      <c r="P451" s="21"/>
    </row>
  </sheetData>
  <mergeCells count="183">
    <mergeCell ref="A424:P424"/>
    <mergeCell ref="D428:P428"/>
    <mergeCell ref="D429:F429"/>
    <mergeCell ref="D430:P430"/>
    <mergeCell ref="J336:J337"/>
    <mergeCell ref="K336:K337"/>
    <mergeCell ref="L336:L337"/>
    <mergeCell ref="M336:M337"/>
    <mergeCell ref="N336:N337"/>
    <mergeCell ref="O336:O337"/>
    <mergeCell ref="O303:O304"/>
    <mergeCell ref="P303:P304"/>
    <mergeCell ref="A336:A337"/>
    <mergeCell ref="B336:B337"/>
    <mergeCell ref="C336:C337"/>
    <mergeCell ref="E336:E337"/>
    <mergeCell ref="F336:F337"/>
    <mergeCell ref="G336:G337"/>
    <mergeCell ref="H336:H337"/>
    <mergeCell ref="I336:I337"/>
    <mergeCell ref="I303:I304"/>
    <mergeCell ref="J303:J304"/>
    <mergeCell ref="K303:K304"/>
    <mergeCell ref="L303:L304"/>
    <mergeCell ref="M303:M304"/>
    <mergeCell ref="N303:N304"/>
    <mergeCell ref="P336:P337"/>
    <mergeCell ref="A303:A304"/>
    <mergeCell ref="B303:B304"/>
    <mergeCell ref="C303:C304"/>
    <mergeCell ref="E303:E304"/>
    <mergeCell ref="F303:F304"/>
    <mergeCell ref="G303:G304"/>
    <mergeCell ref="H303:H304"/>
    <mergeCell ref="N192:N193"/>
    <mergeCell ref="O192:O193"/>
    <mergeCell ref="P192:P193"/>
    <mergeCell ref="A272:A273"/>
    <mergeCell ref="B272:B273"/>
    <mergeCell ref="C272:C273"/>
    <mergeCell ref="E272:E273"/>
    <mergeCell ref="F272:F273"/>
    <mergeCell ref="G272:G273"/>
    <mergeCell ref="G192:G193"/>
    <mergeCell ref="H192:H193"/>
    <mergeCell ref="I192:I193"/>
    <mergeCell ref="J192:J193"/>
    <mergeCell ref="K192:K193"/>
    <mergeCell ref="L192:L193"/>
    <mergeCell ref="N272:N273"/>
    <mergeCell ref="O272:O273"/>
    <mergeCell ref="P272:P273"/>
    <mergeCell ref="J272:J273"/>
    <mergeCell ref="K272:K273"/>
    <mergeCell ref="L272:L273"/>
    <mergeCell ref="M272:M273"/>
    <mergeCell ref="A192:A193"/>
    <mergeCell ref="B192:B193"/>
    <mergeCell ref="C192:C193"/>
    <mergeCell ref="E192:E193"/>
    <mergeCell ref="F192:F193"/>
    <mergeCell ref="G174:G176"/>
    <mergeCell ref="H174:H176"/>
    <mergeCell ref="I174:I176"/>
    <mergeCell ref="J174:J176"/>
    <mergeCell ref="H272:H273"/>
    <mergeCell ref="I272:I273"/>
    <mergeCell ref="M192:M193"/>
    <mergeCell ref="R171:R173"/>
    <mergeCell ref="A174:A176"/>
    <mergeCell ref="B174:B176"/>
    <mergeCell ref="C174:C176"/>
    <mergeCell ref="E174:E176"/>
    <mergeCell ref="F174:F176"/>
    <mergeCell ref="G171:G173"/>
    <mergeCell ref="H171:H173"/>
    <mergeCell ref="I171:I173"/>
    <mergeCell ref="J171:J173"/>
    <mergeCell ref="K171:K173"/>
    <mergeCell ref="L171:L173"/>
    <mergeCell ref="M174:M176"/>
    <mergeCell ref="N174:N176"/>
    <mergeCell ref="O174:O176"/>
    <mergeCell ref="P174:P176"/>
    <mergeCell ref="R174:R176"/>
    <mergeCell ref="K174:K176"/>
    <mergeCell ref="L174:L176"/>
    <mergeCell ref="A171:A173"/>
    <mergeCell ref="B171:B173"/>
    <mergeCell ref="C171:C173"/>
    <mergeCell ref="E171:E173"/>
    <mergeCell ref="F171:F173"/>
    <mergeCell ref="G167:G170"/>
    <mergeCell ref="H167:H170"/>
    <mergeCell ref="I167:I170"/>
    <mergeCell ref="J167:J170"/>
    <mergeCell ref="P163:P166"/>
    <mergeCell ref="M171:M173"/>
    <mergeCell ref="N171:N173"/>
    <mergeCell ref="O171:O173"/>
    <mergeCell ref="P171:P173"/>
    <mergeCell ref="Q163:Q166"/>
    <mergeCell ref="R163:R166"/>
    <mergeCell ref="A167:A170"/>
    <mergeCell ref="B167:B170"/>
    <mergeCell ref="C167:C170"/>
    <mergeCell ref="E167:E170"/>
    <mergeCell ref="F167:F170"/>
    <mergeCell ref="H163:H166"/>
    <mergeCell ref="I163:I166"/>
    <mergeCell ref="J163:J166"/>
    <mergeCell ref="K163:K166"/>
    <mergeCell ref="L163:L166"/>
    <mergeCell ref="M163:M166"/>
    <mergeCell ref="M167:M170"/>
    <mergeCell ref="N167:N170"/>
    <mergeCell ref="O167:O170"/>
    <mergeCell ref="P167:P170"/>
    <mergeCell ref="R167:R170"/>
    <mergeCell ref="K167:K170"/>
    <mergeCell ref="L167:L170"/>
    <mergeCell ref="M73:M74"/>
    <mergeCell ref="N73:N74"/>
    <mergeCell ref="O73:O74"/>
    <mergeCell ref="P73:P74"/>
    <mergeCell ref="A163:A166"/>
    <mergeCell ref="B163:B166"/>
    <mergeCell ref="C163:C166"/>
    <mergeCell ref="E163:E166"/>
    <mergeCell ref="F163:F166"/>
    <mergeCell ref="G163:G166"/>
    <mergeCell ref="G73:G74"/>
    <mergeCell ref="H73:H74"/>
    <mergeCell ref="I73:I74"/>
    <mergeCell ref="J73:J74"/>
    <mergeCell ref="K73:K74"/>
    <mergeCell ref="L73:L74"/>
    <mergeCell ref="A73:A74"/>
    <mergeCell ref="B73:B74"/>
    <mergeCell ref="C73:C74"/>
    <mergeCell ref="D73:D74"/>
    <mergeCell ref="E73:E74"/>
    <mergeCell ref="F73:F74"/>
    <mergeCell ref="N163:N166"/>
    <mergeCell ref="O163:O166"/>
    <mergeCell ref="K30:K31"/>
    <mergeCell ref="L30:L31"/>
    <mergeCell ref="M30:M31"/>
    <mergeCell ref="N30:N31"/>
    <mergeCell ref="O30:O31"/>
    <mergeCell ref="P30:P31"/>
    <mergeCell ref="O12:O13"/>
    <mergeCell ref="A30:A31"/>
    <mergeCell ref="B30:B31"/>
    <mergeCell ref="C30:C31"/>
    <mergeCell ref="E30:E31"/>
    <mergeCell ref="F30:F31"/>
    <mergeCell ref="G30:G31"/>
    <mergeCell ref="H30:H31"/>
    <mergeCell ref="I30:I31"/>
    <mergeCell ref="J30:J31"/>
    <mergeCell ref="A9:B9"/>
    <mergeCell ref="A11:A13"/>
    <mergeCell ref="B11:B13"/>
    <mergeCell ref="C11:C13"/>
    <mergeCell ref="D11:D13"/>
    <mergeCell ref="E11:I11"/>
    <mergeCell ref="N1:Q1"/>
    <mergeCell ref="N2:Q2"/>
    <mergeCell ref="O3:P3"/>
    <mergeCell ref="A5:P5"/>
    <mergeCell ref="A6:P6"/>
    <mergeCell ref="A8:B8"/>
    <mergeCell ref="J11:O11"/>
    <mergeCell ref="P11:P13"/>
    <mergeCell ref="E12:E13"/>
    <mergeCell ref="F12:F13"/>
    <mergeCell ref="G12:H12"/>
    <mergeCell ref="I12:I13"/>
    <mergeCell ref="J12:J13"/>
    <mergeCell ref="K12:K13"/>
    <mergeCell ref="L12:L13"/>
    <mergeCell ref="M12:N12"/>
  </mergeCells>
  <conditionalFormatting sqref="Q340:Q347">
    <cfRule type="iconSet" priority="17">
      <iconSet iconSet="3Arrows">
        <cfvo type="percent" val="0"/>
        <cfvo type="percent" val="33"/>
        <cfvo type="percent" val="67"/>
      </iconSet>
    </cfRule>
  </conditionalFormatting>
  <conditionalFormatting sqref="Q349:Q350">
    <cfRule type="iconSet" priority="13">
      <iconSet iconSet="3Arrows">
        <cfvo type="percent" val="0"/>
        <cfvo type="percent" val="33"/>
        <cfvo type="percent" val="67"/>
      </iconSet>
    </cfRule>
  </conditionalFormatting>
  <conditionalFormatting sqref="Q351:Q366">
    <cfRule type="iconSet" priority="21">
      <iconSet iconSet="3Arrows">
        <cfvo type="percent" val="0"/>
        <cfvo type="percent" val="33"/>
        <cfvo type="percent" val="67"/>
      </iconSet>
    </cfRule>
  </conditionalFormatting>
  <conditionalFormatting sqref="Q387:Q392">
    <cfRule type="iconSet" priority="20">
      <iconSet iconSet="3Arrows">
        <cfvo type="percent" val="0"/>
        <cfvo type="percent" val="33"/>
        <cfvo type="percent" val="67"/>
      </iconSet>
    </cfRule>
  </conditionalFormatting>
  <conditionalFormatting sqref="Q393">
    <cfRule type="iconSet" priority="2">
      <iconSet iconSet="3Arrows">
        <cfvo type="percent" val="0"/>
        <cfvo type="percent" val="33"/>
        <cfvo type="percent" val="67"/>
      </iconSet>
    </cfRule>
  </conditionalFormatting>
  <conditionalFormatting sqref="Q394:Q395">
    <cfRule type="iconSet" priority="8">
      <iconSet iconSet="3Arrows">
        <cfvo type="percent" val="0"/>
        <cfvo type="percent" val="33"/>
        <cfvo type="percent" val="67"/>
      </iconSet>
    </cfRule>
  </conditionalFormatting>
  <conditionalFormatting sqref="Q397">
    <cfRule type="iconSet" priority="3">
      <iconSet iconSet="3Arrows">
        <cfvo type="percent" val="0"/>
        <cfvo type="percent" val="33"/>
        <cfvo type="percent" val="67"/>
      </iconSet>
    </cfRule>
  </conditionalFormatting>
  <conditionalFormatting sqref="Q406">
    <cfRule type="iconSet" priority="1">
      <iconSet iconSet="3Arrows">
        <cfvo type="percent" val="0"/>
        <cfvo type="percent" val="33"/>
        <cfvo type="percent" val="67"/>
      </iconSet>
    </cfRule>
  </conditionalFormatting>
  <conditionalFormatting sqref="Q407 Q409:R413 R408:S408">
    <cfRule type="iconSet" priority="16">
      <iconSet iconSet="3Arrows">
        <cfvo type="percent" val="0"/>
        <cfvo type="percent" val="33"/>
        <cfvo type="percent" val="67"/>
      </iconSet>
    </cfRule>
  </conditionalFormatting>
  <conditionalFormatting sqref="Q408">
    <cfRule type="iconSet" priority="7">
      <iconSet iconSet="3Arrows">
        <cfvo type="percent" val="0"/>
        <cfvo type="percent" val="33"/>
        <cfvo type="percent" val="67"/>
      </iconSet>
    </cfRule>
  </conditionalFormatting>
  <conditionalFormatting sqref="Q368:R374">
    <cfRule type="iconSet" priority="23">
      <iconSet iconSet="3Arrows">
        <cfvo type="percent" val="0"/>
        <cfvo type="percent" val="33"/>
        <cfvo type="percent" val="67"/>
      </iconSet>
    </cfRule>
  </conditionalFormatting>
  <conditionalFormatting sqref="R340:R341">
    <cfRule type="iconSet" priority="11">
      <iconSet iconSet="3Arrows">
        <cfvo type="percent" val="0"/>
        <cfvo type="percent" val="33"/>
        <cfvo type="percent" val="67"/>
      </iconSet>
    </cfRule>
  </conditionalFormatting>
  <conditionalFormatting sqref="R342:R347">
    <cfRule type="iconSet" priority="10">
      <iconSet iconSet="3Arrows">
        <cfvo type="percent" val="0"/>
        <cfvo type="percent" val="33"/>
        <cfvo type="percent" val="67"/>
      </iconSet>
    </cfRule>
  </conditionalFormatting>
  <conditionalFormatting sqref="R349:R350">
    <cfRule type="iconSet" priority="12">
      <iconSet iconSet="3Arrows">
        <cfvo type="percent" val="0"/>
        <cfvo type="percent" val="33"/>
        <cfvo type="percent" val="67"/>
      </iconSet>
    </cfRule>
  </conditionalFormatting>
  <conditionalFormatting sqref="R351:R366">
    <cfRule type="iconSet" priority="22">
      <iconSet iconSet="3Arrows">
        <cfvo type="percent" val="0"/>
        <cfvo type="percent" val="33"/>
        <cfvo type="percent" val="67"/>
      </iconSet>
    </cfRule>
  </conditionalFormatting>
  <conditionalFormatting sqref="R375:R385">
    <cfRule type="iconSet" priority="18">
      <iconSet iconSet="3Arrows">
        <cfvo type="percent" val="0"/>
        <cfvo type="percent" val="33"/>
        <cfvo type="percent" val="67"/>
      </iconSet>
    </cfRule>
  </conditionalFormatting>
  <conditionalFormatting sqref="R387:R388">
    <cfRule type="iconSet" priority="9">
      <iconSet iconSet="3Arrows">
        <cfvo type="percent" val="0"/>
        <cfvo type="percent" val="33"/>
        <cfvo type="percent" val="67"/>
      </iconSet>
    </cfRule>
  </conditionalFormatting>
  <conditionalFormatting sqref="R389:R392">
    <cfRule type="iconSet" priority="19">
      <iconSet iconSet="3Arrows">
        <cfvo type="percent" val="0"/>
        <cfvo type="percent" val="33"/>
        <cfvo type="percent" val="67"/>
      </iconSet>
    </cfRule>
  </conditionalFormatting>
  <conditionalFormatting sqref="R399:R401 Q398:R398 R397">
    <cfRule type="iconSet" priority="15">
      <iconSet iconSet="3Arrows">
        <cfvo type="percent" val="0"/>
        <cfvo type="percent" val="33"/>
        <cfvo type="percent" val="67"/>
      </iconSet>
    </cfRule>
  </conditionalFormatting>
  <conditionalFormatting sqref="R402">
    <cfRule type="iconSet" priority="5">
      <iconSet iconSet="3Arrows">
        <cfvo type="percent" val="0"/>
        <cfvo type="percent" val="33"/>
        <cfvo type="percent" val="67"/>
      </iconSet>
    </cfRule>
  </conditionalFormatting>
  <conditionalFormatting sqref="R404">
    <cfRule type="iconSet" priority="4">
      <iconSet iconSet="3Arrows">
        <cfvo type="percent" val="0"/>
        <cfvo type="percent" val="33"/>
        <cfvo type="percent" val="67"/>
      </iconSet>
    </cfRule>
  </conditionalFormatting>
  <conditionalFormatting sqref="R406">
    <cfRule type="iconSet" priority="6">
      <iconSet iconSet="3Arrows">
        <cfvo type="percent" val="0"/>
        <cfvo type="percent" val="33"/>
        <cfvo type="percent" val="67"/>
      </iconSet>
    </cfRule>
  </conditionalFormatting>
  <conditionalFormatting sqref="R407">
    <cfRule type="iconSet" priority="14">
      <iconSet iconSet="3Arrows">
        <cfvo type="percent" val="0"/>
        <cfvo type="percent" val="33"/>
        <cfvo type="percent" val="67"/>
      </iconSet>
    </cfRule>
  </conditionalFormatting>
  <pageMargins left="0.23622047244094491" right="0.27559055118110237" top="0.27559055118110237" bottom="0.15748031496062992" header="0.23622047244094491" footer="0.27559055118110237"/>
  <pageSetup paperSize="9" scale="13" orientation="landscape" r:id="rId1"/>
  <headerFooter alignWithMargins="0">
    <oddFooter>&amp;C&amp;"Times New Roman Cyr,курсив"Сторінка &amp;P з &amp;N</oddFooter>
  </headerFooter>
  <rowBreaks count="2" manualBreakCount="2">
    <brk id="209" max="15" man="1"/>
    <brk id="299" max="15"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T457"/>
  <sheetViews>
    <sheetView view="pageBreakPreview" zoomScale="24" zoomScaleNormal="25" zoomScaleSheetLayoutView="24" zoomScalePageLayoutView="10" workbookViewId="0">
      <pane ySplit="14" topLeftCell="A15" activePane="bottomLeft" state="frozen"/>
      <selection activeCell="B52" sqref="B52:E52"/>
      <selection pane="bottomLeft" activeCell="A23" sqref="A23:D24"/>
    </sheetView>
  </sheetViews>
  <sheetFormatPr defaultColWidth="9.140625" defaultRowHeight="12.75" x14ac:dyDescent="0.2"/>
  <cols>
    <col min="1" max="1" width="48" style="18" customWidth="1"/>
    <col min="2" max="2" width="52.5703125" style="18" customWidth="1"/>
    <col min="3" max="3" width="65.7109375" style="18" customWidth="1"/>
    <col min="4" max="4" width="256.140625" style="18" customWidth="1"/>
    <col min="5" max="5" width="66.42578125" style="57" customWidth="1"/>
    <col min="6" max="6" width="62.5703125" style="18" customWidth="1"/>
    <col min="7" max="7" width="59.7109375" style="18" customWidth="1"/>
    <col min="8" max="8" width="53.140625" style="18" customWidth="1"/>
    <col min="9" max="9" width="41.85546875" style="18" customWidth="1"/>
    <col min="10" max="10" width="50.5703125" style="57" customWidth="1"/>
    <col min="11" max="11" width="52.5703125" style="57" customWidth="1"/>
    <col min="12" max="12" width="56.140625" style="18" customWidth="1"/>
    <col min="13" max="13" width="54.85546875" style="18" customWidth="1"/>
    <col min="14" max="14" width="51" style="18" customWidth="1"/>
    <col min="15" max="15" width="56.140625" style="18" bestFit="1" customWidth="1"/>
    <col min="16" max="16" width="86.28515625" style="57" customWidth="1"/>
    <col min="17" max="17" width="52.140625" style="81" customWidth="1"/>
    <col min="18" max="18" width="33.85546875" style="20" customWidth="1"/>
    <col min="19" max="19" width="40.140625" style="21" bestFit="1" customWidth="1"/>
    <col min="20" max="20" width="43.5703125" style="21" bestFit="1" customWidth="1"/>
    <col min="21" max="16384" width="9.140625" style="21"/>
  </cols>
  <sheetData>
    <row r="1" spans="1:18" ht="45.75" x14ac:dyDescent="0.2">
      <c r="A1" s="75"/>
      <c r="B1" s="75"/>
      <c r="C1" s="75"/>
      <c r="D1" s="76"/>
      <c r="E1" s="77"/>
      <c r="F1" s="78"/>
      <c r="G1" s="77"/>
      <c r="H1" s="77"/>
      <c r="I1" s="77"/>
      <c r="J1" s="77"/>
      <c r="K1" s="77"/>
      <c r="L1" s="77"/>
      <c r="M1" s="77"/>
      <c r="N1" s="806" t="s">
        <v>493</v>
      </c>
      <c r="O1" s="807"/>
      <c r="P1" s="807"/>
      <c r="Q1" s="807"/>
    </row>
    <row r="2" spans="1:18" ht="45.75" x14ac:dyDescent="0.2">
      <c r="A2" s="76"/>
      <c r="B2" s="76"/>
      <c r="C2" s="76"/>
      <c r="D2" s="76"/>
      <c r="E2" s="77"/>
      <c r="F2" s="78"/>
      <c r="G2" s="77"/>
      <c r="H2" s="77"/>
      <c r="I2" s="77"/>
      <c r="J2" s="77"/>
      <c r="K2" s="77"/>
      <c r="L2" s="77"/>
      <c r="M2" s="77"/>
      <c r="N2" s="806" t="s">
        <v>1583</v>
      </c>
      <c r="O2" s="808"/>
      <c r="P2" s="808"/>
      <c r="Q2" s="808"/>
    </row>
    <row r="3" spans="1:18" ht="40.700000000000003" customHeight="1" x14ac:dyDescent="0.2">
      <c r="A3" s="76"/>
      <c r="B3" s="76"/>
      <c r="C3" s="76"/>
      <c r="D3" s="76"/>
      <c r="E3" s="77"/>
      <c r="F3" s="78"/>
      <c r="G3" s="77"/>
      <c r="H3" s="77"/>
      <c r="I3" s="77"/>
      <c r="J3" s="77"/>
      <c r="K3" s="77"/>
      <c r="L3" s="77"/>
      <c r="M3" s="77"/>
      <c r="N3" s="77"/>
      <c r="O3" s="806"/>
      <c r="P3" s="809"/>
      <c r="Q3" s="80"/>
    </row>
    <row r="4" spans="1:18" ht="45.75" hidden="1" x14ac:dyDescent="0.2">
      <c r="A4" s="76"/>
      <c r="B4" s="76"/>
      <c r="C4" s="76"/>
      <c r="D4" s="76"/>
      <c r="E4" s="77"/>
      <c r="F4" s="78"/>
      <c r="G4" s="77"/>
      <c r="H4" s="77"/>
      <c r="I4" s="77"/>
      <c r="J4" s="77"/>
      <c r="K4" s="77"/>
      <c r="L4" s="77"/>
      <c r="M4" s="77"/>
      <c r="N4" s="77"/>
      <c r="O4" s="76"/>
      <c r="P4" s="78"/>
      <c r="Q4" s="80"/>
    </row>
    <row r="5" spans="1:18" ht="45" x14ac:dyDescent="0.2">
      <c r="A5" s="810" t="s">
        <v>1623</v>
      </c>
      <c r="B5" s="810"/>
      <c r="C5" s="810"/>
      <c r="D5" s="810"/>
      <c r="E5" s="810"/>
      <c r="F5" s="810"/>
      <c r="G5" s="810"/>
      <c r="H5" s="810"/>
      <c r="I5" s="810"/>
      <c r="J5" s="810"/>
      <c r="K5" s="810"/>
      <c r="L5" s="810"/>
      <c r="M5" s="810"/>
      <c r="N5" s="810"/>
      <c r="O5" s="810"/>
      <c r="P5" s="810"/>
      <c r="Q5" s="80"/>
    </row>
    <row r="6" spans="1:18" ht="45" x14ac:dyDescent="0.2">
      <c r="A6" s="810" t="s">
        <v>1498</v>
      </c>
      <c r="B6" s="810"/>
      <c r="C6" s="810"/>
      <c r="D6" s="810"/>
      <c r="E6" s="810"/>
      <c r="F6" s="810"/>
      <c r="G6" s="810"/>
      <c r="H6" s="810"/>
      <c r="I6" s="810"/>
      <c r="J6" s="810"/>
      <c r="K6" s="810"/>
      <c r="L6" s="810"/>
      <c r="M6" s="810"/>
      <c r="N6" s="810"/>
      <c r="O6" s="810"/>
      <c r="P6" s="810"/>
      <c r="Q6" s="80"/>
    </row>
    <row r="7" spans="1:18" ht="45" x14ac:dyDescent="0.2">
      <c r="A7" s="77"/>
      <c r="B7" s="77"/>
      <c r="C7" s="77"/>
      <c r="D7" s="77"/>
      <c r="E7" s="77"/>
      <c r="F7" s="77"/>
      <c r="G7" s="77"/>
      <c r="H7" s="77"/>
      <c r="I7" s="77"/>
      <c r="J7" s="77"/>
      <c r="K7" s="77"/>
      <c r="L7" s="77"/>
      <c r="M7" s="77"/>
      <c r="N7" s="77"/>
      <c r="O7" s="77"/>
      <c r="P7" s="77"/>
      <c r="Q7" s="80"/>
    </row>
    <row r="8" spans="1:18" ht="45.75" x14ac:dyDescent="0.65">
      <c r="A8" s="811">
        <v>2256400000</v>
      </c>
      <c r="B8" s="812"/>
      <c r="C8" s="77"/>
      <c r="D8" s="398"/>
      <c r="E8" s="398"/>
      <c r="F8" s="398"/>
      <c r="G8" s="398"/>
      <c r="H8" s="398"/>
      <c r="I8" s="398"/>
      <c r="J8" s="398"/>
      <c r="K8" s="398"/>
      <c r="L8" s="398"/>
      <c r="M8" s="398"/>
      <c r="N8" s="398"/>
      <c r="O8" s="398"/>
      <c r="P8" s="398"/>
      <c r="Q8" s="13"/>
    </row>
    <row r="9" spans="1:18" ht="45.75" x14ac:dyDescent="0.2">
      <c r="A9" s="816" t="s">
        <v>490</v>
      </c>
      <c r="B9" s="817"/>
      <c r="C9" s="77"/>
      <c r="D9" s="398"/>
      <c r="E9" s="398"/>
      <c r="F9" s="398"/>
      <c r="G9" s="398"/>
      <c r="H9" s="398"/>
      <c r="I9" s="398"/>
      <c r="J9" s="398"/>
      <c r="K9" s="398"/>
      <c r="L9" s="398"/>
      <c r="M9" s="398"/>
      <c r="N9" s="398"/>
      <c r="O9" s="398"/>
      <c r="P9" s="398"/>
      <c r="Q9" s="13"/>
    </row>
    <row r="10" spans="1:18" ht="53.45" customHeight="1" thickBot="1" x14ac:dyDescent="0.25">
      <c r="A10" s="77"/>
      <c r="B10" s="77"/>
      <c r="C10" s="77"/>
      <c r="D10" s="398"/>
      <c r="E10" s="398"/>
      <c r="F10" s="399"/>
      <c r="G10" s="398"/>
      <c r="H10" s="398"/>
      <c r="I10" s="398"/>
      <c r="J10" s="398"/>
      <c r="K10" s="398"/>
      <c r="L10" s="398"/>
      <c r="M10" s="398"/>
      <c r="N10" s="398"/>
      <c r="O10" s="398"/>
      <c r="P10" s="316" t="s">
        <v>404</v>
      </c>
      <c r="Q10" s="13"/>
    </row>
    <row r="11" spans="1:18" ht="62.45" customHeight="1" thickTop="1" thickBot="1" x14ac:dyDescent="0.25">
      <c r="A11" s="815" t="s">
        <v>491</v>
      </c>
      <c r="B11" s="815" t="s">
        <v>492</v>
      </c>
      <c r="C11" s="815" t="s">
        <v>390</v>
      </c>
      <c r="D11" s="815" t="s">
        <v>573</v>
      </c>
      <c r="E11" s="813" t="s">
        <v>12</v>
      </c>
      <c r="F11" s="813"/>
      <c r="G11" s="813"/>
      <c r="H11" s="813"/>
      <c r="I11" s="813"/>
      <c r="J11" s="813" t="s">
        <v>52</v>
      </c>
      <c r="K11" s="813"/>
      <c r="L11" s="813"/>
      <c r="M11" s="813"/>
      <c r="N11" s="813"/>
      <c r="O11" s="814"/>
      <c r="P11" s="813" t="s">
        <v>11</v>
      </c>
      <c r="Q11" s="20"/>
    </row>
    <row r="12" spans="1:18" ht="96" customHeight="1" thickTop="1" thickBot="1" x14ac:dyDescent="0.25">
      <c r="A12" s="813"/>
      <c r="B12" s="818"/>
      <c r="C12" s="818"/>
      <c r="D12" s="813"/>
      <c r="E12" s="815" t="s">
        <v>384</v>
      </c>
      <c r="F12" s="815" t="s">
        <v>53</v>
      </c>
      <c r="G12" s="815" t="s">
        <v>13</v>
      </c>
      <c r="H12" s="815"/>
      <c r="I12" s="815" t="s">
        <v>55</v>
      </c>
      <c r="J12" s="815" t="s">
        <v>384</v>
      </c>
      <c r="K12" s="815" t="s">
        <v>385</v>
      </c>
      <c r="L12" s="815" t="s">
        <v>53</v>
      </c>
      <c r="M12" s="815" t="s">
        <v>13</v>
      </c>
      <c r="N12" s="815"/>
      <c r="O12" s="815" t="s">
        <v>55</v>
      </c>
      <c r="P12" s="813"/>
      <c r="Q12" s="20"/>
    </row>
    <row r="13" spans="1:18" ht="328.7" customHeight="1" thickTop="1" thickBot="1" x14ac:dyDescent="0.25">
      <c r="A13" s="818"/>
      <c r="B13" s="818"/>
      <c r="C13" s="818"/>
      <c r="D13" s="818"/>
      <c r="E13" s="815"/>
      <c r="F13" s="815"/>
      <c r="G13" s="317" t="s">
        <v>54</v>
      </c>
      <c r="H13" s="317" t="s">
        <v>15</v>
      </c>
      <c r="I13" s="815"/>
      <c r="J13" s="815"/>
      <c r="K13" s="815"/>
      <c r="L13" s="815"/>
      <c r="M13" s="317" t="s">
        <v>54</v>
      </c>
      <c r="N13" s="317" t="s">
        <v>15</v>
      </c>
      <c r="O13" s="815"/>
      <c r="P13" s="813"/>
      <c r="Q13" s="20"/>
    </row>
    <row r="14" spans="1:18" s="24" customFormat="1" ht="47.25" thickTop="1" thickBot="1" x14ac:dyDescent="0.25">
      <c r="A14" s="311" t="s">
        <v>2</v>
      </c>
      <c r="B14" s="311" t="s">
        <v>3</v>
      </c>
      <c r="C14" s="311" t="s">
        <v>14</v>
      </c>
      <c r="D14" s="311" t="s">
        <v>5</v>
      </c>
      <c r="E14" s="311" t="s">
        <v>392</v>
      </c>
      <c r="F14" s="311" t="s">
        <v>393</v>
      </c>
      <c r="G14" s="311" t="s">
        <v>394</v>
      </c>
      <c r="H14" s="311" t="s">
        <v>395</v>
      </c>
      <c r="I14" s="311" t="s">
        <v>396</v>
      </c>
      <c r="J14" s="311" t="s">
        <v>397</v>
      </c>
      <c r="K14" s="311" t="s">
        <v>398</v>
      </c>
      <c r="L14" s="311" t="s">
        <v>399</v>
      </c>
      <c r="M14" s="311" t="s">
        <v>400</v>
      </c>
      <c r="N14" s="311" t="s">
        <v>401</v>
      </c>
      <c r="O14" s="311" t="s">
        <v>402</v>
      </c>
      <c r="P14" s="311" t="s">
        <v>403</v>
      </c>
      <c r="Q14" s="126"/>
      <c r="R14" s="23"/>
    </row>
    <row r="15" spans="1:18" s="24" customFormat="1" ht="120" customHeight="1" thickTop="1" thickBot="1" x14ac:dyDescent="0.25">
      <c r="A15" s="661" t="s">
        <v>148</v>
      </c>
      <c r="B15" s="661"/>
      <c r="C15" s="661"/>
      <c r="D15" s="662" t="s">
        <v>150</v>
      </c>
      <c r="E15" s="663">
        <f>E16</f>
        <v>-22006783</v>
      </c>
      <c r="F15" s="664">
        <f t="shared" ref="F15:N15" si="0">F16</f>
        <v>-22006783</v>
      </c>
      <c r="G15" s="664">
        <f t="shared" si="0"/>
        <v>0</v>
      </c>
      <c r="H15" s="664">
        <f t="shared" si="0"/>
        <v>0</v>
      </c>
      <c r="I15" s="664">
        <f t="shared" si="0"/>
        <v>0</v>
      </c>
      <c r="J15" s="663">
        <f t="shared" si="0"/>
        <v>56765656.340000018</v>
      </c>
      <c r="K15" s="664">
        <f t="shared" si="0"/>
        <v>56765656.340000018</v>
      </c>
      <c r="L15" s="664">
        <f t="shared" si="0"/>
        <v>0</v>
      </c>
      <c r="M15" s="664">
        <f t="shared" si="0"/>
        <v>0</v>
      </c>
      <c r="N15" s="664">
        <f t="shared" si="0"/>
        <v>0</v>
      </c>
      <c r="O15" s="663">
        <f>O16</f>
        <v>56765656.340000018</v>
      </c>
      <c r="P15" s="664">
        <f t="shared" ref="P15" si="1">P16</f>
        <v>34758873.340000018</v>
      </c>
      <c r="Q15" s="25"/>
      <c r="R15" s="25"/>
    </row>
    <row r="16" spans="1:18" s="24" customFormat="1" ht="120" customHeight="1" thickTop="1" thickBot="1" x14ac:dyDescent="0.25">
      <c r="A16" s="658" t="s">
        <v>149</v>
      </c>
      <c r="B16" s="658"/>
      <c r="C16" s="658"/>
      <c r="D16" s="659" t="s">
        <v>151</v>
      </c>
      <c r="E16" s="660">
        <f>E17+E25+E36+E42+E22</f>
        <v>-22006783</v>
      </c>
      <c r="F16" s="660">
        <f>F17+F25+F36+F42+F22</f>
        <v>-22006783</v>
      </c>
      <c r="G16" s="660">
        <f>G17+G25+G36+G42+G22</f>
        <v>0</v>
      </c>
      <c r="H16" s="660">
        <f>H17+H25+H36+H42+H22</f>
        <v>0</v>
      </c>
      <c r="I16" s="660">
        <f>I17+I25+I36+I42+I22</f>
        <v>0</v>
      </c>
      <c r="J16" s="660">
        <f>L16+O16</f>
        <v>56765656.340000018</v>
      </c>
      <c r="K16" s="660">
        <f>K17+K25+K36+K42+K22</f>
        <v>56765656.340000018</v>
      </c>
      <c r="L16" s="660">
        <f>L17+L25+L36+L42+L22</f>
        <v>0</v>
      </c>
      <c r="M16" s="660">
        <f>M17+M25+M36+M42+M22</f>
        <v>0</v>
      </c>
      <c r="N16" s="660">
        <f>N17+N25+N36+N42+N22</f>
        <v>0</v>
      </c>
      <c r="O16" s="660">
        <f>O17+O25+O36+O42+O22</f>
        <v>56765656.340000018</v>
      </c>
      <c r="P16" s="660">
        <f>E16+J16</f>
        <v>34758873.340000018</v>
      </c>
      <c r="Q16" s="565" t="b">
        <f>P16=P18+P21+P27+P31+P33+P35+P38+P39+P41+P44+P45+P46</f>
        <v>0</v>
      </c>
      <c r="R16" s="26"/>
    </row>
    <row r="17" spans="1:18" s="28" customFormat="1" ht="47.25" thickTop="1" thickBot="1" x14ac:dyDescent="0.25">
      <c r="A17" s="311" t="s">
        <v>683</v>
      </c>
      <c r="B17" s="311" t="s">
        <v>684</v>
      </c>
      <c r="C17" s="311"/>
      <c r="D17" s="311" t="s">
        <v>685</v>
      </c>
      <c r="E17" s="328">
        <f>'d3'!E17-d3М!E17</f>
        <v>-36450000</v>
      </c>
      <c r="F17" s="328">
        <f>'d3'!F17-d3М!F17</f>
        <v>-36450000</v>
      </c>
      <c r="G17" s="328">
        <f>'d3'!G17-d3М!G17</f>
        <v>0</v>
      </c>
      <c r="H17" s="328">
        <f>'d3'!H17-d3М!H17</f>
        <v>0</v>
      </c>
      <c r="I17" s="328">
        <f>'d3'!I17-d3М!I17</f>
        <v>0</v>
      </c>
      <c r="J17" s="328">
        <f>'d3'!J17-d3М!J17</f>
        <v>30000</v>
      </c>
      <c r="K17" s="328">
        <f>'d3'!K17-d3М!K17</f>
        <v>30000</v>
      </c>
      <c r="L17" s="328">
        <f>'d3'!L17-d3М!L17</f>
        <v>0</v>
      </c>
      <c r="M17" s="328">
        <f>'d3'!M17-d3М!M17</f>
        <v>0</v>
      </c>
      <c r="N17" s="328">
        <f>'d3'!N17-d3М!N17</f>
        <v>0</v>
      </c>
      <c r="O17" s="328">
        <f>'d3'!O17-d3М!O17</f>
        <v>30000</v>
      </c>
      <c r="P17" s="328">
        <f>'d3'!P17-d3М!P17</f>
        <v>-36420000</v>
      </c>
      <c r="Q17" s="31"/>
      <c r="R17" s="27"/>
    </row>
    <row r="18" spans="1:18" ht="173.25" customHeight="1" thickTop="1" thickBot="1" x14ac:dyDescent="0.25">
      <c r="A18" s="103" t="s">
        <v>232</v>
      </c>
      <c r="B18" s="103" t="s">
        <v>233</v>
      </c>
      <c r="C18" s="103" t="s">
        <v>234</v>
      </c>
      <c r="D18" s="103" t="s">
        <v>231</v>
      </c>
      <c r="E18" s="328">
        <f>'d3'!E18-d3М!E18</f>
        <v>0</v>
      </c>
      <c r="F18" s="328">
        <f>'d3'!F18-d3М!F18</f>
        <v>0</v>
      </c>
      <c r="G18" s="328">
        <f>'d3'!G18-d3М!G18</f>
        <v>0</v>
      </c>
      <c r="H18" s="328">
        <f>'d3'!H18-d3М!H18</f>
        <v>0</v>
      </c>
      <c r="I18" s="328">
        <f>'d3'!I18-d3М!I18</f>
        <v>0</v>
      </c>
      <c r="J18" s="328">
        <f>'d3'!J18-d3М!J18</f>
        <v>30000</v>
      </c>
      <c r="K18" s="328">
        <f>'d3'!K18-d3М!K18</f>
        <v>30000</v>
      </c>
      <c r="L18" s="328">
        <f>'d3'!L18-d3М!L18</f>
        <v>0</v>
      </c>
      <c r="M18" s="328">
        <f>'d3'!M18-d3М!M18</f>
        <v>0</v>
      </c>
      <c r="N18" s="328">
        <f>'d3'!N18-d3М!N18</f>
        <v>0</v>
      </c>
      <c r="O18" s="328">
        <f>'d3'!O18-d3М!O18</f>
        <v>30000</v>
      </c>
      <c r="P18" s="328">
        <f>'d3'!P18-d3М!P18</f>
        <v>30000</v>
      </c>
      <c r="Q18" s="133"/>
      <c r="R18" s="29"/>
    </row>
    <row r="19" spans="1:18" ht="93" hidden="1" customHeight="1" thickTop="1" thickBot="1" x14ac:dyDescent="0.25">
      <c r="A19" s="128" t="s">
        <v>584</v>
      </c>
      <c r="B19" s="128" t="s">
        <v>236</v>
      </c>
      <c r="C19" s="128" t="s">
        <v>234</v>
      </c>
      <c r="D19" s="128" t="s">
        <v>235</v>
      </c>
      <c r="E19" s="328">
        <f>'d3'!E19-d3М!E19</f>
        <v>0</v>
      </c>
      <c r="F19" s="328">
        <f>'d3'!F19-d3М!F19</f>
        <v>0</v>
      </c>
      <c r="G19" s="328">
        <f>'d3'!G19-d3М!G19</f>
        <v>0</v>
      </c>
      <c r="H19" s="328">
        <f>'d3'!H19-d3М!H19</f>
        <v>0</v>
      </c>
      <c r="I19" s="328">
        <f>'d3'!I19-d3М!I19</f>
        <v>0</v>
      </c>
      <c r="J19" s="328">
        <f>'d3'!J19-d3М!J19</f>
        <v>0</v>
      </c>
      <c r="K19" s="328">
        <f>'d3'!K19-d3М!K19</f>
        <v>0</v>
      </c>
      <c r="L19" s="328">
        <f>'d3'!L19-d3М!L19</f>
        <v>0</v>
      </c>
      <c r="M19" s="328">
        <f>'d3'!M19-d3М!M19</f>
        <v>0</v>
      </c>
      <c r="N19" s="328">
        <f>'d3'!N19-d3М!N19</f>
        <v>0</v>
      </c>
      <c r="O19" s="328">
        <f>'d3'!O19-d3М!O19</f>
        <v>0</v>
      </c>
      <c r="P19" s="328">
        <f>'d3'!P19-d3М!P19</f>
        <v>0</v>
      </c>
      <c r="Q19" s="133"/>
      <c r="R19" s="29"/>
    </row>
    <row r="20" spans="1:18" ht="93" hidden="1" customHeight="1" thickTop="1" thickBot="1" x14ac:dyDescent="0.25">
      <c r="A20" s="128" t="s">
        <v>624</v>
      </c>
      <c r="B20" s="128" t="s">
        <v>362</v>
      </c>
      <c r="C20" s="128" t="s">
        <v>625</v>
      </c>
      <c r="D20" s="128" t="s">
        <v>626</v>
      </c>
      <c r="E20" s="328">
        <f>'d3'!E20-d3М!E20</f>
        <v>0</v>
      </c>
      <c r="F20" s="328">
        <f>'d3'!F20-d3М!F20</f>
        <v>0</v>
      </c>
      <c r="G20" s="328">
        <f>'d3'!G20-d3М!G20</f>
        <v>0</v>
      </c>
      <c r="H20" s="328">
        <f>'d3'!H20-d3М!H20</f>
        <v>0</v>
      </c>
      <c r="I20" s="328">
        <f>'d3'!I20-d3М!I20</f>
        <v>0</v>
      </c>
      <c r="J20" s="328">
        <f>'d3'!J20-d3М!J20</f>
        <v>0</v>
      </c>
      <c r="K20" s="328">
        <f>'d3'!K20-d3М!K20</f>
        <v>0</v>
      </c>
      <c r="L20" s="328">
        <f>'d3'!L20-d3М!L20</f>
        <v>0</v>
      </c>
      <c r="M20" s="328">
        <f>'d3'!M20-d3М!M20</f>
        <v>0</v>
      </c>
      <c r="N20" s="328">
        <f>'d3'!N20-d3М!N20</f>
        <v>0</v>
      </c>
      <c r="O20" s="328">
        <f>'d3'!O20-d3М!O20</f>
        <v>0</v>
      </c>
      <c r="P20" s="328">
        <f>'d3'!P20-d3М!P20</f>
        <v>0</v>
      </c>
      <c r="Q20" s="133"/>
      <c r="R20" s="30"/>
    </row>
    <row r="21" spans="1:18" ht="47.25" thickTop="1" thickBot="1" x14ac:dyDescent="0.25">
      <c r="A21" s="103" t="s">
        <v>247</v>
      </c>
      <c r="B21" s="103" t="s">
        <v>43</v>
      </c>
      <c r="C21" s="103" t="s">
        <v>42</v>
      </c>
      <c r="D21" s="103" t="s">
        <v>248</v>
      </c>
      <c r="E21" s="328">
        <f>'d3'!E21-d3М!E21</f>
        <v>-36450000</v>
      </c>
      <c r="F21" s="328">
        <f>'d3'!F21-d3М!F21</f>
        <v>-36450000</v>
      </c>
      <c r="G21" s="328">
        <f>'d3'!G21-d3М!G21</f>
        <v>0</v>
      </c>
      <c r="H21" s="328">
        <f>'d3'!H21-d3М!H21</f>
        <v>0</v>
      </c>
      <c r="I21" s="328">
        <f>'d3'!I21-d3М!I21</f>
        <v>0</v>
      </c>
      <c r="J21" s="328">
        <f>'d3'!J21-d3М!J21</f>
        <v>0</v>
      </c>
      <c r="K21" s="328">
        <f>'d3'!K21-d3М!K21</f>
        <v>0</v>
      </c>
      <c r="L21" s="328">
        <f>'d3'!L21-d3М!L21</f>
        <v>0</v>
      </c>
      <c r="M21" s="328">
        <f>'d3'!M21-d3М!M21</f>
        <v>0</v>
      </c>
      <c r="N21" s="328">
        <f>'d3'!N21-d3М!N21</f>
        <v>0</v>
      </c>
      <c r="O21" s="328">
        <f>'d3'!O21-d3М!O21</f>
        <v>0</v>
      </c>
      <c r="P21" s="328">
        <f>'d3'!P21-d3М!P21</f>
        <v>-36450000</v>
      </c>
      <c r="Q21" s="133"/>
      <c r="R21" s="30"/>
    </row>
    <row r="22" spans="1:18" ht="47.25" thickTop="1" thickBot="1" x14ac:dyDescent="0.25">
      <c r="A22" s="311" t="s">
        <v>1626</v>
      </c>
      <c r="B22" s="311" t="s">
        <v>711</v>
      </c>
      <c r="C22" s="311"/>
      <c r="D22" s="311" t="s">
        <v>712</v>
      </c>
      <c r="E22" s="328">
        <f>'d3'!E22-0</f>
        <v>1000000</v>
      </c>
      <c r="F22" s="328">
        <f>'d3'!F22-0</f>
        <v>1000000</v>
      </c>
      <c r="G22" s="328">
        <f>'d3'!G22-0</f>
        <v>0</v>
      </c>
      <c r="H22" s="328">
        <f>'d3'!H22-0</f>
        <v>0</v>
      </c>
      <c r="I22" s="328">
        <f>'d3'!I22-0</f>
        <v>0</v>
      </c>
      <c r="J22" s="328">
        <f>'d3'!J22-0</f>
        <v>0</v>
      </c>
      <c r="K22" s="328">
        <f>'d3'!K22-0</f>
        <v>0</v>
      </c>
      <c r="L22" s="328">
        <f>'d3'!L22-0</f>
        <v>0</v>
      </c>
      <c r="M22" s="328">
        <f>'d3'!M22-0</f>
        <v>0</v>
      </c>
      <c r="N22" s="328">
        <f>'d3'!N22-0</f>
        <v>0</v>
      </c>
      <c r="O22" s="328">
        <f>'d3'!O22-0</f>
        <v>0</v>
      </c>
      <c r="P22" s="328">
        <f>'d3'!P22-0</f>
        <v>1000000</v>
      </c>
      <c r="Q22" s="133"/>
      <c r="R22" s="30"/>
    </row>
    <row r="23" spans="1:18" ht="47.25" thickTop="1" thickBot="1" x14ac:dyDescent="0.25">
      <c r="A23" s="669" t="s">
        <v>1627</v>
      </c>
      <c r="B23" s="669" t="s">
        <v>739</v>
      </c>
      <c r="C23" s="669"/>
      <c r="D23" s="669" t="s">
        <v>740</v>
      </c>
      <c r="E23" s="328">
        <f>'d3'!E23-0</f>
        <v>1000000</v>
      </c>
      <c r="F23" s="328">
        <f>'d3'!F23-0</f>
        <v>1000000</v>
      </c>
      <c r="G23" s="328">
        <f>'d3'!G23-0</f>
        <v>0</v>
      </c>
      <c r="H23" s="328">
        <f>'d3'!H23-0</f>
        <v>0</v>
      </c>
      <c r="I23" s="328">
        <f>'d3'!I23-0</f>
        <v>0</v>
      </c>
      <c r="J23" s="328">
        <f>'d3'!J23-0</f>
        <v>0</v>
      </c>
      <c r="K23" s="328">
        <f>'d3'!K23-0</f>
        <v>0</v>
      </c>
      <c r="L23" s="328">
        <f>'d3'!L23-0</f>
        <v>0</v>
      </c>
      <c r="M23" s="328">
        <f>'d3'!M23-0</f>
        <v>0</v>
      </c>
      <c r="N23" s="328">
        <f>'d3'!N23-0</f>
        <v>0</v>
      </c>
      <c r="O23" s="328">
        <f>'d3'!O23-0</f>
        <v>0</v>
      </c>
      <c r="P23" s="328">
        <f>'d3'!P23-0</f>
        <v>1000000</v>
      </c>
      <c r="Q23" s="133"/>
      <c r="R23" s="30"/>
    </row>
    <row r="24" spans="1:18" ht="93" thickTop="1" thickBot="1" x14ac:dyDescent="0.25">
      <c r="A24" s="665" t="s">
        <v>1628</v>
      </c>
      <c r="B24" s="665" t="s">
        <v>329</v>
      </c>
      <c r="C24" s="665" t="s">
        <v>191</v>
      </c>
      <c r="D24" s="742" t="s">
        <v>331</v>
      </c>
      <c r="E24" s="328">
        <f>'d3'!E24-0</f>
        <v>1000000</v>
      </c>
      <c r="F24" s="328">
        <f>'d3'!F24-0</f>
        <v>1000000</v>
      </c>
      <c r="G24" s="328">
        <f>'d3'!G24-0</f>
        <v>0</v>
      </c>
      <c r="H24" s="328">
        <f>'d3'!H24-0</f>
        <v>0</v>
      </c>
      <c r="I24" s="328">
        <f>'d3'!I24-0</f>
        <v>0</v>
      </c>
      <c r="J24" s="328">
        <f>'d3'!J24-0</f>
        <v>0</v>
      </c>
      <c r="K24" s="328">
        <f>'d3'!K24-0</f>
        <v>0</v>
      </c>
      <c r="L24" s="328">
        <f>'d3'!L24-0</f>
        <v>0</v>
      </c>
      <c r="M24" s="328">
        <f>'d3'!M24-0</f>
        <v>0</v>
      </c>
      <c r="N24" s="328">
        <f>'d3'!N24-0</f>
        <v>0</v>
      </c>
      <c r="O24" s="328">
        <f>'d3'!O24-0</f>
        <v>0</v>
      </c>
      <c r="P24" s="328">
        <f>'d3'!P24-0</f>
        <v>1000000</v>
      </c>
      <c r="Q24" s="133"/>
      <c r="R24" s="30"/>
    </row>
    <row r="25" spans="1:18" s="28" customFormat="1" ht="47.25" thickTop="1" thickBot="1" x14ac:dyDescent="0.3">
      <c r="A25" s="311" t="s">
        <v>747</v>
      </c>
      <c r="B25" s="311" t="s">
        <v>748</v>
      </c>
      <c r="C25" s="311"/>
      <c r="D25" s="311" t="s">
        <v>749</v>
      </c>
      <c r="E25" s="328">
        <f>'d3'!E25-d3М!E22</f>
        <v>500000</v>
      </c>
      <c r="F25" s="328">
        <f>'d3'!F25-d3М!F22</f>
        <v>500000</v>
      </c>
      <c r="G25" s="328">
        <f>'d3'!G25-d3М!G22</f>
        <v>0</v>
      </c>
      <c r="H25" s="328">
        <f>'d3'!H25-d3М!H22</f>
        <v>0</v>
      </c>
      <c r="I25" s="328">
        <f>'d3'!I25-d3М!I22</f>
        <v>0</v>
      </c>
      <c r="J25" s="328">
        <f>'d3'!J25-d3М!J22</f>
        <v>0</v>
      </c>
      <c r="K25" s="328">
        <f>'d3'!K25-d3М!K22</f>
        <v>0</v>
      </c>
      <c r="L25" s="328">
        <f>'d3'!L25-d3М!L22</f>
        <v>0</v>
      </c>
      <c r="M25" s="328">
        <f>'d3'!M25-d3М!M22</f>
        <v>0</v>
      </c>
      <c r="N25" s="328">
        <f>'d3'!N25-d3М!N22</f>
        <v>0</v>
      </c>
      <c r="O25" s="328">
        <f>'d3'!O25-d3М!O22</f>
        <v>0</v>
      </c>
      <c r="P25" s="328">
        <f>'d3'!P25-d3М!P22</f>
        <v>500000</v>
      </c>
      <c r="Q25" s="135"/>
      <c r="R25" s="31"/>
    </row>
    <row r="26" spans="1:18" s="33" customFormat="1" ht="47.25" thickTop="1" thickBot="1" x14ac:dyDescent="0.25">
      <c r="A26" s="313" t="s">
        <v>686</v>
      </c>
      <c r="B26" s="313" t="s">
        <v>687</v>
      </c>
      <c r="C26" s="313"/>
      <c r="D26" s="313" t="s">
        <v>688</v>
      </c>
      <c r="E26" s="328">
        <f>'d3'!E26-d3М!E23</f>
        <v>500000</v>
      </c>
      <c r="F26" s="328">
        <f>'d3'!F26-d3М!F23</f>
        <v>500000</v>
      </c>
      <c r="G26" s="328">
        <f>'d3'!G26-d3М!G23</f>
        <v>0</v>
      </c>
      <c r="H26" s="328">
        <f>'d3'!H26-d3М!H23</f>
        <v>0</v>
      </c>
      <c r="I26" s="328">
        <f>'d3'!I26-d3М!I23</f>
        <v>0</v>
      </c>
      <c r="J26" s="328">
        <f>'d3'!J26-d3М!J23</f>
        <v>0</v>
      </c>
      <c r="K26" s="328">
        <f>'d3'!K26-d3М!K23</f>
        <v>0</v>
      </c>
      <c r="L26" s="328">
        <f>'d3'!L26-d3М!L23</f>
        <v>0</v>
      </c>
      <c r="M26" s="328">
        <f>'d3'!M26-d3М!M23</f>
        <v>0</v>
      </c>
      <c r="N26" s="328">
        <f>'d3'!N26-d3М!N23</f>
        <v>0</v>
      </c>
      <c r="O26" s="328">
        <f>'d3'!O26-d3М!O23</f>
        <v>0</v>
      </c>
      <c r="P26" s="328">
        <f>'d3'!P26-d3М!P23</f>
        <v>500000</v>
      </c>
      <c r="Q26" s="138"/>
      <c r="R26" s="32"/>
    </row>
    <row r="27" spans="1:18" ht="47.25" thickTop="1" thickBot="1" x14ac:dyDescent="0.25">
      <c r="A27" s="103" t="s">
        <v>238</v>
      </c>
      <c r="B27" s="103" t="s">
        <v>239</v>
      </c>
      <c r="C27" s="103" t="s">
        <v>240</v>
      </c>
      <c r="D27" s="103" t="s">
        <v>237</v>
      </c>
      <c r="E27" s="328">
        <f>'d3'!E27-d3М!E24</f>
        <v>500000</v>
      </c>
      <c r="F27" s="328">
        <f>'d3'!F27-d3М!F24</f>
        <v>500000</v>
      </c>
      <c r="G27" s="328">
        <f>'d3'!G27-d3М!G24</f>
        <v>0</v>
      </c>
      <c r="H27" s="328">
        <f>'d3'!H27-d3М!H24</f>
        <v>0</v>
      </c>
      <c r="I27" s="328">
        <f>'d3'!I27-d3М!I24</f>
        <v>0</v>
      </c>
      <c r="J27" s="328">
        <f>'d3'!J27-d3М!J24</f>
        <v>0</v>
      </c>
      <c r="K27" s="328">
        <f>'d3'!K27-d3М!K24</f>
        <v>0</v>
      </c>
      <c r="L27" s="328">
        <f>'d3'!L27-d3М!L24</f>
        <v>0</v>
      </c>
      <c r="M27" s="328">
        <f>'d3'!M27-d3М!M24</f>
        <v>0</v>
      </c>
      <c r="N27" s="328">
        <f>'d3'!N27-d3М!N24</f>
        <v>0</v>
      </c>
      <c r="O27" s="328">
        <f>'d3'!O27-d3М!O24</f>
        <v>0</v>
      </c>
      <c r="P27" s="328">
        <f>'d3'!P27-d3М!P24</f>
        <v>500000</v>
      </c>
      <c r="Q27" s="133"/>
      <c r="R27" s="29"/>
    </row>
    <row r="28" spans="1:18" ht="93" hidden="1" customHeight="1" thickTop="1" thickBot="1" x14ac:dyDescent="0.25">
      <c r="A28" s="41" t="s">
        <v>976</v>
      </c>
      <c r="B28" s="41" t="s">
        <v>977</v>
      </c>
      <c r="C28" s="41" t="s">
        <v>240</v>
      </c>
      <c r="D28" s="41" t="s">
        <v>978</v>
      </c>
      <c r="E28" s="328">
        <f>'d3'!E28-d3М!E25</f>
        <v>0</v>
      </c>
      <c r="F28" s="328">
        <f>'d3'!F28-d3М!F25</f>
        <v>0</v>
      </c>
      <c r="G28" s="328">
        <f>'d3'!G28-d3М!G25</f>
        <v>0</v>
      </c>
      <c r="H28" s="328">
        <f>'d3'!H28-d3М!H25</f>
        <v>0</v>
      </c>
      <c r="I28" s="328">
        <f>'d3'!I28-d3М!I25</f>
        <v>0</v>
      </c>
      <c r="J28" s="328">
        <f>'d3'!J28-d3М!J25</f>
        <v>0</v>
      </c>
      <c r="K28" s="328">
        <f>'d3'!K28-d3М!K25</f>
        <v>0</v>
      </c>
      <c r="L28" s="328">
        <f>'d3'!L28-d3М!L25</f>
        <v>0</v>
      </c>
      <c r="M28" s="328">
        <f>'d3'!M28-d3М!M25</f>
        <v>0</v>
      </c>
      <c r="N28" s="328">
        <f>'d3'!N28-d3М!N25</f>
        <v>0</v>
      </c>
      <c r="O28" s="328">
        <f>'d3'!O28-d3М!O25</f>
        <v>0</v>
      </c>
      <c r="P28" s="328">
        <f>'d3'!P28-d3М!P25</f>
        <v>0</v>
      </c>
      <c r="Q28" s="133"/>
      <c r="R28" s="29"/>
    </row>
    <row r="29" spans="1:18" ht="47.25" thickTop="1" thickBot="1" x14ac:dyDescent="0.25">
      <c r="A29" s="313" t="s">
        <v>690</v>
      </c>
      <c r="B29" s="313" t="s">
        <v>691</v>
      </c>
      <c r="C29" s="313"/>
      <c r="D29" s="313" t="s">
        <v>689</v>
      </c>
      <c r="E29" s="328">
        <f>'d3'!E29-d3М!E26</f>
        <v>0</v>
      </c>
      <c r="F29" s="328">
        <f>'d3'!F29-d3М!F26</f>
        <v>0</v>
      </c>
      <c r="G29" s="328">
        <f>'d3'!G29-d3М!G26</f>
        <v>0</v>
      </c>
      <c r="H29" s="328">
        <f>'d3'!H29-d3М!H26</f>
        <v>0</v>
      </c>
      <c r="I29" s="328">
        <f>'d3'!I29-d3М!I26</f>
        <v>0</v>
      </c>
      <c r="J29" s="328">
        <f>'d3'!J29-d3М!J26</f>
        <v>0</v>
      </c>
      <c r="K29" s="328">
        <f>'d3'!K29-d3М!K26</f>
        <v>0</v>
      </c>
      <c r="L29" s="328">
        <f>'d3'!L29-d3М!L26</f>
        <v>0</v>
      </c>
      <c r="M29" s="328">
        <f>'d3'!M29-d3М!M26</f>
        <v>0</v>
      </c>
      <c r="N29" s="328">
        <f>'d3'!N29-d3М!N26</f>
        <v>0</v>
      </c>
      <c r="O29" s="328">
        <f>'d3'!O29-d3М!O26</f>
        <v>0</v>
      </c>
      <c r="P29" s="328">
        <f>'d3'!P29-d3М!P26</f>
        <v>0</v>
      </c>
      <c r="Q29" s="139"/>
      <c r="R29" s="34"/>
    </row>
    <row r="30" spans="1:18" ht="48" hidden="1" customHeight="1" thickTop="1" thickBot="1" x14ac:dyDescent="0.25">
      <c r="A30" s="103" t="s">
        <v>1404</v>
      </c>
      <c r="B30" s="103" t="s">
        <v>212</v>
      </c>
      <c r="C30" s="103" t="s">
        <v>213</v>
      </c>
      <c r="D30" s="103" t="s">
        <v>41</v>
      </c>
      <c r="E30" s="328">
        <f>'d3'!E30-d3М!E27</f>
        <v>0</v>
      </c>
      <c r="F30" s="328">
        <f>'d3'!F30-d3М!F27</f>
        <v>0</v>
      </c>
      <c r="G30" s="328">
        <f>'d3'!G30-d3М!G27</f>
        <v>0</v>
      </c>
      <c r="H30" s="328">
        <f>'d3'!H30-d3М!H27</f>
        <v>0</v>
      </c>
      <c r="I30" s="328">
        <f>'d3'!I30-d3М!I27</f>
        <v>0</v>
      </c>
      <c r="J30" s="328">
        <f>'d3'!J30-d3М!J27</f>
        <v>0</v>
      </c>
      <c r="K30" s="328">
        <f>'d3'!K30-d3М!K27</f>
        <v>0</v>
      </c>
      <c r="L30" s="328">
        <f>'d3'!L30-d3М!L27</f>
        <v>0</v>
      </c>
      <c r="M30" s="328">
        <f>'d3'!M30-d3М!M27</f>
        <v>0</v>
      </c>
      <c r="N30" s="328">
        <f>'d3'!N30-d3М!N27</f>
        <v>0</v>
      </c>
      <c r="O30" s="328">
        <f>'d3'!O30-d3М!O27</f>
        <v>0</v>
      </c>
      <c r="P30" s="328">
        <f>'d3'!P30-d3М!P27</f>
        <v>0</v>
      </c>
      <c r="Q30" s="139"/>
      <c r="R30" s="34"/>
    </row>
    <row r="31" spans="1:18" ht="47.25" thickTop="1" thickBot="1" x14ac:dyDescent="0.25">
      <c r="A31" s="103" t="s">
        <v>299</v>
      </c>
      <c r="B31" s="103" t="s">
        <v>300</v>
      </c>
      <c r="C31" s="103" t="s">
        <v>170</v>
      </c>
      <c r="D31" s="103" t="s">
        <v>442</v>
      </c>
      <c r="E31" s="328">
        <f>'d3'!E31-d3М!E28</f>
        <v>0</v>
      </c>
      <c r="F31" s="328">
        <f>'d3'!F31-d3М!F28</f>
        <v>0</v>
      </c>
      <c r="G31" s="328">
        <f>'d3'!G31-d3М!G28</f>
        <v>0</v>
      </c>
      <c r="H31" s="328">
        <f>'d3'!H31-d3М!H28</f>
        <v>0</v>
      </c>
      <c r="I31" s="328">
        <f>'d3'!I31-d3М!I28</f>
        <v>0</v>
      </c>
      <c r="J31" s="328">
        <f>'d3'!J31-d3М!J28</f>
        <v>0</v>
      </c>
      <c r="K31" s="328">
        <f>'d3'!K31-d3М!K28</f>
        <v>0</v>
      </c>
      <c r="L31" s="328">
        <f>'d3'!L31-d3М!L28</f>
        <v>0</v>
      </c>
      <c r="M31" s="328">
        <f>'d3'!M31-d3М!M28</f>
        <v>0</v>
      </c>
      <c r="N31" s="328">
        <f>'d3'!N31-d3М!N28</f>
        <v>0</v>
      </c>
      <c r="O31" s="328">
        <f>'d3'!O31-d3М!O28</f>
        <v>0</v>
      </c>
      <c r="P31" s="328">
        <f>'d3'!P31-d3М!P28</f>
        <v>0</v>
      </c>
      <c r="Q31" s="133"/>
      <c r="R31" s="30"/>
    </row>
    <row r="32" spans="1:18" ht="47.25" thickTop="1" thickBot="1" x14ac:dyDescent="0.25">
      <c r="A32" s="329" t="s">
        <v>693</v>
      </c>
      <c r="B32" s="329" t="s">
        <v>694</v>
      </c>
      <c r="C32" s="329"/>
      <c r="D32" s="566" t="s">
        <v>692</v>
      </c>
      <c r="E32" s="328">
        <f>'d3'!E32-d3М!E29</f>
        <v>0</v>
      </c>
      <c r="F32" s="328">
        <f>'d3'!F32-d3М!F29</f>
        <v>0</v>
      </c>
      <c r="G32" s="328">
        <f>'d3'!G32-d3М!G29</f>
        <v>0</v>
      </c>
      <c r="H32" s="328">
        <f>'d3'!H32-d3М!H29</f>
        <v>0</v>
      </c>
      <c r="I32" s="328">
        <f>'d3'!I32-d3М!I29</f>
        <v>0</v>
      </c>
      <c r="J32" s="328">
        <f>'d3'!J32-d3М!J29</f>
        <v>0</v>
      </c>
      <c r="K32" s="328">
        <f>'d3'!K32-d3М!K29</f>
        <v>0</v>
      </c>
      <c r="L32" s="328">
        <f>'d3'!L32-d3М!L29</f>
        <v>0</v>
      </c>
      <c r="M32" s="328">
        <f>'d3'!M32-d3М!M29</f>
        <v>0</v>
      </c>
      <c r="N32" s="328">
        <f>'d3'!N32-d3М!N29</f>
        <v>0</v>
      </c>
      <c r="O32" s="328">
        <f>'d3'!O32-d3М!O29</f>
        <v>0</v>
      </c>
      <c r="P32" s="328">
        <f>'d3'!P32-d3М!P29</f>
        <v>0</v>
      </c>
      <c r="Q32" s="139"/>
      <c r="R32" s="35"/>
    </row>
    <row r="33" spans="1:18" s="33" customFormat="1" ht="156.75" customHeight="1" thickTop="1" thickBot="1" x14ac:dyDescent="0.7">
      <c r="A33" s="796" t="s">
        <v>339</v>
      </c>
      <c r="B33" s="796" t="s">
        <v>338</v>
      </c>
      <c r="C33" s="796" t="s">
        <v>170</v>
      </c>
      <c r="D33" s="567" t="s">
        <v>440</v>
      </c>
      <c r="E33" s="827">
        <f>'d3'!E33-d3М!E30</f>
        <v>0</v>
      </c>
      <c r="F33" s="827">
        <f>'d3'!F33-d3М!F30</f>
        <v>0</v>
      </c>
      <c r="G33" s="827">
        <f>'d3'!G33-d3М!G30</f>
        <v>0</v>
      </c>
      <c r="H33" s="827">
        <f>'d3'!H33-d3М!H30</f>
        <v>0</v>
      </c>
      <c r="I33" s="827">
        <f>'d3'!I33-d3М!I30</f>
        <v>0</v>
      </c>
      <c r="J33" s="827">
        <f>'d3'!J33-d3М!J30</f>
        <v>0</v>
      </c>
      <c r="K33" s="827">
        <f>'d3'!K33-d3М!K30</f>
        <v>0</v>
      </c>
      <c r="L33" s="827">
        <f>'d3'!L33-d3М!L30</f>
        <v>0</v>
      </c>
      <c r="M33" s="827">
        <f>'d3'!M33-d3М!M30</f>
        <v>0</v>
      </c>
      <c r="N33" s="827">
        <f>'d3'!N33-d3М!N30</f>
        <v>0</v>
      </c>
      <c r="O33" s="827">
        <f>'d3'!O33-d3М!O30</f>
        <v>0</v>
      </c>
      <c r="P33" s="827">
        <f>'d3'!P33-d3М!P30</f>
        <v>0</v>
      </c>
      <c r="Q33" s="142"/>
      <c r="R33" s="36"/>
    </row>
    <row r="34" spans="1:18" s="33" customFormat="1" ht="120.75" customHeight="1" thickTop="1" thickBot="1" x14ac:dyDescent="0.25">
      <c r="A34" s="804"/>
      <c r="B34" s="803"/>
      <c r="C34" s="804"/>
      <c r="D34" s="568" t="s">
        <v>441</v>
      </c>
      <c r="E34" s="828"/>
      <c r="F34" s="828">
        <f>'d3'!F34-d3М!F31</f>
        <v>0</v>
      </c>
      <c r="G34" s="828">
        <f>'d3'!G34-d3М!G31</f>
        <v>0</v>
      </c>
      <c r="H34" s="828">
        <f>'d3'!H34-d3М!H31</f>
        <v>0</v>
      </c>
      <c r="I34" s="828">
        <f>'d3'!I34-d3М!I31</f>
        <v>0</v>
      </c>
      <c r="J34" s="828">
        <f>'d3'!J34-d3М!J31</f>
        <v>0</v>
      </c>
      <c r="K34" s="828">
        <f>'d3'!K34-d3М!K31</f>
        <v>0</v>
      </c>
      <c r="L34" s="828">
        <f>'d3'!L34-d3М!L31</f>
        <v>0</v>
      </c>
      <c r="M34" s="828">
        <f>'d3'!M34-d3М!M31</f>
        <v>0</v>
      </c>
      <c r="N34" s="828">
        <f>'d3'!N34-d3М!N31</f>
        <v>0</v>
      </c>
      <c r="O34" s="828">
        <f>'d3'!O34-d3М!O31</f>
        <v>0</v>
      </c>
      <c r="P34" s="828">
        <f>'d3'!P34-d3М!P31</f>
        <v>0</v>
      </c>
      <c r="Q34" s="36"/>
      <c r="R34" s="36"/>
    </row>
    <row r="35" spans="1:18" s="33" customFormat="1" ht="47.25" thickTop="1" thickBot="1" x14ac:dyDescent="0.25">
      <c r="A35" s="103" t="s">
        <v>914</v>
      </c>
      <c r="B35" s="103" t="s">
        <v>257</v>
      </c>
      <c r="C35" s="103" t="s">
        <v>170</v>
      </c>
      <c r="D35" s="103" t="s">
        <v>255</v>
      </c>
      <c r="E35" s="328">
        <f>'d3'!E35-d3М!E32</f>
        <v>0</v>
      </c>
      <c r="F35" s="328">
        <f>'d3'!F35-d3М!F32</f>
        <v>0</v>
      </c>
      <c r="G35" s="328">
        <f>'d3'!G35-d3М!G32</f>
        <v>0</v>
      </c>
      <c r="H35" s="328">
        <f>'d3'!H35-d3М!H32</f>
        <v>0</v>
      </c>
      <c r="I35" s="328">
        <f>'d3'!I35-d3М!I32</f>
        <v>0</v>
      </c>
      <c r="J35" s="328">
        <f>'d3'!J35-d3М!J32</f>
        <v>0</v>
      </c>
      <c r="K35" s="328">
        <f>'d3'!K35-d3М!K32</f>
        <v>0</v>
      </c>
      <c r="L35" s="328">
        <f>'d3'!L35-d3М!L32</f>
        <v>0</v>
      </c>
      <c r="M35" s="328">
        <f>'d3'!M35-d3М!M32</f>
        <v>0</v>
      </c>
      <c r="N35" s="328">
        <f>'d3'!N35-d3М!N32</f>
        <v>0</v>
      </c>
      <c r="O35" s="328">
        <f>'d3'!O35-d3М!O32</f>
        <v>0</v>
      </c>
      <c r="P35" s="328">
        <f>'d3'!P35-d3М!P32</f>
        <v>0</v>
      </c>
      <c r="Q35" s="36"/>
      <c r="R35" s="36"/>
    </row>
    <row r="36" spans="1:18" s="33" customFormat="1" ht="46.5" customHeight="1" thickTop="1" thickBot="1" x14ac:dyDescent="0.25">
      <c r="A36" s="311" t="s">
        <v>695</v>
      </c>
      <c r="B36" s="311" t="s">
        <v>696</v>
      </c>
      <c r="C36" s="311"/>
      <c r="D36" s="311" t="s">
        <v>697</v>
      </c>
      <c r="E36" s="328">
        <f>'d3'!E36-d3М!E33</f>
        <v>7855999</v>
      </c>
      <c r="F36" s="328">
        <f>'d3'!F36-d3М!F33</f>
        <v>7855999</v>
      </c>
      <c r="G36" s="328">
        <f>'d3'!G36-d3М!G33</f>
        <v>0</v>
      </c>
      <c r="H36" s="328">
        <f>'d3'!H36-d3М!H33</f>
        <v>0</v>
      </c>
      <c r="I36" s="328">
        <f>'d3'!I36-d3М!I33</f>
        <v>0</v>
      </c>
      <c r="J36" s="328">
        <f>'d3'!J36-d3М!J33</f>
        <v>28889406.340000004</v>
      </c>
      <c r="K36" s="328">
        <f>'d3'!K36-d3М!K33</f>
        <v>28889406.340000004</v>
      </c>
      <c r="L36" s="328">
        <f>'d3'!L36-d3М!L33</f>
        <v>0</v>
      </c>
      <c r="M36" s="328">
        <f>'d3'!M36-d3М!M33</f>
        <v>0</v>
      </c>
      <c r="N36" s="328">
        <f>'d3'!N36-d3М!N33</f>
        <v>0</v>
      </c>
      <c r="O36" s="328">
        <f>'d3'!O36-d3М!O33</f>
        <v>28889406.340000004</v>
      </c>
      <c r="P36" s="328">
        <f>'d3'!P36-d3М!P33</f>
        <v>36745405.340000004</v>
      </c>
      <c r="Q36" s="36"/>
      <c r="R36" s="36"/>
    </row>
    <row r="37" spans="1:18" s="33" customFormat="1" ht="47.25" thickTop="1" thickBot="1" x14ac:dyDescent="0.25">
      <c r="A37" s="313" t="s">
        <v>1185</v>
      </c>
      <c r="B37" s="313" t="s">
        <v>1186</v>
      </c>
      <c r="C37" s="313"/>
      <c r="D37" s="313" t="s">
        <v>1184</v>
      </c>
      <c r="E37" s="328">
        <f>'d3'!E37-d3М!E34</f>
        <v>7855999</v>
      </c>
      <c r="F37" s="328">
        <f>'d3'!F37-d3М!F34</f>
        <v>7855999</v>
      </c>
      <c r="G37" s="328">
        <f>'d3'!G37-d3М!G34</f>
        <v>0</v>
      </c>
      <c r="H37" s="328">
        <f>'d3'!H37-d3М!H34</f>
        <v>0</v>
      </c>
      <c r="I37" s="328">
        <f>'d3'!I37-d3М!I34</f>
        <v>0</v>
      </c>
      <c r="J37" s="328">
        <f>'d3'!J37-d3М!J34</f>
        <v>28889406.340000004</v>
      </c>
      <c r="K37" s="328">
        <f>'d3'!K37-d3М!K34</f>
        <v>28889406.340000004</v>
      </c>
      <c r="L37" s="328">
        <f>'d3'!L37-d3М!L34</f>
        <v>0</v>
      </c>
      <c r="M37" s="328">
        <f>'d3'!M37-d3М!M34</f>
        <v>0</v>
      </c>
      <c r="N37" s="328">
        <f>'d3'!N37-d3М!N34</f>
        <v>0</v>
      </c>
      <c r="O37" s="328">
        <f>'d3'!O37-d3М!O34</f>
        <v>28889406.340000004</v>
      </c>
      <c r="P37" s="328">
        <f>'d3'!P37-d3М!P34</f>
        <v>36745405.340000004</v>
      </c>
      <c r="Q37" s="36"/>
      <c r="R37" s="36"/>
    </row>
    <row r="38" spans="1:18" s="33" customFormat="1" ht="47.25" thickTop="1" thickBot="1" x14ac:dyDescent="0.25">
      <c r="A38" s="103" t="s">
        <v>1212</v>
      </c>
      <c r="B38" s="103" t="s">
        <v>1213</v>
      </c>
      <c r="C38" s="103" t="s">
        <v>1188</v>
      </c>
      <c r="D38" s="103" t="s">
        <v>1214</v>
      </c>
      <c r="E38" s="328">
        <f>'d3'!E38-d3М!E35</f>
        <v>6000000</v>
      </c>
      <c r="F38" s="328">
        <f>'d3'!F38-d3М!F35</f>
        <v>6000000</v>
      </c>
      <c r="G38" s="328">
        <f>'d3'!G38-d3М!G35</f>
        <v>0</v>
      </c>
      <c r="H38" s="328">
        <f>'d3'!H38-d3М!H35</f>
        <v>0</v>
      </c>
      <c r="I38" s="328">
        <f>'d3'!I38-d3М!I35</f>
        <v>0</v>
      </c>
      <c r="J38" s="328">
        <f>'d3'!J38-d3М!J35</f>
        <v>25000000</v>
      </c>
      <c r="K38" s="328">
        <f>'d3'!K38-d3М!K35</f>
        <v>25000000</v>
      </c>
      <c r="L38" s="328">
        <f>'d3'!L38-d3М!L35</f>
        <v>0</v>
      </c>
      <c r="M38" s="328">
        <f>'d3'!M38-d3М!M35</f>
        <v>0</v>
      </c>
      <c r="N38" s="328">
        <f>'d3'!N38-d3М!N35</f>
        <v>0</v>
      </c>
      <c r="O38" s="328">
        <f>'d3'!O38-d3М!O35</f>
        <v>25000000</v>
      </c>
      <c r="P38" s="328">
        <f>'d3'!P38-d3М!P35</f>
        <v>31000000</v>
      </c>
      <c r="Q38" s="36"/>
      <c r="R38" s="36"/>
    </row>
    <row r="39" spans="1:18" s="33" customFormat="1" ht="47.25" thickTop="1" thickBot="1" x14ac:dyDescent="0.25">
      <c r="A39" s="103" t="s">
        <v>1189</v>
      </c>
      <c r="B39" s="103" t="s">
        <v>1190</v>
      </c>
      <c r="C39" s="103" t="s">
        <v>1188</v>
      </c>
      <c r="D39" s="103" t="s">
        <v>1187</v>
      </c>
      <c r="E39" s="328">
        <f>'d3'!E39-d3М!E36</f>
        <v>1855999</v>
      </c>
      <c r="F39" s="328">
        <f>'d3'!F39-d3М!F36</f>
        <v>1855999</v>
      </c>
      <c r="G39" s="328">
        <f>'d3'!G39-d3М!G36</f>
        <v>0</v>
      </c>
      <c r="H39" s="328">
        <f>'d3'!H39-d3М!H36</f>
        <v>0</v>
      </c>
      <c r="I39" s="328">
        <f>'d3'!I39-d3М!I36</f>
        <v>0</v>
      </c>
      <c r="J39" s="328">
        <f>'d3'!J39-d3М!J36</f>
        <v>3889406.34</v>
      </c>
      <c r="K39" s="328">
        <f>'d3'!K39-d3М!K36</f>
        <v>3889406.34</v>
      </c>
      <c r="L39" s="328">
        <f>'d3'!L39-d3М!L36</f>
        <v>0</v>
      </c>
      <c r="M39" s="328">
        <f>'d3'!M39-d3М!M36</f>
        <v>0</v>
      </c>
      <c r="N39" s="328">
        <f>'d3'!N39-d3М!N36</f>
        <v>0</v>
      </c>
      <c r="O39" s="328">
        <f>'d3'!O39-d3М!O36</f>
        <v>3889406.34</v>
      </c>
      <c r="P39" s="328">
        <f>'d3'!P39-d3М!P36</f>
        <v>5745405.3399999999</v>
      </c>
      <c r="Q39" s="36"/>
      <c r="R39" s="36"/>
    </row>
    <row r="40" spans="1:18" s="33" customFormat="1" ht="47.25" thickTop="1" thickBot="1" x14ac:dyDescent="0.25">
      <c r="A40" s="313" t="s">
        <v>698</v>
      </c>
      <c r="B40" s="313" t="s">
        <v>699</v>
      </c>
      <c r="C40" s="313"/>
      <c r="D40" s="313" t="s">
        <v>700</v>
      </c>
      <c r="E40" s="328">
        <f>'d3'!E40-d3М!E37</f>
        <v>0</v>
      </c>
      <c r="F40" s="328">
        <f>'d3'!F40-d3М!F37</f>
        <v>0</v>
      </c>
      <c r="G40" s="328">
        <f>'d3'!G40-d3М!G37</f>
        <v>0</v>
      </c>
      <c r="H40" s="328">
        <f>'d3'!H40-d3М!H37</f>
        <v>0</v>
      </c>
      <c r="I40" s="328">
        <f>'d3'!I40-d3М!I37</f>
        <v>0</v>
      </c>
      <c r="J40" s="328">
        <f>'d3'!J40-d3М!J37</f>
        <v>0</v>
      </c>
      <c r="K40" s="328">
        <f>'d3'!K40-d3М!K37</f>
        <v>0</v>
      </c>
      <c r="L40" s="328">
        <f>'d3'!L40-d3М!L37</f>
        <v>0</v>
      </c>
      <c r="M40" s="328">
        <f>'d3'!M40-d3М!M37</f>
        <v>0</v>
      </c>
      <c r="N40" s="328">
        <f>'d3'!N40-d3М!N37</f>
        <v>0</v>
      </c>
      <c r="O40" s="328">
        <f>'d3'!O40-d3М!O37</f>
        <v>0</v>
      </c>
      <c r="P40" s="328">
        <f>'d3'!P40-d3М!P37</f>
        <v>0</v>
      </c>
      <c r="Q40" s="36"/>
    </row>
    <row r="41" spans="1:18" ht="47.25" thickTop="1" thickBot="1" x14ac:dyDescent="0.25">
      <c r="A41" s="103" t="s">
        <v>241</v>
      </c>
      <c r="B41" s="103" t="s">
        <v>242</v>
      </c>
      <c r="C41" s="103" t="s">
        <v>243</v>
      </c>
      <c r="D41" s="103" t="s">
        <v>244</v>
      </c>
      <c r="E41" s="328">
        <f>'d3'!E41-d3М!E38</f>
        <v>0</v>
      </c>
      <c r="F41" s="328">
        <f>'d3'!F41-d3М!F38</f>
        <v>0</v>
      </c>
      <c r="G41" s="328">
        <f>'d3'!G41-d3М!G38</f>
        <v>0</v>
      </c>
      <c r="H41" s="328">
        <f>'d3'!H41-d3М!H38</f>
        <v>0</v>
      </c>
      <c r="I41" s="328">
        <f>'d3'!I41-d3М!I38</f>
        <v>0</v>
      </c>
      <c r="J41" s="328">
        <f>'d3'!J41-d3М!J38</f>
        <v>0</v>
      </c>
      <c r="K41" s="328">
        <f>'d3'!K41-d3М!K38</f>
        <v>0</v>
      </c>
      <c r="L41" s="328">
        <f>'d3'!L41-d3М!L38</f>
        <v>0</v>
      </c>
      <c r="M41" s="328">
        <f>'d3'!M41-d3М!M38</f>
        <v>0</v>
      </c>
      <c r="N41" s="328">
        <f>'d3'!N41-d3М!N38</f>
        <v>0</v>
      </c>
      <c r="O41" s="328">
        <f>'d3'!O41-d3М!O38</f>
        <v>0</v>
      </c>
      <c r="P41" s="328">
        <f>'d3'!P41-d3М!P38</f>
        <v>0</v>
      </c>
      <c r="Q41" s="20"/>
    </row>
    <row r="42" spans="1:18" ht="47.25" thickTop="1" thickBot="1" x14ac:dyDescent="0.25">
      <c r="A42" s="311" t="s">
        <v>701</v>
      </c>
      <c r="B42" s="311" t="s">
        <v>702</v>
      </c>
      <c r="C42" s="311"/>
      <c r="D42" s="311" t="s">
        <v>703</v>
      </c>
      <c r="E42" s="328">
        <f>'d3'!E42-d3М!E39</f>
        <v>5087218</v>
      </c>
      <c r="F42" s="328">
        <f>'d3'!F42-d3М!F39</f>
        <v>5087218</v>
      </c>
      <c r="G42" s="328">
        <f>'d3'!G42-d3М!G39</f>
        <v>0</v>
      </c>
      <c r="H42" s="328">
        <f>'d3'!H42-d3М!H39</f>
        <v>0</v>
      </c>
      <c r="I42" s="328">
        <f>'d3'!I42-d3М!I39</f>
        <v>0</v>
      </c>
      <c r="J42" s="328">
        <f>'d3'!J42-d3М!J39</f>
        <v>27846250.000000015</v>
      </c>
      <c r="K42" s="328">
        <f>'d3'!K42-d3М!K39</f>
        <v>27846250.000000015</v>
      </c>
      <c r="L42" s="328">
        <f>'d3'!L42-d3М!L39</f>
        <v>0</v>
      </c>
      <c r="M42" s="328">
        <f>'d3'!M42-d3М!M39</f>
        <v>0</v>
      </c>
      <c r="N42" s="328">
        <f>'d3'!N42-d3М!N39</f>
        <v>0</v>
      </c>
      <c r="O42" s="328">
        <f>'d3'!O42-d3М!O39</f>
        <v>27846250.000000015</v>
      </c>
      <c r="P42" s="328">
        <f>'d3'!P42-d3М!P39</f>
        <v>32933468</v>
      </c>
      <c r="Q42" s="20"/>
    </row>
    <row r="43" spans="1:18" s="33" customFormat="1" ht="91.5" thickTop="1" thickBot="1" x14ac:dyDescent="0.25">
      <c r="A43" s="313" t="s">
        <v>704</v>
      </c>
      <c r="B43" s="313" t="s">
        <v>705</v>
      </c>
      <c r="C43" s="313"/>
      <c r="D43" s="313" t="s">
        <v>706</v>
      </c>
      <c r="E43" s="328">
        <f>'d3'!E43-d3М!E40</f>
        <v>0</v>
      </c>
      <c r="F43" s="328">
        <f>'d3'!F43-d3М!F40</f>
        <v>0</v>
      </c>
      <c r="G43" s="328">
        <f>'d3'!G43-d3М!G40</f>
        <v>0</v>
      </c>
      <c r="H43" s="328">
        <f>'d3'!H43-d3М!H40</f>
        <v>0</v>
      </c>
      <c r="I43" s="328">
        <f>'d3'!I43-d3М!I40</f>
        <v>0</v>
      </c>
      <c r="J43" s="328">
        <f>'d3'!J43-d3М!J40</f>
        <v>0</v>
      </c>
      <c r="K43" s="328">
        <f>'d3'!K43-d3М!K40</f>
        <v>0</v>
      </c>
      <c r="L43" s="328">
        <f>'d3'!L43-d3М!L40</f>
        <v>0</v>
      </c>
      <c r="M43" s="328">
        <f>'d3'!M43-d3М!M40</f>
        <v>0</v>
      </c>
      <c r="N43" s="328">
        <f>'d3'!N43-d3М!N40</f>
        <v>0</v>
      </c>
      <c r="O43" s="328">
        <f>'d3'!O43-d3М!O40</f>
        <v>0</v>
      </c>
      <c r="P43" s="328">
        <f>'d3'!P43-d3М!P40</f>
        <v>0</v>
      </c>
      <c r="Q43" s="36"/>
      <c r="R43" s="36"/>
    </row>
    <row r="44" spans="1:18" ht="93" thickTop="1" thickBot="1" x14ac:dyDescent="0.25">
      <c r="A44" s="103" t="s">
        <v>245</v>
      </c>
      <c r="B44" s="103" t="s">
        <v>246</v>
      </c>
      <c r="C44" s="103" t="s">
        <v>43</v>
      </c>
      <c r="D44" s="103" t="s">
        <v>443</v>
      </c>
      <c r="E44" s="328">
        <f>'d3'!E44-d3М!E41</f>
        <v>0</v>
      </c>
      <c r="F44" s="328">
        <f>'d3'!F44-d3М!F41</f>
        <v>0</v>
      </c>
      <c r="G44" s="328">
        <f>'d3'!G44-d3М!G41</f>
        <v>0</v>
      </c>
      <c r="H44" s="328">
        <f>'d3'!H44-d3М!H41</f>
        <v>0</v>
      </c>
      <c r="I44" s="328">
        <f>'d3'!I44-d3М!I41</f>
        <v>0</v>
      </c>
      <c r="J44" s="328">
        <f>'d3'!J44-d3М!J41</f>
        <v>0</v>
      </c>
      <c r="K44" s="328">
        <f>'d3'!K44-d3М!K41</f>
        <v>0</v>
      </c>
      <c r="L44" s="328">
        <f>'d3'!L44-d3М!L41</f>
        <v>0</v>
      </c>
      <c r="M44" s="328">
        <f>'d3'!M44-d3М!M41</f>
        <v>0</v>
      </c>
      <c r="N44" s="328">
        <f>'d3'!N44-d3М!N41</f>
        <v>0</v>
      </c>
      <c r="O44" s="328">
        <f>'d3'!O44-d3М!O41</f>
        <v>0</v>
      </c>
      <c r="P44" s="328">
        <f>'d3'!P44-d3М!P41</f>
        <v>0</v>
      </c>
      <c r="Q44" s="20"/>
    </row>
    <row r="45" spans="1:18" ht="47.25" thickTop="1" thickBot="1" x14ac:dyDescent="0.25">
      <c r="A45" s="103" t="s">
        <v>575</v>
      </c>
      <c r="B45" s="103" t="s">
        <v>363</v>
      </c>
      <c r="C45" s="103" t="s">
        <v>43</v>
      </c>
      <c r="D45" s="103" t="s">
        <v>364</v>
      </c>
      <c r="E45" s="328">
        <f>'d3'!E45-d3М!E42</f>
        <v>0</v>
      </c>
      <c r="F45" s="328">
        <f>'d3'!F45-d3М!F42</f>
        <v>0</v>
      </c>
      <c r="G45" s="328">
        <f>'d3'!G45-d3М!G42</f>
        <v>0</v>
      </c>
      <c r="H45" s="328">
        <f>'d3'!H45-d3М!H42</f>
        <v>0</v>
      </c>
      <c r="I45" s="328">
        <f>'d3'!I45-d3М!I42</f>
        <v>0</v>
      </c>
      <c r="J45" s="328">
        <f>'d3'!J45-d3М!J42</f>
        <v>0</v>
      </c>
      <c r="K45" s="328">
        <f>'d3'!K45-d3М!K42</f>
        <v>0</v>
      </c>
      <c r="L45" s="328">
        <f>'d3'!L45-d3М!L42</f>
        <v>0</v>
      </c>
      <c r="M45" s="328">
        <f>'d3'!M45-d3М!M42</f>
        <v>0</v>
      </c>
      <c r="N45" s="328">
        <f>'d3'!N45-d3М!N42</f>
        <v>0</v>
      </c>
      <c r="O45" s="328">
        <f>'d3'!O45-d3М!O42</f>
        <v>0</v>
      </c>
      <c r="P45" s="328">
        <f>'d3'!P45-d3М!P42</f>
        <v>0</v>
      </c>
      <c r="Q45" s="20"/>
    </row>
    <row r="46" spans="1:18" ht="91.5" thickTop="1" thickBot="1" x14ac:dyDescent="0.25">
      <c r="A46" s="313" t="s">
        <v>513</v>
      </c>
      <c r="B46" s="313" t="s">
        <v>514</v>
      </c>
      <c r="C46" s="313" t="s">
        <v>43</v>
      </c>
      <c r="D46" s="313" t="s">
        <v>515</v>
      </c>
      <c r="E46" s="328">
        <f>'d3'!E46-d3М!E43</f>
        <v>5087218</v>
      </c>
      <c r="F46" s="328">
        <f>'d3'!F46-d3М!F43</f>
        <v>5087218</v>
      </c>
      <c r="G46" s="328">
        <f>'d3'!G46-d3М!G43</f>
        <v>0</v>
      </c>
      <c r="H46" s="328">
        <f>'d3'!H46-d3М!H43</f>
        <v>0</v>
      </c>
      <c r="I46" s="328">
        <f>'d3'!I46-d3М!I43</f>
        <v>0</v>
      </c>
      <c r="J46" s="328">
        <f>'d3'!J46-d3М!J43</f>
        <v>27846250.000000015</v>
      </c>
      <c r="K46" s="328">
        <f>'d3'!K46-d3М!K43</f>
        <v>27846250.000000015</v>
      </c>
      <c r="L46" s="328">
        <f>'d3'!L46-d3М!L43</f>
        <v>0</v>
      </c>
      <c r="M46" s="328">
        <f>'d3'!M46-d3М!M43</f>
        <v>0</v>
      </c>
      <c r="N46" s="328">
        <f>'d3'!N46-d3М!N43</f>
        <v>0</v>
      </c>
      <c r="O46" s="328">
        <f>'d3'!O46-d3М!O43</f>
        <v>27846250.000000015</v>
      </c>
      <c r="P46" s="328">
        <f>'d3'!P46-d3М!P43</f>
        <v>32933468</v>
      </c>
      <c r="Q46" s="20"/>
      <c r="R46" s="26"/>
    </row>
    <row r="47" spans="1:18" ht="120" customHeight="1" thickTop="1" thickBot="1" x14ac:dyDescent="0.25">
      <c r="A47" s="661" t="s">
        <v>152</v>
      </c>
      <c r="B47" s="661"/>
      <c r="C47" s="661"/>
      <c r="D47" s="662" t="s">
        <v>0</v>
      </c>
      <c r="E47" s="663">
        <f>E48</f>
        <v>4848261.1399998665</v>
      </c>
      <c r="F47" s="664">
        <f t="shared" ref="F47" si="2">F48</f>
        <v>4848261.1399998665</v>
      </c>
      <c r="G47" s="664">
        <f>G48</f>
        <v>0</v>
      </c>
      <c r="H47" s="664">
        <f>H48</f>
        <v>0</v>
      </c>
      <c r="I47" s="664">
        <f t="shared" ref="I47" si="3">I48</f>
        <v>0</v>
      </c>
      <c r="J47" s="663">
        <f>J48</f>
        <v>45779845.069999993</v>
      </c>
      <c r="K47" s="664">
        <f>K48</f>
        <v>45779845.069999993</v>
      </c>
      <c r="L47" s="664">
        <f>L48</f>
        <v>-152499</v>
      </c>
      <c r="M47" s="664">
        <f t="shared" ref="M47" si="4">M48</f>
        <v>-133500</v>
      </c>
      <c r="N47" s="664">
        <f>N48</f>
        <v>0</v>
      </c>
      <c r="O47" s="663">
        <f>O48</f>
        <v>45932344.069999993</v>
      </c>
      <c r="P47" s="664">
        <f t="shared" ref="P47" si="5">P48</f>
        <v>50628106.209999859</v>
      </c>
      <c r="Q47" s="20"/>
    </row>
    <row r="48" spans="1:18" ht="120" customHeight="1" thickTop="1" thickBot="1" x14ac:dyDescent="0.25">
      <c r="A48" s="658" t="s">
        <v>153</v>
      </c>
      <c r="B48" s="658"/>
      <c r="C48" s="658"/>
      <c r="D48" s="659" t="s">
        <v>1</v>
      </c>
      <c r="E48" s="660">
        <f>E49+E92+E104+E95+E101</f>
        <v>4848261.1399998665</v>
      </c>
      <c r="F48" s="660">
        <f>F49+F92+F104+F95+F101</f>
        <v>4848261.1399998665</v>
      </c>
      <c r="G48" s="660">
        <f>G49+G92+G104+G95+G101</f>
        <v>0</v>
      </c>
      <c r="H48" s="660">
        <f>H49+H92+H104+H95+H101</f>
        <v>0</v>
      </c>
      <c r="I48" s="660">
        <f>I49+I92+I104+I95+I101</f>
        <v>0</v>
      </c>
      <c r="J48" s="660">
        <f>L48+O48</f>
        <v>45779845.069999993</v>
      </c>
      <c r="K48" s="660">
        <f>K49+K92+K104+K95+K101</f>
        <v>45779845.069999993</v>
      </c>
      <c r="L48" s="660">
        <f>L49+L92+L104+L95+L101</f>
        <v>-152499</v>
      </c>
      <c r="M48" s="660">
        <f>M49+M92+M104+M95+M101</f>
        <v>-133500</v>
      </c>
      <c r="N48" s="660">
        <f>N49+N92+N104+N95+N101</f>
        <v>0</v>
      </c>
      <c r="O48" s="660">
        <f>O49+O92+O104+O95+O101</f>
        <v>45932344.069999993</v>
      </c>
      <c r="P48" s="660">
        <f>E48+J48</f>
        <v>50628106.209999859</v>
      </c>
      <c r="Q48" s="565" t="b">
        <f>P48=P50+P52+P53+P54+P56+P57+P60+P62+P63+P65+P66+P68+P69+P70+P84+P93+P94+P98+P100+P59+P90+P91+P78+P79+P81+P82</f>
        <v>1</v>
      </c>
      <c r="R48" s="26"/>
    </row>
    <row r="49" spans="1:20" ht="47.25" thickTop="1" thickBot="1" x14ac:dyDescent="0.25">
      <c r="A49" s="311" t="s">
        <v>707</v>
      </c>
      <c r="B49" s="311" t="s">
        <v>708</v>
      </c>
      <c r="C49" s="311"/>
      <c r="D49" s="311" t="s">
        <v>709</v>
      </c>
      <c r="E49" s="328">
        <f>'d3'!E49-d3М!E46</f>
        <v>4848261.1399998665</v>
      </c>
      <c r="F49" s="328">
        <f>'d3'!F49-d3М!F46</f>
        <v>4848261.1399998665</v>
      </c>
      <c r="G49" s="328">
        <f>'d3'!G49-d3М!G46</f>
        <v>0</v>
      </c>
      <c r="H49" s="328">
        <f>'d3'!H49-d3М!H46</f>
        <v>0</v>
      </c>
      <c r="I49" s="328">
        <f>'d3'!I49-d3М!I46</f>
        <v>0</v>
      </c>
      <c r="J49" s="328">
        <f>'d3'!J49-d3М!J46</f>
        <v>35980566.289999962</v>
      </c>
      <c r="K49" s="328">
        <f>'d3'!K49-d3М!K46</f>
        <v>35980566.289999992</v>
      </c>
      <c r="L49" s="328">
        <f>'d3'!L49-d3М!L46</f>
        <v>-152499</v>
      </c>
      <c r="M49" s="328">
        <f>'d3'!M49-d3М!M46</f>
        <v>-133500</v>
      </c>
      <c r="N49" s="328">
        <f>'d3'!N49-d3М!N46</f>
        <v>0</v>
      </c>
      <c r="O49" s="328">
        <f>'d3'!O49-d3М!O46</f>
        <v>36133065.289999992</v>
      </c>
      <c r="P49" s="328">
        <f>'d3'!P49-d3М!P46</f>
        <v>40828827.429999352</v>
      </c>
      <c r="Q49" s="30"/>
      <c r="R49" s="26"/>
    </row>
    <row r="50" spans="1:20" ht="47.25" thickTop="1" thickBot="1" x14ac:dyDescent="0.6">
      <c r="A50" s="103" t="s">
        <v>198</v>
      </c>
      <c r="B50" s="103" t="s">
        <v>199</v>
      </c>
      <c r="C50" s="103" t="s">
        <v>201</v>
      </c>
      <c r="D50" s="103" t="s">
        <v>202</v>
      </c>
      <c r="E50" s="328">
        <f>'d3'!E50-d3М!E47</f>
        <v>797817</v>
      </c>
      <c r="F50" s="328">
        <f>'d3'!F50-d3М!F47</f>
        <v>797817</v>
      </c>
      <c r="G50" s="328">
        <f>'d3'!G50-d3М!G47</f>
        <v>0</v>
      </c>
      <c r="H50" s="328">
        <f>'d3'!H50-d3М!H47</f>
        <v>0</v>
      </c>
      <c r="I50" s="328">
        <f>'d3'!I50-d3М!I47</f>
        <v>0</v>
      </c>
      <c r="J50" s="328">
        <f>'d3'!J50-d3М!J47</f>
        <v>0</v>
      </c>
      <c r="K50" s="328">
        <f>'d3'!K50-d3М!K47</f>
        <v>0</v>
      </c>
      <c r="L50" s="328">
        <f>'d3'!L50-d3М!L47</f>
        <v>-31099</v>
      </c>
      <c r="M50" s="328">
        <f>'d3'!M50-d3М!M47</f>
        <v>89700</v>
      </c>
      <c r="N50" s="328">
        <f>'d3'!N50-d3М!N47</f>
        <v>0</v>
      </c>
      <c r="O50" s="328">
        <f>'d3'!O50-d3М!O47</f>
        <v>31099</v>
      </c>
      <c r="P50" s="328">
        <f>'d3'!P50-d3М!P47</f>
        <v>797817</v>
      </c>
      <c r="Q50" s="143"/>
      <c r="R50" s="26"/>
    </row>
    <row r="51" spans="1:20" ht="47.25" thickTop="1" thickBot="1" x14ac:dyDescent="0.6">
      <c r="A51" s="329" t="s">
        <v>203</v>
      </c>
      <c r="B51" s="329" t="s">
        <v>200</v>
      </c>
      <c r="C51" s="329"/>
      <c r="D51" s="329" t="s">
        <v>643</v>
      </c>
      <c r="E51" s="328">
        <f>'d3'!E51-d3М!E48</f>
        <v>3994644.1399999857</v>
      </c>
      <c r="F51" s="328">
        <f>'d3'!F51-d3М!F48</f>
        <v>3994644.1399999857</v>
      </c>
      <c r="G51" s="328">
        <f>'d3'!G51-d3М!G48</f>
        <v>0</v>
      </c>
      <c r="H51" s="328">
        <f>'d3'!H51-d3М!H48</f>
        <v>0</v>
      </c>
      <c r="I51" s="328">
        <f>'d3'!I51-d3М!I48</f>
        <v>0</v>
      </c>
      <c r="J51" s="328">
        <f>'d3'!J51-d3М!J48</f>
        <v>5136016.2899999917</v>
      </c>
      <c r="K51" s="328">
        <f>'d3'!K51-d3М!K48</f>
        <v>5136016.2899999991</v>
      </c>
      <c r="L51" s="328">
        <f>'d3'!L51-d3М!L48</f>
        <v>-1400</v>
      </c>
      <c r="M51" s="328">
        <f>'d3'!M51-d3М!M48</f>
        <v>42800</v>
      </c>
      <c r="N51" s="328">
        <f>'d3'!N51-d3М!N48</f>
        <v>0</v>
      </c>
      <c r="O51" s="328">
        <f>'d3'!O51-d3М!O48</f>
        <v>5137416.2899999991</v>
      </c>
      <c r="P51" s="328">
        <f>'d3'!P51-d3М!P48</f>
        <v>9130660.4299999475</v>
      </c>
      <c r="Q51" s="143"/>
      <c r="R51" s="37"/>
    </row>
    <row r="52" spans="1:20" ht="93" thickTop="1" thickBot="1" x14ac:dyDescent="0.6">
      <c r="A52" s="103" t="s">
        <v>641</v>
      </c>
      <c r="B52" s="103" t="s">
        <v>642</v>
      </c>
      <c r="C52" s="103" t="s">
        <v>204</v>
      </c>
      <c r="D52" s="103" t="s">
        <v>1276</v>
      </c>
      <c r="E52" s="328">
        <f>'d3'!E52-d3М!E49</f>
        <v>3994644.1399999857</v>
      </c>
      <c r="F52" s="328">
        <f>'d3'!F52-d3М!F49</f>
        <v>3994644.1399999857</v>
      </c>
      <c r="G52" s="328">
        <f>'d3'!G52-d3М!G49</f>
        <v>0</v>
      </c>
      <c r="H52" s="328">
        <f>'d3'!H52-d3М!H49</f>
        <v>0</v>
      </c>
      <c r="I52" s="328">
        <f>'d3'!I52-d3М!I49</f>
        <v>0</v>
      </c>
      <c r="J52" s="328">
        <f>'d3'!J52-d3М!J49</f>
        <v>5136016.2899999917</v>
      </c>
      <c r="K52" s="328">
        <f>'d3'!K52-d3М!K49</f>
        <v>5136016.2899999991</v>
      </c>
      <c r="L52" s="328">
        <f>'d3'!L52-d3М!L49</f>
        <v>-1400</v>
      </c>
      <c r="M52" s="328">
        <f>'d3'!M52-d3М!M49</f>
        <v>42800</v>
      </c>
      <c r="N52" s="328">
        <f>'d3'!N52-d3М!N49</f>
        <v>0</v>
      </c>
      <c r="O52" s="328">
        <f>'d3'!O52-d3М!O49</f>
        <v>5137416.2899999991</v>
      </c>
      <c r="P52" s="328">
        <f>'d3'!P52-d3М!P49</f>
        <v>9130660.4299999475</v>
      </c>
      <c r="Q52" s="143"/>
      <c r="R52" s="26"/>
      <c r="T52" s="38"/>
    </row>
    <row r="53" spans="1:20" ht="138.75" thickTop="1" thickBot="1" x14ac:dyDescent="0.25">
      <c r="A53" s="103" t="s">
        <v>650</v>
      </c>
      <c r="B53" s="103" t="s">
        <v>651</v>
      </c>
      <c r="C53" s="103" t="s">
        <v>207</v>
      </c>
      <c r="D53" s="103" t="s">
        <v>1277</v>
      </c>
      <c r="E53" s="328">
        <f>'d3'!E53-d3М!E50</f>
        <v>0</v>
      </c>
      <c r="F53" s="328">
        <f>'d3'!F53-d3М!F50</f>
        <v>0</v>
      </c>
      <c r="G53" s="328">
        <f>'d3'!G53-d3М!G50</f>
        <v>0</v>
      </c>
      <c r="H53" s="328">
        <f>'d3'!H53-d3М!H50</f>
        <v>0</v>
      </c>
      <c r="I53" s="328">
        <f>'d3'!I53-d3М!I50</f>
        <v>0</v>
      </c>
      <c r="J53" s="328">
        <f>'d3'!J53-d3М!J50</f>
        <v>0</v>
      </c>
      <c r="K53" s="328">
        <f>'d3'!K53-d3М!K50</f>
        <v>0</v>
      </c>
      <c r="L53" s="328">
        <f>'d3'!L53-d3М!L50</f>
        <v>0</v>
      </c>
      <c r="M53" s="328">
        <f>'d3'!M53-d3М!M50</f>
        <v>0</v>
      </c>
      <c r="N53" s="328">
        <f>'d3'!N53-d3М!N50</f>
        <v>0</v>
      </c>
      <c r="O53" s="328">
        <f>'d3'!O53-d3М!O50</f>
        <v>0</v>
      </c>
      <c r="P53" s="328">
        <f>'d3'!P53-d3М!P50</f>
        <v>0</v>
      </c>
      <c r="Q53" s="20"/>
      <c r="R53" s="27"/>
    </row>
    <row r="54" spans="1:20" ht="93" thickTop="1" thickBot="1" x14ac:dyDescent="0.25">
      <c r="A54" s="103" t="s">
        <v>996</v>
      </c>
      <c r="B54" s="103" t="s">
        <v>997</v>
      </c>
      <c r="C54" s="103" t="s">
        <v>207</v>
      </c>
      <c r="D54" s="103" t="s">
        <v>1278</v>
      </c>
      <c r="E54" s="328">
        <f>'d3'!E54-d3М!E51</f>
        <v>0</v>
      </c>
      <c r="F54" s="328">
        <f>'d3'!F54-d3М!F51</f>
        <v>0</v>
      </c>
      <c r="G54" s="328">
        <f>'d3'!G54-d3М!G51</f>
        <v>0</v>
      </c>
      <c r="H54" s="328">
        <f>'d3'!H54-d3М!H51</f>
        <v>0</v>
      </c>
      <c r="I54" s="328">
        <f>'d3'!I54-d3М!I51</f>
        <v>0</v>
      </c>
      <c r="J54" s="328">
        <f>'d3'!J54-d3М!J51</f>
        <v>0</v>
      </c>
      <c r="K54" s="328">
        <f>'d3'!K54-d3М!K51</f>
        <v>0</v>
      </c>
      <c r="L54" s="328">
        <f>'d3'!L54-d3М!L51</f>
        <v>0</v>
      </c>
      <c r="M54" s="328">
        <f>'d3'!M54-d3М!M51</f>
        <v>0</v>
      </c>
      <c r="N54" s="328">
        <f>'d3'!N54-d3М!N51</f>
        <v>0</v>
      </c>
      <c r="O54" s="328">
        <f>'d3'!O54-d3М!O51</f>
        <v>0</v>
      </c>
      <c r="P54" s="328">
        <f>'d3'!P54-d3М!P51</f>
        <v>0</v>
      </c>
      <c r="Q54" s="20"/>
      <c r="R54" s="27"/>
    </row>
    <row r="55" spans="1:20" ht="47.25" thickTop="1" thickBot="1" x14ac:dyDescent="0.25">
      <c r="A55" s="329" t="s">
        <v>498</v>
      </c>
      <c r="B55" s="329" t="s">
        <v>205</v>
      </c>
      <c r="C55" s="329"/>
      <c r="D55" s="329" t="s">
        <v>658</v>
      </c>
      <c r="E55" s="328">
        <f>'d3'!E55-d3М!E52</f>
        <v>0</v>
      </c>
      <c r="F55" s="328">
        <f>'d3'!F55-d3М!F52</f>
        <v>0</v>
      </c>
      <c r="G55" s="328">
        <f>'d3'!G55-d3М!G52</f>
        <v>0</v>
      </c>
      <c r="H55" s="328">
        <f>'d3'!H55-d3М!H52</f>
        <v>0</v>
      </c>
      <c r="I55" s="328">
        <f>'d3'!I55-d3М!I52</f>
        <v>0</v>
      </c>
      <c r="J55" s="328">
        <f>'d3'!J55-d3М!J52</f>
        <v>0</v>
      </c>
      <c r="K55" s="328">
        <f>'d3'!K55-d3М!K52</f>
        <v>0</v>
      </c>
      <c r="L55" s="328">
        <f>'d3'!L55-d3М!L52</f>
        <v>0</v>
      </c>
      <c r="M55" s="328">
        <f>'d3'!M55-d3М!M52</f>
        <v>0</v>
      </c>
      <c r="N55" s="328">
        <f>'d3'!N55-d3М!N52</f>
        <v>0</v>
      </c>
      <c r="O55" s="328">
        <f>'d3'!O55-d3М!O52</f>
        <v>0</v>
      </c>
      <c r="P55" s="328">
        <f>'d3'!P55-d3М!P52</f>
        <v>0</v>
      </c>
      <c r="Q55" s="20"/>
      <c r="R55" s="35"/>
    </row>
    <row r="56" spans="1:20" ht="93" thickTop="1" thickBot="1" x14ac:dyDescent="0.25">
      <c r="A56" s="103" t="s">
        <v>659</v>
      </c>
      <c r="B56" s="103" t="s">
        <v>660</v>
      </c>
      <c r="C56" s="103" t="s">
        <v>204</v>
      </c>
      <c r="D56" s="103" t="s">
        <v>1279</v>
      </c>
      <c r="E56" s="328">
        <f>'d3'!E56-d3М!E53</f>
        <v>0</v>
      </c>
      <c r="F56" s="328">
        <f>'d3'!F56-d3М!F53</f>
        <v>0</v>
      </c>
      <c r="G56" s="328">
        <f>'d3'!G56-d3М!G53</f>
        <v>0</v>
      </c>
      <c r="H56" s="328">
        <f>'d3'!H56-d3М!H53</f>
        <v>0</v>
      </c>
      <c r="I56" s="328">
        <f>'d3'!I56-d3М!I53</f>
        <v>0</v>
      </c>
      <c r="J56" s="328">
        <f>'d3'!J56-d3М!J53</f>
        <v>0</v>
      </c>
      <c r="K56" s="328">
        <f>'d3'!K56-d3М!K53</f>
        <v>0</v>
      </c>
      <c r="L56" s="328">
        <f>'d3'!L56-d3М!L53</f>
        <v>0</v>
      </c>
      <c r="M56" s="328">
        <f>'d3'!M56-d3М!M53</f>
        <v>0</v>
      </c>
      <c r="N56" s="328">
        <f>'d3'!N56-d3М!N53</f>
        <v>0</v>
      </c>
      <c r="O56" s="328">
        <f>'d3'!O56-d3М!O53</f>
        <v>0</v>
      </c>
      <c r="P56" s="328">
        <f>'d3'!P56-d3М!P53</f>
        <v>0</v>
      </c>
      <c r="Q56" s="20"/>
      <c r="R56" s="30"/>
    </row>
    <row r="57" spans="1:20" ht="93" thickTop="1" thickBot="1" x14ac:dyDescent="0.25">
      <c r="A57" s="103" t="s">
        <v>1130</v>
      </c>
      <c r="B57" s="343" t="s">
        <v>1131</v>
      </c>
      <c r="C57" s="103" t="s">
        <v>207</v>
      </c>
      <c r="D57" s="103" t="s">
        <v>1280</v>
      </c>
      <c r="E57" s="328">
        <f>'d3'!E57-d3М!E54</f>
        <v>0</v>
      </c>
      <c r="F57" s="328">
        <f>'d3'!F57-d3М!F54</f>
        <v>0</v>
      </c>
      <c r="G57" s="328">
        <f>'d3'!G57-d3М!G54</f>
        <v>0</v>
      </c>
      <c r="H57" s="328">
        <f>'d3'!H57-d3М!H54</f>
        <v>0</v>
      </c>
      <c r="I57" s="328">
        <f>'d3'!I57-d3М!I54</f>
        <v>0</v>
      </c>
      <c r="J57" s="328">
        <f>'d3'!J57-d3М!J54</f>
        <v>0</v>
      </c>
      <c r="K57" s="328">
        <f>'d3'!K57-d3М!K54</f>
        <v>0</v>
      </c>
      <c r="L57" s="328">
        <f>'d3'!L57-d3М!L54</f>
        <v>0</v>
      </c>
      <c r="M57" s="328">
        <f>'d3'!M57-d3М!M54</f>
        <v>0</v>
      </c>
      <c r="N57" s="328">
        <f>'d3'!N57-d3М!N54</f>
        <v>0</v>
      </c>
      <c r="O57" s="328">
        <f>'d3'!O57-d3М!O54</f>
        <v>0</v>
      </c>
      <c r="P57" s="328">
        <f>'d3'!P57-d3М!P54</f>
        <v>0</v>
      </c>
      <c r="Q57" s="20"/>
      <c r="R57" s="30"/>
    </row>
    <row r="58" spans="1:20" ht="230.25" thickTop="1" thickBot="1" x14ac:dyDescent="0.25">
      <c r="A58" s="566" t="s">
        <v>930</v>
      </c>
      <c r="B58" s="566" t="s">
        <v>50</v>
      </c>
      <c r="C58" s="566"/>
      <c r="D58" s="656" t="s">
        <v>1565</v>
      </c>
      <c r="E58" s="328">
        <f>'d3'!E58-d3М!E55</f>
        <v>0</v>
      </c>
      <c r="F58" s="328">
        <f>'d3'!F58-d3М!F55</f>
        <v>0</v>
      </c>
      <c r="G58" s="328">
        <f>'d3'!G58-d3М!G55</f>
        <v>0</v>
      </c>
      <c r="H58" s="328">
        <f>'d3'!H58-d3М!H55</f>
        <v>0</v>
      </c>
      <c r="I58" s="328">
        <f>'d3'!I58-d3М!I55</f>
        <v>0</v>
      </c>
      <c r="J58" s="328">
        <f>'d3'!J58-d3М!J55</f>
        <v>0</v>
      </c>
      <c r="K58" s="328">
        <f>'d3'!K58-d3М!K55</f>
        <v>0</v>
      </c>
      <c r="L58" s="328">
        <f>'d3'!L58-d3М!L55</f>
        <v>0</v>
      </c>
      <c r="M58" s="328">
        <f>'d3'!M58-d3М!M55</f>
        <v>0</v>
      </c>
      <c r="N58" s="328">
        <f>'d3'!N58-d3М!N55</f>
        <v>0</v>
      </c>
      <c r="O58" s="328">
        <f>'d3'!O58-d3М!O55</f>
        <v>0</v>
      </c>
      <c r="P58" s="328">
        <f>'d3'!P58-d3М!P55</f>
        <v>0</v>
      </c>
      <c r="Q58" s="20"/>
      <c r="R58" s="30"/>
    </row>
    <row r="59" spans="1:20" ht="310.5" customHeight="1" thickTop="1" thickBot="1" x14ac:dyDescent="0.25">
      <c r="A59" s="103" t="s">
        <v>931</v>
      </c>
      <c r="B59" s="103" t="s">
        <v>932</v>
      </c>
      <c r="C59" s="103" t="s">
        <v>204</v>
      </c>
      <c r="D59" s="103" t="s">
        <v>1566</v>
      </c>
      <c r="E59" s="328">
        <f>'d3'!E59-d3М!E56</f>
        <v>0</v>
      </c>
      <c r="F59" s="328">
        <f>'d3'!F59-d3М!F56</f>
        <v>0</v>
      </c>
      <c r="G59" s="328">
        <f>'d3'!G59-d3М!G56</f>
        <v>0</v>
      </c>
      <c r="H59" s="328">
        <f>'d3'!H59-d3М!H56</f>
        <v>0</v>
      </c>
      <c r="I59" s="328">
        <f>'d3'!I59-d3М!I56</f>
        <v>0</v>
      </c>
      <c r="J59" s="328">
        <f>'d3'!J59-d3М!J56</f>
        <v>0</v>
      </c>
      <c r="K59" s="328">
        <f>'d3'!K59-d3М!K56</f>
        <v>0</v>
      </c>
      <c r="L59" s="328">
        <f>'d3'!L59-d3М!L56</f>
        <v>0</v>
      </c>
      <c r="M59" s="328">
        <f>'d3'!M59-d3М!M56</f>
        <v>0</v>
      </c>
      <c r="N59" s="328">
        <f>'d3'!N59-d3М!N56</f>
        <v>0</v>
      </c>
      <c r="O59" s="328">
        <f>'d3'!O59-d3М!O56</f>
        <v>0</v>
      </c>
      <c r="P59" s="328">
        <f>'d3'!P59-d3М!P56</f>
        <v>0</v>
      </c>
      <c r="Q59" s="20"/>
      <c r="R59" s="26"/>
    </row>
    <row r="60" spans="1:20" ht="93" thickTop="1" thickBot="1" x14ac:dyDescent="0.25">
      <c r="A60" s="103" t="s">
        <v>661</v>
      </c>
      <c r="B60" s="103" t="s">
        <v>206</v>
      </c>
      <c r="C60" s="103" t="s">
        <v>181</v>
      </c>
      <c r="D60" s="103" t="s">
        <v>499</v>
      </c>
      <c r="E60" s="328">
        <f>'d3'!E60-d3М!E57</f>
        <v>0</v>
      </c>
      <c r="F60" s="328">
        <f>'d3'!F60-d3М!F57</f>
        <v>0</v>
      </c>
      <c r="G60" s="328">
        <f>'d3'!G60-d3М!G57</f>
        <v>0</v>
      </c>
      <c r="H60" s="328">
        <f>'d3'!H60-d3М!H57</f>
        <v>0</v>
      </c>
      <c r="I60" s="328">
        <f>'d3'!I60-d3М!I57</f>
        <v>0</v>
      </c>
      <c r="J60" s="328">
        <f>'d3'!J60-d3М!J57</f>
        <v>1000000</v>
      </c>
      <c r="K60" s="328">
        <f>'d3'!K60-d3М!K57</f>
        <v>1000000</v>
      </c>
      <c r="L60" s="328">
        <f>'d3'!L60-d3М!L57</f>
        <v>0</v>
      </c>
      <c r="M60" s="328">
        <f>'d3'!M60-d3М!M57</f>
        <v>0</v>
      </c>
      <c r="N60" s="328">
        <f>'d3'!N60-d3М!N57</f>
        <v>0</v>
      </c>
      <c r="O60" s="328">
        <f>'d3'!O60-d3М!O57</f>
        <v>1000000</v>
      </c>
      <c r="P60" s="328">
        <f>'d3'!P60-d3М!P57</f>
        <v>1000000</v>
      </c>
      <c r="Q60" s="20"/>
      <c r="R60" s="26"/>
    </row>
    <row r="61" spans="1:20" ht="93" thickTop="1" thickBot="1" x14ac:dyDescent="0.25">
      <c r="A61" s="329" t="s">
        <v>208</v>
      </c>
      <c r="B61" s="329" t="s">
        <v>191</v>
      </c>
      <c r="C61" s="329"/>
      <c r="D61" s="329" t="s">
        <v>500</v>
      </c>
      <c r="E61" s="328">
        <f>'d3'!E61-d3М!E58</f>
        <v>0</v>
      </c>
      <c r="F61" s="328">
        <f>'d3'!F61-d3М!F58</f>
        <v>0</v>
      </c>
      <c r="G61" s="328">
        <f>'d3'!G61-d3М!G58</f>
        <v>0</v>
      </c>
      <c r="H61" s="328">
        <f>'d3'!H61-d3М!H58</f>
        <v>0</v>
      </c>
      <c r="I61" s="328">
        <f>'d3'!I61-d3М!I58</f>
        <v>0</v>
      </c>
      <c r="J61" s="328">
        <f>'d3'!J61-d3М!J58</f>
        <v>0</v>
      </c>
      <c r="K61" s="328">
        <f>'d3'!K61-d3М!K58</f>
        <v>0</v>
      </c>
      <c r="L61" s="328">
        <f>'d3'!L61-d3М!L58</f>
        <v>-120000</v>
      </c>
      <c r="M61" s="328">
        <f>'d3'!M61-d3М!M58</f>
        <v>-266000</v>
      </c>
      <c r="N61" s="328">
        <f>'d3'!N61-d3М!N58</f>
        <v>0</v>
      </c>
      <c r="O61" s="328">
        <f>'d3'!O61-d3М!O58</f>
        <v>120000</v>
      </c>
      <c r="P61" s="328">
        <f>'d3'!P61-d3М!P58</f>
        <v>0</v>
      </c>
      <c r="Q61" s="20"/>
      <c r="R61" s="35"/>
    </row>
    <row r="62" spans="1:20" ht="93" thickTop="1" thickBot="1" x14ac:dyDescent="0.25">
      <c r="A62" s="103" t="s">
        <v>662</v>
      </c>
      <c r="B62" s="103" t="s">
        <v>663</v>
      </c>
      <c r="C62" s="103" t="s">
        <v>209</v>
      </c>
      <c r="D62" s="103" t="s">
        <v>664</v>
      </c>
      <c r="E62" s="328">
        <f>'d3'!E62-d3М!E59</f>
        <v>0</v>
      </c>
      <c r="F62" s="328">
        <f>'d3'!F62-d3М!F59</f>
        <v>0</v>
      </c>
      <c r="G62" s="328">
        <f>'d3'!G62-d3М!G59</f>
        <v>0</v>
      </c>
      <c r="H62" s="328">
        <f>'d3'!H62-d3М!H59</f>
        <v>0</v>
      </c>
      <c r="I62" s="328">
        <f>'d3'!I62-d3М!I59</f>
        <v>0</v>
      </c>
      <c r="J62" s="328">
        <f>'d3'!J62-d3М!J59</f>
        <v>0</v>
      </c>
      <c r="K62" s="328">
        <f>'d3'!K62-d3М!K59</f>
        <v>0</v>
      </c>
      <c r="L62" s="328">
        <f>'d3'!L62-d3М!L59</f>
        <v>-120000</v>
      </c>
      <c r="M62" s="328">
        <f>'d3'!M62-d3М!M59</f>
        <v>-266000</v>
      </c>
      <c r="N62" s="328">
        <f>'d3'!N62-d3М!N59</f>
        <v>0</v>
      </c>
      <c r="O62" s="328">
        <f>'d3'!O62-d3М!O59</f>
        <v>120000</v>
      </c>
      <c r="P62" s="328">
        <f>'d3'!P62-d3М!P59</f>
        <v>0</v>
      </c>
      <c r="Q62" s="20"/>
      <c r="R62" s="26"/>
    </row>
    <row r="63" spans="1:20" ht="93" thickTop="1" thickBot="1" x14ac:dyDescent="0.25">
      <c r="A63" s="103" t="s">
        <v>666</v>
      </c>
      <c r="B63" s="103" t="s">
        <v>665</v>
      </c>
      <c r="C63" s="103" t="s">
        <v>209</v>
      </c>
      <c r="D63" s="103" t="s">
        <v>667</v>
      </c>
      <c r="E63" s="328">
        <f>'d3'!E63-d3М!E60</f>
        <v>0</v>
      </c>
      <c r="F63" s="328">
        <f>'d3'!F63-d3М!F60</f>
        <v>0</v>
      </c>
      <c r="G63" s="328">
        <f>'d3'!G63-d3М!G60</f>
        <v>0</v>
      </c>
      <c r="H63" s="328">
        <f>'d3'!H63-d3М!H60</f>
        <v>0</v>
      </c>
      <c r="I63" s="328">
        <f>'d3'!I63-d3М!I60</f>
        <v>0</v>
      </c>
      <c r="J63" s="328">
        <f>'d3'!J63-d3М!J60</f>
        <v>0</v>
      </c>
      <c r="K63" s="328">
        <f>'d3'!K63-d3М!K60</f>
        <v>0</v>
      </c>
      <c r="L63" s="328">
        <f>'d3'!L63-d3М!L60</f>
        <v>0</v>
      </c>
      <c r="M63" s="328">
        <f>'d3'!M63-d3М!M60</f>
        <v>0</v>
      </c>
      <c r="N63" s="328">
        <f>'d3'!N63-d3М!N60</f>
        <v>0</v>
      </c>
      <c r="O63" s="328">
        <f>'d3'!O63-d3М!O60</f>
        <v>0</v>
      </c>
      <c r="P63" s="328">
        <f>'d3'!P63-d3М!P60</f>
        <v>0</v>
      </c>
      <c r="Q63" s="20"/>
      <c r="R63" s="30"/>
    </row>
    <row r="64" spans="1:20" ht="47.25" thickTop="1" thickBot="1" x14ac:dyDescent="0.25">
      <c r="A64" s="329" t="s">
        <v>669</v>
      </c>
      <c r="B64" s="329" t="s">
        <v>668</v>
      </c>
      <c r="C64" s="329"/>
      <c r="D64" s="329" t="s">
        <v>670</v>
      </c>
      <c r="E64" s="328">
        <f>'d3'!E64-d3М!E61</f>
        <v>55800</v>
      </c>
      <c r="F64" s="328">
        <f>'d3'!F64-d3М!F61</f>
        <v>55800</v>
      </c>
      <c r="G64" s="328">
        <f>'d3'!G64-d3М!G61</f>
        <v>0</v>
      </c>
      <c r="H64" s="328">
        <f>'d3'!H64-d3М!H61</f>
        <v>0</v>
      </c>
      <c r="I64" s="328">
        <f>'d3'!I64-d3М!I61</f>
        <v>0</v>
      </c>
      <c r="J64" s="328">
        <f>'d3'!J64-d3М!J61</f>
        <v>140000.00000000012</v>
      </c>
      <c r="K64" s="328">
        <f>'d3'!K64-d3М!K61</f>
        <v>140000.00000000012</v>
      </c>
      <c r="L64" s="328">
        <f>'d3'!L64-d3М!L61</f>
        <v>0</v>
      </c>
      <c r="M64" s="328">
        <f>'d3'!M64-d3М!M61</f>
        <v>0</v>
      </c>
      <c r="N64" s="328">
        <f>'d3'!N64-d3М!N61</f>
        <v>0</v>
      </c>
      <c r="O64" s="328">
        <f>'d3'!O64-d3М!O61</f>
        <v>140000.00000000012</v>
      </c>
      <c r="P64" s="328">
        <f>'d3'!P64-d3М!P61</f>
        <v>195800</v>
      </c>
      <c r="Q64" s="20"/>
      <c r="R64" s="35"/>
    </row>
    <row r="65" spans="1:18" ht="47.25" thickTop="1" thickBot="1" x14ac:dyDescent="0.25">
      <c r="A65" s="103" t="s">
        <v>671</v>
      </c>
      <c r="B65" s="103" t="s">
        <v>672</v>
      </c>
      <c r="C65" s="103" t="s">
        <v>210</v>
      </c>
      <c r="D65" s="103" t="s">
        <v>501</v>
      </c>
      <c r="E65" s="328">
        <f>'d3'!E65-d3М!E62</f>
        <v>55800</v>
      </c>
      <c r="F65" s="328">
        <f>'d3'!F65-d3М!F62</f>
        <v>55800</v>
      </c>
      <c r="G65" s="328">
        <f>'d3'!G65-d3М!G62</f>
        <v>0</v>
      </c>
      <c r="H65" s="328">
        <f>'d3'!H65-d3М!H62</f>
        <v>0</v>
      </c>
      <c r="I65" s="328">
        <f>'d3'!I65-d3М!I62</f>
        <v>0</v>
      </c>
      <c r="J65" s="328">
        <f>'d3'!J65-d3М!J62</f>
        <v>140000.00000000012</v>
      </c>
      <c r="K65" s="328">
        <f>'d3'!K65-d3М!K62</f>
        <v>140000.00000000012</v>
      </c>
      <c r="L65" s="328">
        <f>'d3'!L65-d3М!L62</f>
        <v>0</v>
      </c>
      <c r="M65" s="328">
        <f>'d3'!M65-d3М!M62</f>
        <v>0</v>
      </c>
      <c r="N65" s="328">
        <f>'d3'!N65-d3М!N62</f>
        <v>0</v>
      </c>
      <c r="O65" s="328">
        <f>'d3'!O65-d3М!O62</f>
        <v>140000.00000000012</v>
      </c>
      <c r="P65" s="328">
        <f>'d3'!P65-d3М!P62</f>
        <v>195800</v>
      </c>
      <c r="Q65" s="20"/>
      <c r="R65" s="30"/>
    </row>
    <row r="66" spans="1:18" ht="47.25" thickTop="1" thickBot="1" x14ac:dyDescent="0.25">
      <c r="A66" s="103" t="s">
        <v>673</v>
      </c>
      <c r="B66" s="103" t="s">
        <v>674</v>
      </c>
      <c r="C66" s="103" t="s">
        <v>210</v>
      </c>
      <c r="D66" s="103" t="s">
        <v>337</v>
      </c>
      <c r="E66" s="328">
        <f>'d3'!E66-d3М!E63</f>
        <v>0</v>
      </c>
      <c r="F66" s="328">
        <f>'d3'!F66-d3М!F63</f>
        <v>0</v>
      </c>
      <c r="G66" s="328">
        <f>'d3'!G66-d3М!G63</f>
        <v>0</v>
      </c>
      <c r="H66" s="328">
        <f>'d3'!H66-d3М!H63</f>
        <v>0</v>
      </c>
      <c r="I66" s="328">
        <f>'d3'!I66-d3М!I63</f>
        <v>0</v>
      </c>
      <c r="J66" s="328">
        <f>'d3'!J66-d3М!J63</f>
        <v>0</v>
      </c>
      <c r="K66" s="328">
        <f>'d3'!K66-d3М!K63</f>
        <v>0</v>
      </c>
      <c r="L66" s="328">
        <f>'d3'!L66-d3М!L63</f>
        <v>0</v>
      </c>
      <c r="M66" s="328">
        <f>'d3'!M66-d3М!M63</f>
        <v>0</v>
      </c>
      <c r="N66" s="328">
        <f>'d3'!N66-d3М!N63</f>
        <v>0</v>
      </c>
      <c r="O66" s="328">
        <f>'d3'!O66-d3М!O63</f>
        <v>0</v>
      </c>
      <c r="P66" s="328">
        <f>'d3'!P66-d3М!P63</f>
        <v>0</v>
      </c>
      <c r="Q66" s="20"/>
      <c r="R66" s="30"/>
    </row>
    <row r="67" spans="1:18" ht="47.25" thickTop="1" thickBot="1" x14ac:dyDescent="0.25">
      <c r="A67" s="329" t="s">
        <v>675</v>
      </c>
      <c r="B67" s="329" t="s">
        <v>676</v>
      </c>
      <c r="C67" s="329"/>
      <c r="D67" s="329" t="s">
        <v>429</v>
      </c>
      <c r="E67" s="328">
        <f>'d3'!E67-d3М!E64</f>
        <v>0</v>
      </c>
      <c r="F67" s="328">
        <f>'d3'!F67-d3М!F64</f>
        <v>0</v>
      </c>
      <c r="G67" s="328">
        <f>'d3'!G67-d3М!G64</f>
        <v>0</v>
      </c>
      <c r="H67" s="328">
        <f>'d3'!H67-d3М!H64</f>
        <v>0</v>
      </c>
      <c r="I67" s="328">
        <f>'d3'!I67-d3М!I64</f>
        <v>0</v>
      </c>
      <c r="J67" s="328">
        <f>'d3'!J67-d3М!J64</f>
        <v>0</v>
      </c>
      <c r="K67" s="328">
        <f>'d3'!K67-d3М!K64</f>
        <v>0</v>
      </c>
      <c r="L67" s="328">
        <f>'d3'!L67-d3М!L64</f>
        <v>0</v>
      </c>
      <c r="M67" s="328">
        <f>'d3'!M67-d3М!M64</f>
        <v>0</v>
      </c>
      <c r="N67" s="328">
        <f>'d3'!N67-d3М!N64</f>
        <v>0</v>
      </c>
      <c r="O67" s="328">
        <f>'d3'!O67-d3М!O64</f>
        <v>0</v>
      </c>
      <c r="P67" s="328">
        <f>'d3'!P67-d3М!P64</f>
        <v>0</v>
      </c>
      <c r="Q67" s="20"/>
      <c r="R67" s="35"/>
    </row>
    <row r="68" spans="1:18" ht="93" thickTop="1" thickBot="1" x14ac:dyDescent="0.25">
      <c r="A68" s="103" t="s">
        <v>677</v>
      </c>
      <c r="B68" s="103" t="s">
        <v>678</v>
      </c>
      <c r="C68" s="103" t="s">
        <v>210</v>
      </c>
      <c r="D68" s="103" t="s">
        <v>679</v>
      </c>
      <c r="E68" s="328">
        <f>'d3'!E68-d3М!E65</f>
        <v>0</v>
      </c>
      <c r="F68" s="328">
        <f>'d3'!F68-d3М!F65</f>
        <v>0</v>
      </c>
      <c r="G68" s="328">
        <f>'d3'!G68-d3М!G65</f>
        <v>0</v>
      </c>
      <c r="H68" s="328">
        <f>'d3'!H68-d3М!H65</f>
        <v>0</v>
      </c>
      <c r="I68" s="328">
        <f>'d3'!I68-d3М!I65</f>
        <v>0</v>
      </c>
      <c r="J68" s="328">
        <f>'d3'!J68-d3М!J65</f>
        <v>0</v>
      </c>
      <c r="K68" s="328">
        <f>'d3'!K68-d3М!K65</f>
        <v>0</v>
      </c>
      <c r="L68" s="328">
        <f>'d3'!L68-d3М!L65</f>
        <v>0</v>
      </c>
      <c r="M68" s="328">
        <f>'d3'!M68-d3М!M65</f>
        <v>0</v>
      </c>
      <c r="N68" s="328">
        <f>'d3'!N68-d3М!N65</f>
        <v>0</v>
      </c>
      <c r="O68" s="328">
        <f>'d3'!O68-d3М!O65</f>
        <v>0</v>
      </c>
      <c r="P68" s="328">
        <f>'d3'!P68-d3М!P65</f>
        <v>0</v>
      </c>
      <c r="Q68" s="20"/>
      <c r="R68" s="26"/>
    </row>
    <row r="69" spans="1:18" ht="93" thickTop="1" thickBot="1" x14ac:dyDescent="0.25">
      <c r="A69" s="103" t="s">
        <v>680</v>
      </c>
      <c r="B69" s="103" t="s">
        <v>681</v>
      </c>
      <c r="C69" s="103" t="s">
        <v>210</v>
      </c>
      <c r="D69" s="103" t="s">
        <v>682</v>
      </c>
      <c r="E69" s="328">
        <f>'d3'!E69-d3М!E66</f>
        <v>0</v>
      </c>
      <c r="F69" s="328">
        <f>'d3'!F69-d3М!F66</f>
        <v>0</v>
      </c>
      <c r="G69" s="328">
        <f>'d3'!G69-d3М!G66</f>
        <v>0</v>
      </c>
      <c r="H69" s="328">
        <f>'d3'!H69-d3М!H66</f>
        <v>0</v>
      </c>
      <c r="I69" s="328">
        <f>'d3'!I69-d3М!I66</f>
        <v>0</v>
      </c>
      <c r="J69" s="328">
        <f>'d3'!J69-d3М!J66</f>
        <v>0</v>
      </c>
      <c r="K69" s="328">
        <f>'d3'!K69-d3М!K66</f>
        <v>0</v>
      </c>
      <c r="L69" s="328">
        <f>'d3'!L69-d3М!L66</f>
        <v>0</v>
      </c>
      <c r="M69" s="328">
        <f>'d3'!M69-d3М!M66</f>
        <v>0</v>
      </c>
      <c r="N69" s="328">
        <f>'d3'!N69-d3М!N66</f>
        <v>0</v>
      </c>
      <c r="O69" s="328">
        <f>'d3'!O69-d3М!O66</f>
        <v>0</v>
      </c>
      <c r="P69" s="328">
        <f>'d3'!P69-d3М!P66</f>
        <v>0</v>
      </c>
      <c r="Q69" s="20"/>
      <c r="R69" s="30"/>
    </row>
    <row r="70" spans="1:18" ht="47.25" thickTop="1" thickBot="1" x14ac:dyDescent="0.25">
      <c r="A70" s="103" t="s">
        <v>647</v>
      </c>
      <c r="B70" s="103" t="s">
        <v>648</v>
      </c>
      <c r="C70" s="103" t="s">
        <v>210</v>
      </c>
      <c r="D70" s="103" t="s">
        <v>649</v>
      </c>
      <c r="E70" s="328">
        <f>'d3'!E70-d3М!E67</f>
        <v>0</v>
      </c>
      <c r="F70" s="328">
        <f>'d3'!F70-d3М!F67</f>
        <v>0</v>
      </c>
      <c r="G70" s="328">
        <f>'d3'!G70-d3М!G67</f>
        <v>0</v>
      </c>
      <c r="H70" s="328">
        <f>'d3'!H70-d3М!H67</f>
        <v>0</v>
      </c>
      <c r="I70" s="328">
        <f>'d3'!I70-d3М!I67</f>
        <v>0</v>
      </c>
      <c r="J70" s="328">
        <f>'d3'!J70-d3М!J67</f>
        <v>0</v>
      </c>
      <c r="K70" s="328">
        <f>'d3'!K70-d3М!K67</f>
        <v>0</v>
      </c>
      <c r="L70" s="328">
        <f>'d3'!L70-d3М!L67</f>
        <v>0</v>
      </c>
      <c r="M70" s="328">
        <f>'d3'!M70-d3М!M67</f>
        <v>0</v>
      </c>
      <c r="N70" s="328">
        <f>'d3'!N70-d3М!N67</f>
        <v>0</v>
      </c>
      <c r="O70" s="328">
        <f>'d3'!O70-d3М!O67</f>
        <v>0</v>
      </c>
      <c r="P70" s="328">
        <f>'d3'!P70-d3М!P67</f>
        <v>0</v>
      </c>
      <c r="Q70" s="20"/>
      <c r="R70" s="26"/>
    </row>
    <row r="71" spans="1:18" s="33" customFormat="1" ht="93" hidden="1" customHeight="1" thickTop="1" thickBot="1" x14ac:dyDescent="0.25">
      <c r="A71" s="144" t="s">
        <v>652</v>
      </c>
      <c r="B71" s="144" t="s">
        <v>653</v>
      </c>
      <c r="C71" s="144"/>
      <c r="D71" s="144" t="s">
        <v>654</v>
      </c>
      <c r="E71" s="328">
        <f>'d3'!E71-d3М!E68</f>
        <v>0</v>
      </c>
      <c r="F71" s="328">
        <f>'d3'!F71-d3М!F68</f>
        <v>0</v>
      </c>
      <c r="G71" s="328">
        <f>'d3'!G71-d3М!G68</f>
        <v>0</v>
      </c>
      <c r="H71" s="328">
        <f>'d3'!H71-d3М!H68</f>
        <v>0</v>
      </c>
      <c r="I71" s="328">
        <f>'d3'!I71-d3М!I68</f>
        <v>0</v>
      </c>
      <c r="J71" s="328">
        <f>'d3'!J71-d3М!J68</f>
        <v>0</v>
      </c>
      <c r="K71" s="328">
        <f>'d3'!K71-d3М!K68</f>
        <v>0</v>
      </c>
      <c r="L71" s="328">
        <f>'d3'!L71-d3М!L68</f>
        <v>0</v>
      </c>
      <c r="M71" s="328">
        <f>'d3'!M71-d3М!M68</f>
        <v>0</v>
      </c>
      <c r="N71" s="328">
        <f>'d3'!N71-d3М!N68</f>
        <v>0</v>
      </c>
      <c r="O71" s="328">
        <f>'d3'!O71-d3М!O68</f>
        <v>0</v>
      </c>
      <c r="P71" s="328">
        <f>'d3'!P71-d3М!P68</f>
        <v>0</v>
      </c>
      <c r="Q71" s="36"/>
      <c r="R71" s="37"/>
    </row>
    <row r="72" spans="1:18" s="33" customFormat="1" ht="138.75" hidden="1" customHeight="1" thickTop="1" thickBot="1" x14ac:dyDescent="0.25">
      <c r="A72" s="41" t="s">
        <v>655</v>
      </c>
      <c r="B72" s="41" t="s">
        <v>656</v>
      </c>
      <c r="C72" s="41" t="s">
        <v>210</v>
      </c>
      <c r="D72" s="41" t="s">
        <v>657</v>
      </c>
      <c r="E72" s="328">
        <f>'d3'!E72-d3М!E69</f>
        <v>0</v>
      </c>
      <c r="F72" s="328">
        <f>'d3'!F72-d3М!F69</f>
        <v>0</v>
      </c>
      <c r="G72" s="328">
        <f>'d3'!G72-d3М!G69</f>
        <v>0</v>
      </c>
      <c r="H72" s="328">
        <f>'d3'!H72-d3М!H69</f>
        <v>0</v>
      </c>
      <c r="I72" s="328">
        <f>'d3'!I72-d3М!I69</f>
        <v>0</v>
      </c>
      <c r="J72" s="328">
        <f>'d3'!J72-d3М!J69</f>
        <v>0</v>
      </c>
      <c r="K72" s="328">
        <f>'d3'!K72-d3М!K69</f>
        <v>0</v>
      </c>
      <c r="L72" s="328">
        <f>'d3'!L72-d3М!L69</f>
        <v>0</v>
      </c>
      <c r="M72" s="328">
        <f>'d3'!M72-d3М!M69</f>
        <v>0</v>
      </c>
      <c r="N72" s="328">
        <f>'d3'!N72-d3М!N69</f>
        <v>0</v>
      </c>
      <c r="O72" s="328">
        <f>'d3'!O72-d3М!O69</f>
        <v>0</v>
      </c>
      <c r="P72" s="328">
        <f>'d3'!P72-d3М!P69</f>
        <v>0</v>
      </c>
      <c r="Q72" s="36"/>
      <c r="R72" s="26"/>
    </row>
    <row r="73" spans="1:18" s="33" customFormat="1" ht="138.75" hidden="1" customHeight="1" thickTop="1" thickBot="1" x14ac:dyDescent="0.25">
      <c r="A73" s="41" t="s">
        <v>979</v>
      </c>
      <c r="B73" s="41" t="s">
        <v>980</v>
      </c>
      <c r="C73" s="41" t="s">
        <v>210</v>
      </c>
      <c r="D73" s="41" t="s">
        <v>981</v>
      </c>
      <c r="E73" s="328">
        <f>'d3'!E73-d3М!E70</f>
        <v>0</v>
      </c>
      <c r="F73" s="328">
        <f>'d3'!F73-d3М!F70</f>
        <v>0</v>
      </c>
      <c r="G73" s="328">
        <f>'d3'!G73-d3М!G70</f>
        <v>0</v>
      </c>
      <c r="H73" s="328">
        <f>'d3'!H73-d3М!H70</f>
        <v>0</v>
      </c>
      <c r="I73" s="328">
        <f>'d3'!I73-d3М!I70</f>
        <v>0</v>
      </c>
      <c r="J73" s="328">
        <f>'d3'!J73-d3М!J70</f>
        <v>0</v>
      </c>
      <c r="K73" s="328">
        <f>'d3'!K73-d3М!K70</f>
        <v>0</v>
      </c>
      <c r="L73" s="328">
        <f>'d3'!L73-d3М!L70</f>
        <v>0</v>
      </c>
      <c r="M73" s="328">
        <f>'d3'!M73-d3М!M70</f>
        <v>0</v>
      </c>
      <c r="N73" s="328">
        <f>'d3'!N73-d3М!N70</f>
        <v>0</v>
      </c>
      <c r="O73" s="328">
        <f>'d3'!O73-d3М!O70</f>
        <v>0</v>
      </c>
      <c r="P73" s="328">
        <f>'d3'!P73-d3М!P70</f>
        <v>0</v>
      </c>
      <c r="Q73" s="36"/>
      <c r="R73" s="26"/>
    </row>
    <row r="74" spans="1:18" s="33" customFormat="1" ht="184.5" hidden="1" customHeight="1" thickTop="1" thickBot="1" x14ac:dyDescent="0.25">
      <c r="A74" s="144" t="s">
        <v>998</v>
      </c>
      <c r="B74" s="144" t="s">
        <v>1000</v>
      </c>
      <c r="C74" s="144"/>
      <c r="D74" s="144" t="s">
        <v>1002</v>
      </c>
      <c r="E74" s="328">
        <f>'d3'!E74-d3М!E71</f>
        <v>0</v>
      </c>
      <c r="F74" s="328">
        <f>'d3'!F74-d3М!F71</f>
        <v>0</v>
      </c>
      <c r="G74" s="328">
        <f>'d3'!G74-d3М!G71</f>
        <v>0</v>
      </c>
      <c r="H74" s="328">
        <f>'d3'!H74-d3М!H71</f>
        <v>0</v>
      </c>
      <c r="I74" s="328">
        <f>'d3'!I74-d3М!I71</f>
        <v>0</v>
      </c>
      <c r="J74" s="328">
        <f>'d3'!J74-d3М!J71</f>
        <v>0</v>
      </c>
      <c r="K74" s="328">
        <f>'d3'!K74-d3М!K71</f>
        <v>0</v>
      </c>
      <c r="L74" s="328">
        <f>'d3'!L74-d3М!L71</f>
        <v>0</v>
      </c>
      <c r="M74" s="328">
        <f>'d3'!M74-d3М!M71</f>
        <v>0</v>
      </c>
      <c r="N74" s="328">
        <f>'d3'!N74-d3М!N71</f>
        <v>0</v>
      </c>
      <c r="O74" s="328">
        <f>'d3'!O74-d3М!O71</f>
        <v>0</v>
      </c>
      <c r="P74" s="328">
        <f>'d3'!P74-d3М!P71</f>
        <v>0</v>
      </c>
      <c r="Q74" s="36"/>
      <c r="R74" s="26"/>
    </row>
    <row r="75" spans="1:18" s="33" customFormat="1" ht="230.25" hidden="1" customHeight="1" thickTop="1" thickBot="1" x14ac:dyDescent="0.25">
      <c r="A75" s="41" t="s">
        <v>999</v>
      </c>
      <c r="B75" s="41" t="s">
        <v>1001</v>
      </c>
      <c r="C75" s="41" t="s">
        <v>210</v>
      </c>
      <c r="D75" s="41" t="s">
        <v>1003</v>
      </c>
      <c r="E75" s="328">
        <f>'d3'!E75-d3М!E72</f>
        <v>0</v>
      </c>
      <c r="F75" s="328">
        <f>'d3'!F75-d3М!F72</f>
        <v>0</v>
      </c>
      <c r="G75" s="328">
        <f>'d3'!G75-d3М!G72</f>
        <v>0</v>
      </c>
      <c r="H75" s="328">
        <f>'d3'!H75-d3М!H72</f>
        <v>0</v>
      </c>
      <c r="I75" s="328">
        <f>'d3'!I75-d3М!I72</f>
        <v>0</v>
      </c>
      <c r="J75" s="328">
        <f>'d3'!J75-d3М!J72</f>
        <v>0</v>
      </c>
      <c r="K75" s="328">
        <f>'d3'!K75-d3М!K72</f>
        <v>0</v>
      </c>
      <c r="L75" s="328">
        <f>'d3'!L75-d3М!L72</f>
        <v>0</v>
      </c>
      <c r="M75" s="328">
        <f>'d3'!M75-d3М!M72</f>
        <v>0</v>
      </c>
      <c r="N75" s="328">
        <f>'d3'!N75-d3М!N72</f>
        <v>0</v>
      </c>
      <c r="O75" s="328">
        <f>'d3'!O75-d3М!O72</f>
        <v>0</v>
      </c>
      <c r="P75" s="328">
        <f>'d3'!P75-d3М!P72</f>
        <v>0</v>
      </c>
      <c r="Q75" s="36"/>
      <c r="R75" s="26"/>
    </row>
    <row r="76" spans="1:18" s="33" customFormat="1" ht="46.5" hidden="1" customHeight="1" thickTop="1" thickBot="1" x14ac:dyDescent="0.25">
      <c r="A76" s="777" t="s">
        <v>1017</v>
      </c>
      <c r="B76" s="777" t="s">
        <v>1018</v>
      </c>
      <c r="C76" s="777" t="s">
        <v>210</v>
      </c>
      <c r="D76" s="777" t="s">
        <v>1019</v>
      </c>
      <c r="E76" s="328">
        <f>'d3'!E76-d3М!E73</f>
        <v>0</v>
      </c>
      <c r="F76" s="328">
        <f>'d3'!F76-d3М!F73</f>
        <v>0</v>
      </c>
      <c r="G76" s="328">
        <f>'d3'!G76-d3М!G73</f>
        <v>0</v>
      </c>
      <c r="H76" s="328">
        <f>'d3'!H76-d3М!H73</f>
        <v>0</v>
      </c>
      <c r="I76" s="328">
        <f>'d3'!I76-d3М!I73</f>
        <v>0</v>
      </c>
      <c r="J76" s="328">
        <f>'d3'!J76-d3М!J73</f>
        <v>0</v>
      </c>
      <c r="K76" s="328">
        <f>'d3'!K76-d3М!K73</f>
        <v>0</v>
      </c>
      <c r="L76" s="328">
        <f>'d3'!L76-d3М!L73</f>
        <v>0</v>
      </c>
      <c r="M76" s="328">
        <f>'d3'!M76-d3М!M73</f>
        <v>0</v>
      </c>
      <c r="N76" s="328">
        <f>'d3'!N76-d3М!N73</f>
        <v>0</v>
      </c>
      <c r="O76" s="328">
        <f>'d3'!O76-d3М!O73</f>
        <v>0</v>
      </c>
      <c r="P76" s="328">
        <f>'d3'!P76-d3М!P73</f>
        <v>0</v>
      </c>
      <c r="Q76" s="36"/>
      <c r="R76" s="26"/>
    </row>
    <row r="77" spans="1:18" s="33" customFormat="1" ht="46.5" hidden="1" customHeight="1" thickTop="1" thickBot="1" x14ac:dyDescent="0.25">
      <c r="A77" s="773"/>
      <c r="B77" s="773"/>
      <c r="C77" s="773"/>
      <c r="D77" s="773"/>
      <c r="E77" s="328">
        <f>'d3'!E77-d3М!E74</f>
        <v>0</v>
      </c>
      <c r="F77" s="328">
        <f>'d3'!F77-d3М!F74</f>
        <v>0</v>
      </c>
      <c r="G77" s="328">
        <f>'d3'!G77-d3М!G74</f>
        <v>0</v>
      </c>
      <c r="H77" s="328">
        <f>'d3'!H77-d3М!H74</f>
        <v>0</v>
      </c>
      <c r="I77" s="328">
        <f>'d3'!I77-d3М!I74</f>
        <v>0</v>
      </c>
      <c r="J77" s="328">
        <f>'d3'!J77-d3М!J74</f>
        <v>0</v>
      </c>
      <c r="K77" s="328">
        <f>'d3'!K77-d3М!K74</f>
        <v>0</v>
      </c>
      <c r="L77" s="328">
        <f>'d3'!L77-d3М!L74</f>
        <v>0</v>
      </c>
      <c r="M77" s="328">
        <f>'d3'!M77-d3М!M74</f>
        <v>0</v>
      </c>
      <c r="N77" s="328">
        <f>'d3'!N77-d3М!N74</f>
        <v>0</v>
      </c>
      <c r="O77" s="328">
        <f>'d3'!O77-d3М!O74</f>
        <v>0</v>
      </c>
      <c r="P77" s="328">
        <f>'d3'!P77-d3М!P74</f>
        <v>0</v>
      </c>
      <c r="Q77" s="36"/>
      <c r="R77" s="26"/>
    </row>
    <row r="78" spans="1:18" s="33" customFormat="1" ht="93" thickTop="1" thickBot="1" x14ac:dyDescent="0.25">
      <c r="A78" s="665" t="s">
        <v>644</v>
      </c>
      <c r="B78" s="665" t="s">
        <v>645</v>
      </c>
      <c r="C78" s="665" t="s">
        <v>210</v>
      </c>
      <c r="D78" s="665" t="s">
        <v>646</v>
      </c>
      <c r="E78" s="328">
        <f>'d3'!E78-d3М!E75</f>
        <v>0</v>
      </c>
      <c r="F78" s="328">
        <f>'d3'!F78-d3М!F75</f>
        <v>0</v>
      </c>
      <c r="G78" s="328">
        <f>'d3'!G78-d3М!G75</f>
        <v>0</v>
      </c>
      <c r="H78" s="328">
        <f>'d3'!H78-d3М!H75</f>
        <v>0</v>
      </c>
      <c r="I78" s="328">
        <f>'d3'!I78-d3М!I75</f>
        <v>0</v>
      </c>
      <c r="J78" s="328">
        <f>'d3'!J78-d3М!J75</f>
        <v>0</v>
      </c>
      <c r="K78" s="328">
        <f>'d3'!K78-d3М!K75</f>
        <v>0</v>
      </c>
      <c r="L78" s="328">
        <f>'d3'!L78-d3М!L75</f>
        <v>0</v>
      </c>
      <c r="M78" s="328">
        <f>'d3'!M78-d3М!M75</f>
        <v>0</v>
      </c>
      <c r="N78" s="328">
        <f>'d3'!N78-d3М!N75</f>
        <v>0</v>
      </c>
      <c r="O78" s="328">
        <f>'d3'!O78-d3М!O75</f>
        <v>0</v>
      </c>
      <c r="P78" s="328">
        <f>'d3'!P78-d3М!P75</f>
        <v>0</v>
      </c>
      <c r="Q78" s="36"/>
      <c r="R78" s="26"/>
    </row>
    <row r="79" spans="1:18" s="33" customFormat="1" ht="160.5" customHeight="1" thickTop="1" thickBot="1" x14ac:dyDescent="0.25">
      <c r="A79" s="665" t="s">
        <v>941</v>
      </c>
      <c r="B79" s="665" t="s">
        <v>942</v>
      </c>
      <c r="C79" s="665" t="s">
        <v>210</v>
      </c>
      <c r="D79" s="665" t="s">
        <v>1449</v>
      </c>
      <c r="E79" s="328">
        <f>'d3'!E79-d3М!E76</f>
        <v>0</v>
      </c>
      <c r="F79" s="328">
        <f>'d3'!F79-d3М!F76</f>
        <v>0</v>
      </c>
      <c r="G79" s="328">
        <f>'d3'!G79-d3М!G76</f>
        <v>0</v>
      </c>
      <c r="H79" s="328">
        <f>'d3'!H79-d3М!H76</f>
        <v>0</v>
      </c>
      <c r="I79" s="328">
        <f>'d3'!I79-d3М!I76</f>
        <v>0</v>
      </c>
      <c r="J79" s="328">
        <f>'d3'!J79-d3М!J76</f>
        <v>0</v>
      </c>
      <c r="K79" s="328">
        <f>'d3'!K79-d3М!K76</f>
        <v>0</v>
      </c>
      <c r="L79" s="328">
        <f>'d3'!L79-d3М!L76</f>
        <v>0</v>
      </c>
      <c r="M79" s="328">
        <f>'d3'!M79-d3М!M76</f>
        <v>0</v>
      </c>
      <c r="N79" s="328">
        <f>'d3'!N79-d3М!N76</f>
        <v>0</v>
      </c>
      <c r="O79" s="328">
        <f>'d3'!O79-d3М!O76</f>
        <v>0</v>
      </c>
      <c r="P79" s="328">
        <f>'d3'!P79-d3М!P76</f>
        <v>0</v>
      </c>
      <c r="Q79" s="36"/>
      <c r="R79" s="26"/>
    </row>
    <row r="80" spans="1:18" s="33" customFormat="1" ht="93" thickTop="1" thickBot="1" x14ac:dyDescent="0.25">
      <c r="A80" s="693" t="s">
        <v>1004</v>
      </c>
      <c r="B80" s="693" t="s">
        <v>1006</v>
      </c>
      <c r="C80" s="693"/>
      <c r="D80" s="693" t="s">
        <v>1441</v>
      </c>
      <c r="E80" s="328">
        <f>'d3'!E80-d3М!E77</f>
        <v>0</v>
      </c>
      <c r="F80" s="328">
        <f>'d3'!F80-d3М!F77</f>
        <v>0</v>
      </c>
      <c r="G80" s="328">
        <f>'d3'!G80-d3М!G77</f>
        <v>0</v>
      </c>
      <c r="H80" s="328">
        <f>'d3'!H80-d3М!H77</f>
        <v>0</v>
      </c>
      <c r="I80" s="328">
        <f>'d3'!I80-d3М!I77</f>
        <v>0</v>
      </c>
      <c r="J80" s="328">
        <f>'d3'!J80-d3М!J77</f>
        <v>14416500</v>
      </c>
      <c r="K80" s="328">
        <f>'d3'!K80-d3М!K77</f>
        <v>14416500</v>
      </c>
      <c r="L80" s="328">
        <f>'d3'!L80-d3М!L77</f>
        <v>0</v>
      </c>
      <c r="M80" s="328">
        <f>'d3'!M80-d3М!M77</f>
        <v>0</v>
      </c>
      <c r="N80" s="328">
        <f>'d3'!N80-d3М!N77</f>
        <v>0</v>
      </c>
      <c r="O80" s="328">
        <f>'d3'!O80-d3М!O77</f>
        <v>14416500</v>
      </c>
      <c r="P80" s="328">
        <f>'d3'!P80-d3М!P77</f>
        <v>14416500</v>
      </c>
      <c r="Q80" s="36"/>
      <c r="R80" s="26"/>
    </row>
    <row r="81" spans="1:18" s="33" customFormat="1" ht="189" customHeight="1" thickTop="1" thickBot="1" x14ac:dyDescent="0.25">
      <c r="A81" s="694" t="s">
        <v>1005</v>
      </c>
      <c r="B81" s="694" t="s">
        <v>1007</v>
      </c>
      <c r="C81" s="694" t="s">
        <v>210</v>
      </c>
      <c r="D81" s="694" t="s">
        <v>1251</v>
      </c>
      <c r="E81" s="328">
        <f>'d3'!E81-d3М!E78</f>
        <v>0</v>
      </c>
      <c r="F81" s="328">
        <f>'d3'!F81-d3М!F78</f>
        <v>0</v>
      </c>
      <c r="G81" s="328">
        <f>'d3'!G81-d3М!G78</f>
        <v>0</v>
      </c>
      <c r="H81" s="328">
        <f>'d3'!H81-d3М!H78</f>
        <v>0</v>
      </c>
      <c r="I81" s="328">
        <f>'d3'!I81-d3М!I78</f>
        <v>0</v>
      </c>
      <c r="J81" s="328">
        <f>'d3'!J81-d3М!J78</f>
        <v>5766600</v>
      </c>
      <c r="K81" s="328">
        <f>'d3'!K81-d3М!K78</f>
        <v>5766600</v>
      </c>
      <c r="L81" s="328">
        <f>'d3'!L81-d3М!L78</f>
        <v>0</v>
      </c>
      <c r="M81" s="328">
        <f>'d3'!M81-d3М!M78</f>
        <v>0</v>
      </c>
      <c r="N81" s="328">
        <f>'d3'!N81-d3М!N78</f>
        <v>0</v>
      </c>
      <c r="O81" s="328">
        <f>'d3'!O81-d3М!O78</f>
        <v>5766600</v>
      </c>
      <c r="P81" s="328">
        <f>'d3'!P81-d3М!P78</f>
        <v>5766600</v>
      </c>
      <c r="Q81" s="36"/>
      <c r="R81" s="26"/>
    </row>
    <row r="82" spans="1:18" s="33" customFormat="1" ht="176.25" customHeight="1" thickTop="1" thickBot="1" x14ac:dyDescent="0.25">
      <c r="A82" s="694" t="s">
        <v>1049</v>
      </c>
      <c r="B82" s="694" t="s">
        <v>1050</v>
      </c>
      <c r="C82" s="694" t="s">
        <v>210</v>
      </c>
      <c r="D82" s="694" t="s">
        <v>1596</v>
      </c>
      <c r="E82" s="328">
        <f>'d3'!E82-d3М!E79</f>
        <v>0</v>
      </c>
      <c r="F82" s="328">
        <f>'d3'!F82-d3М!F79</f>
        <v>0</v>
      </c>
      <c r="G82" s="328">
        <f>'d3'!G82-d3М!G79</f>
        <v>0</v>
      </c>
      <c r="H82" s="328">
        <f>'d3'!H82-d3М!H79</f>
        <v>0</v>
      </c>
      <c r="I82" s="328">
        <f>'d3'!I82-d3М!I79</f>
        <v>0</v>
      </c>
      <c r="J82" s="328">
        <f>'d3'!J82-d3М!J79</f>
        <v>8649900</v>
      </c>
      <c r="K82" s="328">
        <f>'d3'!K82-d3М!K79</f>
        <v>8649900</v>
      </c>
      <c r="L82" s="328">
        <f>'d3'!L82-d3М!L79</f>
        <v>0</v>
      </c>
      <c r="M82" s="328">
        <f>'d3'!M82-d3М!M79</f>
        <v>0</v>
      </c>
      <c r="N82" s="328">
        <f>'d3'!N82-d3М!N79</f>
        <v>0</v>
      </c>
      <c r="O82" s="328">
        <f>'d3'!O82-d3М!O79</f>
        <v>8649900</v>
      </c>
      <c r="P82" s="328">
        <f>'d3'!P82-d3М!P79</f>
        <v>8649900</v>
      </c>
      <c r="Q82" s="36"/>
      <c r="R82" s="26"/>
    </row>
    <row r="83" spans="1:18" s="33" customFormat="1" ht="114.75" customHeight="1" thickTop="1" thickBot="1" x14ac:dyDescent="0.25">
      <c r="A83" s="329" t="s">
        <v>1391</v>
      </c>
      <c r="B83" s="329" t="s">
        <v>1392</v>
      </c>
      <c r="C83" s="329"/>
      <c r="D83" s="329" t="s">
        <v>1552</v>
      </c>
      <c r="E83" s="328">
        <f>'d3'!E83-d3М!E80</f>
        <v>0</v>
      </c>
      <c r="F83" s="328">
        <f>'d3'!F83-d3М!F80</f>
        <v>0</v>
      </c>
      <c r="G83" s="328">
        <f>'d3'!G83-d3М!G80</f>
        <v>0</v>
      </c>
      <c r="H83" s="328">
        <f>'d3'!H83-d3М!H80</f>
        <v>0</v>
      </c>
      <c r="I83" s="328">
        <f>'d3'!I83-d3М!I80</f>
        <v>0</v>
      </c>
      <c r="J83" s="328">
        <f>'d3'!J83-d3М!J80</f>
        <v>12000000</v>
      </c>
      <c r="K83" s="328">
        <f>'d3'!K83-d3М!K80</f>
        <v>12000000</v>
      </c>
      <c r="L83" s="328">
        <f>'d3'!L83-d3М!L80</f>
        <v>0</v>
      </c>
      <c r="M83" s="328">
        <f>'d3'!M83-d3М!M80</f>
        <v>0</v>
      </c>
      <c r="N83" s="328">
        <f>'d3'!N83-d3М!N80</f>
        <v>0</v>
      </c>
      <c r="O83" s="328">
        <f>'d3'!O83-d3М!O80</f>
        <v>12000000</v>
      </c>
      <c r="P83" s="328">
        <f>'d3'!P83-d3М!P80</f>
        <v>12000000</v>
      </c>
      <c r="Q83" s="36"/>
      <c r="R83" s="26"/>
    </row>
    <row r="84" spans="1:18" s="33" customFormat="1" ht="163.5" customHeight="1" thickTop="1" thickBot="1" x14ac:dyDescent="0.25">
      <c r="A84" s="103" t="s">
        <v>1393</v>
      </c>
      <c r="B84" s="103" t="s">
        <v>1394</v>
      </c>
      <c r="C84" s="103" t="s">
        <v>210</v>
      </c>
      <c r="D84" s="103" t="s">
        <v>1553</v>
      </c>
      <c r="E84" s="328">
        <f>'d3'!E84-d3М!E81</f>
        <v>0</v>
      </c>
      <c r="F84" s="328">
        <f>'d3'!F84-d3М!F81</f>
        <v>0</v>
      </c>
      <c r="G84" s="328">
        <f>'d3'!G84-d3М!G81</f>
        <v>0</v>
      </c>
      <c r="H84" s="328">
        <f>'d3'!H84-d3М!H81</f>
        <v>0</v>
      </c>
      <c r="I84" s="328">
        <f>'d3'!I84-d3М!I81</f>
        <v>0</v>
      </c>
      <c r="J84" s="328">
        <f>'d3'!J84-d3М!J81</f>
        <v>12000000</v>
      </c>
      <c r="K84" s="328">
        <f>'d3'!K84-d3М!K81</f>
        <v>12000000</v>
      </c>
      <c r="L84" s="328">
        <f>'d3'!L84-d3М!L81</f>
        <v>0</v>
      </c>
      <c r="M84" s="328">
        <f>'d3'!M84-d3М!M81</f>
        <v>0</v>
      </c>
      <c r="N84" s="328">
        <f>'d3'!N84-d3М!N81</f>
        <v>0</v>
      </c>
      <c r="O84" s="328">
        <f>'d3'!O84-d3М!O81</f>
        <v>12000000</v>
      </c>
      <c r="P84" s="328">
        <f>'d3'!P84-d3М!P81</f>
        <v>12000000</v>
      </c>
      <c r="Q84" s="36"/>
      <c r="R84" s="26"/>
    </row>
    <row r="85" spans="1:18" s="33" customFormat="1" ht="93" hidden="1" thickTop="1" thickBot="1" x14ac:dyDescent="0.25">
      <c r="A85" s="128" t="s">
        <v>1395</v>
      </c>
      <c r="B85" s="128" t="s">
        <v>1396</v>
      </c>
      <c r="C85" s="128" t="s">
        <v>210</v>
      </c>
      <c r="D85" s="128" t="s">
        <v>1397</v>
      </c>
      <c r="E85" s="328">
        <f>'d3'!E85-d3М!E82</f>
        <v>0</v>
      </c>
      <c r="F85" s="328">
        <f>'d3'!F85-d3М!F82</f>
        <v>0</v>
      </c>
      <c r="G85" s="328">
        <f>'d3'!G85-d3М!G82</f>
        <v>0</v>
      </c>
      <c r="H85" s="328">
        <f>'d3'!H85-d3М!H82</f>
        <v>0</v>
      </c>
      <c r="I85" s="328">
        <f>'d3'!I85-d3М!I82</f>
        <v>0</v>
      </c>
      <c r="J85" s="328">
        <f>'d3'!J85-d3М!J82</f>
        <v>0</v>
      </c>
      <c r="K85" s="328">
        <f>'d3'!K85-d3М!K82</f>
        <v>0</v>
      </c>
      <c r="L85" s="328">
        <f>'d3'!L85-d3М!L82</f>
        <v>0</v>
      </c>
      <c r="M85" s="328">
        <f>'d3'!M85-d3М!M82</f>
        <v>0</v>
      </c>
      <c r="N85" s="328">
        <f>'d3'!N85-d3М!N82</f>
        <v>0</v>
      </c>
      <c r="O85" s="328">
        <f>'d3'!O85-d3М!O82</f>
        <v>0</v>
      </c>
      <c r="P85" s="328">
        <f>'d3'!P85-d3М!P82</f>
        <v>0</v>
      </c>
      <c r="Q85" s="36"/>
      <c r="R85" s="26"/>
    </row>
    <row r="86" spans="1:18" s="33" customFormat="1" ht="93" hidden="1" thickTop="1" thickBot="1" x14ac:dyDescent="0.25">
      <c r="A86" s="140" t="s">
        <v>1462</v>
      </c>
      <c r="B86" s="140" t="s">
        <v>1461</v>
      </c>
      <c r="C86" s="140"/>
      <c r="D86" s="140" t="s">
        <v>1463</v>
      </c>
      <c r="E86" s="328">
        <f>'d3'!E86-d3М!E83</f>
        <v>0</v>
      </c>
      <c r="F86" s="328">
        <f>'d3'!F86-d3М!F83</f>
        <v>0</v>
      </c>
      <c r="G86" s="328">
        <f>'d3'!G86-d3М!G83</f>
        <v>0</v>
      </c>
      <c r="H86" s="328">
        <f>'d3'!H86-d3М!H83</f>
        <v>0</v>
      </c>
      <c r="I86" s="328">
        <f>'d3'!I86-d3М!I83</f>
        <v>0</v>
      </c>
      <c r="J86" s="328">
        <f>'d3'!J86-d3М!J83</f>
        <v>0</v>
      </c>
      <c r="K86" s="328">
        <f>'d3'!K86-d3М!K83</f>
        <v>0</v>
      </c>
      <c r="L86" s="328">
        <f>'d3'!L86-d3М!L83</f>
        <v>0</v>
      </c>
      <c r="M86" s="328">
        <f>'d3'!M86-d3М!M83</f>
        <v>0</v>
      </c>
      <c r="N86" s="328">
        <f>'d3'!N86-d3М!N83</f>
        <v>0</v>
      </c>
      <c r="O86" s="328">
        <f>'d3'!O86-d3М!O83</f>
        <v>0</v>
      </c>
      <c r="P86" s="328">
        <f>'d3'!P86-d3М!P83</f>
        <v>0</v>
      </c>
      <c r="Q86" s="36"/>
      <c r="R86" s="26"/>
    </row>
    <row r="87" spans="1:18" s="33" customFormat="1" ht="93" hidden="1" thickTop="1" thickBot="1" x14ac:dyDescent="0.25">
      <c r="A87" s="128" t="s">
        <v>1464</v>
      </c>
      <c r="B87" s="128" t="s">
        <v>1465</v>
      </c>
      <c r="C87" s="128" t="s">
        <v>210</v>
      </c>
      <c r="D87" s="128" t="s">
        <v>1469</v>
      </c>
      <c r="E87" s="328">
        <f>'d3'!E87-d3М!E84</f>
        <v>0</v>
      </c>
      <c r="F87" s="328">
        <f>'d3'!F87-d3М!F84</f>
        <v>0</v>
      </c>
      <c r="G87" s="328">
        <f>'d3'!G87-d3М!G84</f>
        <v>0</v>
      </c>
      <c r="H87" s="328">
        <f>'d3'!H87-d3М!H84</f>
        <v>0</v>
      </c>
      <c r="I87" s="328">
        <f>'d3'!I87-d3М!I84</f>
        <v>0</v>
      </c>
      <c r="J87" s="328">
        <f>'d3'!J87-d3М!J84</f>
        <v>0</v>
      </c>
      <c r="K87" s="328">
        <f>'d3'!K87-d3М!K84</f>
        <v>0</v>
      </c>
      <c r="L87" s="328">
        <f>'d3'!L87-d3М!L84</f>
        <v>0</v>
      </c>
      <c r="M87" s="328">
        <f>'d3'!M87-d3М!M84</f>
        <v>0</v>
      </c>
      <c r="N87" s="328">
        <f>'d3'!N87-d3М!N84</f>
        <v>0</v>
      </c>
      <c r="O87" s="328">
        <f>'d3'!O87-d3М!O84</f>
        <v>0</v>
      </c>
      <c r="P87" s="328">
        <f>'d3'!P87-d3М!P84</f>
        <v>0</v>
      </c>
      <c r="Q87" s="36"/>
      <c r="R87" s="26"/>
    </row>
    <row r="88" spans="1:18" s="33" customFormat="1" ht="93" hidden="1" thickTop="1" thickBot="1" x14ac:dyDescent="0.25">
      <c r="A88" s="128" t="s">
        <v>1466</v>
      </c>
      <c r="B88" s="128" t="s">
        <v>1467</v>
      </c>
      <c r="C88" s="128" t="s">
        <v>210</v>
      </c>
      <c r="D88" s="128" t="s">
        <v>1468</v>
      </c>
      <c r="E88" s="328">
        <f>'d3'!E88-d3М!E85</f>
        <v>0</v>
      </c>
      <c r="F88" s="328">
        <f>'d3'!F88-d3М!F85</f>
        <v>0</v>
      </c>
      <c r="G88" s="328">
        <f>'d3'!G88-d3М!G85</f>
        <v>0</v>
      </c>
      <c r="H88" s="328">
        <f>'d3'!H88-d3М!H85</f>
        <v>0</v>
      </c>
      <c r="I88" s="328">
        <f>'d3'!I88-d3М!I85</f>
        <v>0</v>
      </c>
      <c r="J88" s="328">
        <f>'d3'!J88-d3М!J85</f>
        <v>0</v>
      </c>
      <c r="K88" s="328">
        <f>'d3'!K88-d3М!K85</f>
        <v>0</v>
      </c>
      <c r="L88" s="328">
        <f>'d3'!L88-d3М!L85</f>
        <v>0</v>
      </c>
      <c r="M88" s="328">
        <f>'d3'!M88-d3М!M85</f>
        <v>0</v>
      </c>
      <c r="N88" s="328">
        <f>'d3'!N88-d3М!N85</f>
        <v>0</v>
      </c>
      <c r="O88" s="328">
        <f>'d3'!O88-d3М!O85</f>
        <v>0</v>
      </c>
      <c r="P88" s="328">
        <f>'d3'!P88-d3М!P85</f>
        <v>0</v>
      </c>
      <c r="Q88" s="36"/>
      <c r="R88" s="26"/>
    </row>
    <row r="89" spans="1:18" s="33" customFormat="1" ht="213" customHeight="1" thickTop="1" thickBot="1" x14ac:dyDescent="0.25">
      <c r="A89" s="329" t="s">
        <v>1568</v>
      </c>
      <c r="B89" s="329" t="s">
        <v>1570</v>
      </c>
      <c r="C89" s="128"/>
      <c r="D89" s="329" t="s">
        <v>1567</v>
      </c>
      <c r="E89" s="328">
        <f>'d3'!E89-d3М!E86</f>
        <v>0</v>
      </c>
      <c r="F89" s="328">
        <f>'d3'!F89-d3М!F86</f>
        <v>0</v>
      </c>
      <c r="G89" s="328">
        <f>'d3'!G89-d3М!G86</f>
        <v>0</v>
      </c>
      <c r="H89" s="328">
        <f>'d3'!H89-d3М!H86</f>
        <v>0</v>
      </c>
      <c r="I89" s="328">
        <f>'d3'!I89-d3М!I86</f>
        <v>0</v>
      </c>
      <c r="J89" s="328">
        <f>'d3'!J89-d3М!J86</f>
        <v>3288050</v>
      </c>
      <c r="K89" s="328">
        <f>'d3'!K89-d3М!K86</f>
        <v>3288050</v>
      </c>
      <c r="L89" s="328">
        <f>'d3'!L89-d3М!L86</f>
        <v>0</v>
      </c>
      <c r="M89" s="328">
        <f>'d3'!M89-d3М!M86</f>
        <v>0</v>
      </c>
      <c r="N89" s="328">
        <f>'d3'!N89-d3М!N86</f>
        <v>0</v>
      </c>
      <c r="O89" s="328">
        <f>'d3'!O89-d3М!O86</f>
        <v>3288050</v>
      </c>
      <c r="P89" s="328">
        <f>'d3'!P89-d3М!P86</f>
        <v>3288050</v>
      </c>
      <c r="Q89" s="36"/>
      <c r="R89" s="26"/>
    </row>
    <row r="90" spans="1:18" s="33" customFormat="1" ht="184.5" thickTop="1" thickBot="1" x14ac:dyDescent="0.25">
      <c r="A90" s="103" t="s">
        <v>1571</v>
      </c>
      <c r="B90" s="103" t="s">
        <v>1569</v>
      </c>
      <c r="C90" s="103" t="s">
        <v>210</v>
      </c>
      <c r="D90" s="103" t="s">
        <v>1572</v>
      </c>
      <c r="E90" s="328">
        <f>'d3'!E90-d3М!E87</f>
        <v>0</v>
      </c>
      <c r="F90" s="328">
        <f>'d3'!F90-d3М!F87</f>
        <v>0</v>
      </c>
      <c r="G90" s="328">
        <f>'d3'!G90-d3М!G87</f>
        <v>0</v>
      </c>
      <c r="H90" s="328">
        <f>'d3'!H90-d3М!H87</f>
        <v>0</v>
      </c>
      <c r="I90" s="328">
        <f>'d3'!I90-d3М!I87</f>
        <v>0</v>
      </c>
      <c r="J90" s="328">
        <f>'d3'!J90-d3М!J87</f>
        <v>3288050</v>
      </c>
      <c r="K90" s="328">
        <f>'d3'!K90-d3М!K87</f>
        <v>3288050</v>
      </c>
      <c r="L90" s="328">
        <f>'d3'!L90-d3М!L87</f>
        <v>0</v>
      </c>
      <c r="M90" s="328">
        <f>'d3'!M90-d3М!M87</f>
        <v>0</v>
      </c>
      <c r="N90" s="328">
        <f>'d3'!N90-d3М!N87</f>
        <v>0</v>
      </c>
      <c r="O90" s="328">
        <f>'d3'!O90-d3М!O87</f>
        <v>3288050</v>
      </c>
      <c r="P90" s="328">
        <f>'d3'!P90-d3М!P87</f>
        <v>3288050</v>
      </c>
      <c r="Q90" s="36"/>
      <c r="R90" s="26"/>
    </row>
    <row r="91" spans="1:18" s="33" customFormat="1" ht="219" customHeight="1" thickTop="1" thickBot="1" x14ac:dyDescent="0.25">
      <c r="A91" s="103" t="s">
        <v>1573</v>
      </c>
      <c r="B91" s="103" t="s">
        <v>1574</v>
      </c>
      <c r="C91" s="103" t="s">
        <v>210</v>
      </c>
      <c r="D91" s="103" t="s">
        <v>1575</v>
      </c>
      <c r="E91" s="328">
        <f>'d3'!E91-d3М!E88</f>
        <v>0</v>
      </c>
      <c r="F91" s="328">
        <f>'d3'!F91-d3М!F88</f>
        <v>0</v>
      </c>
      <c r="G91" s="328">
        <f>'d3'!G91-d3М!G88</f>
        <v>0</v>
      </c>
      <c r="H91" s="328">
        <f>'d3'!H91-d3М!H88</f>
        <v>0</v>
      </c>
      <c r="I91" s="328">
        <f>'d3'!I91-d3М!I88</f>
        <v>0</v>
      </c>
      <c r="J91" s="328">
        <f>'d3'!J91-d3М!J88</f>
        <v>0</v>
      </c>
      <c r="K91" s="328">
        <f>'d3'!K91-d3М!K88</f>
        <v>0</v>
      </c>
      <c r="L91" s="328">
        <f>'d3'!L91-d3М!L88</f>
        <v>0</v>
      </c>
      <c r="M91" s="328">
        <f>'d3'!M91-d3М!M88</f>
        <v>0</v>
      </c>
      <c r="N91" s="328">
        <f>'d3'!N91-d3М!N88</f>
        <v>0</v>
      </c>
      <c r="O91" s="328">
        <f>'d3'!O91-d3М!O88</f>
        <v>0</v>
      </c>
      <c r="P91" s="328">
        <f>'d3'!P91-d3М!P88</f>
        <v>0</v>
      </c>
      <c r="Q91" s="36"/>
      <c r="R91" s="26"/>
    </row>
    <row r="92" spans="1:18" s="33" customFormat="1" ht="47.25" thickTop="1" thickBot="1" x14ac:dyDescent="0.25">
      <c r="A92" s="311" t="s">
        <v>710</v>
      </c>
      <c r="B92" s="311" t="s">
        <v>711</v>
      </c>
      <c r="C92" s="311"/>
      <c r="D92" s="311" t="s">
        <v>712</v>
      </c>
      <c r="E92" s="328">
        <f>'d3'!E92-d3М!E89</f>
        <v>0</v>
      </c>
      <c r="F92" s="328">
        <f>'d3'!F92-d3М!F89</f>
        <v>0</v>
      </c>
      <c r="G92" s="328">
        <f>'d3'!G92-d3М!G89</f>
        <v>0</v>
      </c>
      <c r="H92" s="328">
        <f>'d3'!H92-d3М!H89</f>
        <v>0</v>
      </c>
      <c r="I92" s="328">
        <f>'d3'!I92-d3М!I89</f>
        <v>0</v>
      </c>
      <c r="J92" s="328">
        <f>'d3'!J92-d3М!J89</f>
        <v>0</v>
      </c>
      <c r="K92" s="328">
        <f>'d3'!K92-d3М!K89</f>
        <v>0</v>
      </c>
      <c r="L92" s="328">
        <f>'d3'!L92-d3М!L89</f>
        <v>0</v>
      </c>
      <c r="M92" s="328">
        <f>'d3'!M92-d3М!M89</f>
        <v>0</v>
      </c>
      <c r="N92" s="328">
        <f>'d3'!N92-d3М!N89</f>
        <v>0</v>
      </c>
      <c r="O92" s="328">
        <f>'d3'!O92-d3М!O89</f>
        <v>0</v>
      </c>
      <c r="P92" s="328">
        <f>'d3'!P92-d3М!P89</f>
        <v>0</v>
      </c>
      <c r="Q92" s="36"/>
      <c r="R92" s="26"/>
    </row>
    <row r="93" spans="1:18" s="33" customFormat="1" ht="167.25" customHeight="1" thickTop="1" thickBot="1" x14ac:dyDescent="0.25">
      <c r="A93" s="103" t="s">
        <v>431</v>
      </c>
      <c r="B93" s="103" t="s">
        <v>432</v>
      </c>
      <c r="C93" s="103" t="s">
        <v>185</v>
      </c>
      <c r="D93" s="103" t="s">
        <v>430</v>
      </c>
      <c r="E93" s="328">
        <f>'d3'!E93-d3М!E90</f>
        <v>0</v>
      </c>
      <c r="F93" s="328">
        <f>'d3'!F93-d3М!F90</f>
        <v>0</v>
      </c>
      <c r="G93" s="328">
        <f>'d3'!G93-d3М!G90</f>
        <v>0</v>
      </c>
      <c r="H93" s="328">
        <f>'d3'!H93-d3М!H90</f>
        <v>0</v>
      </c>
      <c r="I93" s="328">
        <f>'d3'!I93-d3М!I90</f>
        <v>0</v>
      </c>
      <c r="J93" s="328">
        <f>'d3'!J93-d3М!J90</f>
        <v>0</v>
      </c>
      <c r="K93" s="328">
        <f>'d3'!K93-d3М!K90</f>
        <v>0</v>
      </c>
      <c r="L93" s="328">
        <f>'d3'!L93-d3М!L90</f>
        <v>0</v>
      </c>
      <c r="M93" s="328">
        <f>'d3'!M93-d3М!M90</f>
        <v>0</v>
      </c>
      <c r="N93" s="328">
        <f>'d3'!N93-d3М!N90</f>
        <v>0</v>
      </c>
      <c r="O93" s="328">
        <f>'d3'!O93-d3М!O90</f>
        <v>0</v>
      </c>
      <c r="P93" s="328">
        <f>'d3'!P93-d3М!P90</f>
        <v>0</v>
      </c>
      <c r="Q93" s="36"/>
      <c r="R93" s="39"/>
    </row>
    <row r="94" spans="1:18" s="33" customFormat="1" ht="114.75" customHeight="1" thickTop="1" thickBot="1" x14ac:dyDescent="0.25">
      <c r="A94" s="103" t="s">
        <v>1233</v>
      </c>
      <c r="B94" s="103" t="s">
        <v>1200</v>
      </c>
      <c r="C94" s="103" t="s">
        <v>206</v>
      </c>
      <c r="D94" s="470" t="s">
        <v>1201</v>
      </c>
      <c r="E94" s="328">
        <f>'d3'!E94-d3М!E91</f>
        <v>0</v>
      </c>
      <c r="F94" s="328">
        <f>'d3'!F94-d3М!F91</f>
        <v>0</v>
      </c>
      <c r="G94" s="328">
        <f>'d3'!G94-d3М!G91</f>
        <v>0</v>
      </c>
      <c r="H94" s="328">
        <f>'d3'!H94-d3М!H91</f>
        <v>0</v>
      </c>
      <c r="I94" s="328">
        <f>'d3'!I94-d3М!I91</f>
        <v>0</v>
      </c>
      <c r="J94" s="328">
        <f>'d3'!J94-d3М!J91</f>
        <v>0</v>
      </c>
      <c r="K94" s="328">
        <f>'d3'!K94-d3М!K91</f>
        <v>0</v>
      </c>
      <c r="L94" s="328">
        <f>'d3'!L94-d3М!L91</f>
        <v>0</v>
      </c>
      <c r="M94" s="328">
        <f>'d3'!M94-d3М!M91</f>
        <v>0</v>
      </c>
      <c r="N94" s="328">
        <f>'d3'!N94-d3М!N91</f>
        <v>0</v>
      </c>
      <c r="O94" s="328">
        <f>'d3'!O94-d3М!O91</f>
        <v>0</v>
      </c>
      <c r="P94" s="328">
        <f>'d3'!P94-d3М!P91</f>
        <v>0</v>
      </c>
      <c r="Q94" s="36"/>
      <c r="R94" s="39"/>
    </row>
    <row r="95" spans="1:18" s="33" customFormat="1" ht="57" customHeight="1" thickTop="1" thickBot="1" x14ac:dyDescent="0.25">
      <c r="A95" s="311" t="s">
        <v>1089</v>
      </c>
      <c r="B95" s="311" t="s">
        <v>748</v>
      </c>
      <c r="C95" s="311"/>
      <c r="D95" s="311" t="s">
        <v>1088</v>
      </c>
      <c r="E95" s="328">
        <f>'d3'!E95-d3М!E92</f>
        <v>0</v>
      </c>
      <c r="F95" s="328">
        <f>'d3'!F95-d3М!F92</f>
        <v>0</v>
      </c>
      <c r="G95" s="328">
        <f>'d3'!G95-d3М!G92</f>
        <v>0</v>
      </c>
      <c r="H95" s="328">
        <f>'d3'!H95-d3М!H92</f>
        <v>0</v>
      </c>
      <c r="I95" s="328">
        <f>'d3'!I95-d3М!I92</f>
        <v>0</v>
      </c>
      <c r="J95" s="328">
        <f>'d3'!J95-d3М!J92</f>
        <v>9799278.7800000012</v>
      </c>
      <c r="K95" s="328">
        <f>'d3'!K95-d3М!K92</f>
        <v>9799278.7800000012</v>
      </c>
      <c r="L95" s="328">
        <f>'d3'!L95-d3М!L92</f>
        <v>0</v>
      </c>
      <c r="M95" s="328">
        <f>'d3'!M95-d3М!M92</f>
        <v>0</v>
      </c>
      <c r="N95" s="328">
        <f>'d3'!N95-d3М!N92</f>
        <v>0</v>
      </c>
      <c r="O95" s="328">
        <f>'d3'!O95-d3М!O92</f>
        <v>9799278.7800000012</v>
      </c>
      <c r="P95" s="328">
        <f>'d3'!P95-d3М!P92</f>
        <v>9799278.7800000012</v>
      </c>
      <c r="Q95" s="36"/>
      <c r="R95" s="26"/>
    </row>
    <row r="96" spans="1:18" s="33" customFormat="1" ht="57" customHeight="1" thickTop="1" thickBot="1" x14ac:dyDescent="0.25">
      <c r="A96" s="313" t="s">
        <v>1087</v>
      </c>
      <c r="B96" s="313" t="s">
        <v>803</v>
      </c>
      <c r="C96" s="313"/>
      <c r="D96" s="313" t="s">
        <v>804</v>
      </c>
      <c r="E96" s="328">
        <f>'d3'!E96-d3М!E93</f>
        <v>0</v>
      </c>
      <c r="F96" s="328">
        <f>'d3'!F96-d3М!F93</f>
        <v>0</v>
      </c>
      <c r="G96" s="328">
        <f>'d3'!G96-d3М!G93</f>
        <v>0</v>
      </c>
      <c r="H96" s="328">
        <f>'d3'!H96-d3М!H93</f>
        <v>0</v>
      </c>
      <c r="I96" s="328">
        <f>'d3'!I96-d3М!I93</f>
        <v>0</v>
      </c>
      <c r="J96" s="328">
        <f>'d3'!J96-d3М!J93</f>
        <v>-400000</v>
      </c>
      <c r="K96" s="328">
        <f>'d3'!K96-d3М!K93</f>
        <v>-400000</v>
      </c>
      <c r="L96" s="328">
        <f>'d3'!L96-d3М!L93</f>
        <v>0</v>
      </c>
      <c r="M96" s="328">
        <f>'d3'!M96-d3М!M93</f>
        <v>0</v>
      </c>
      <c r="N96" s="328">
        <f>'d3'!N96-d3М!N93</f>
        <v>0</v>
      </c>
      <c r="O96" s="328">
        <f>'d3'!O96-d3М!O93</f>
        <v>-400000</v>
      </c>
      <c r="P96" s="328">
        <f>'d3'!P96-d3М!P93</f>
        <v>-400000</v>
      </c>
      <c r="Q96" s="36"/>
      <c r="R96" s="26"/>
    </row>
    <row r="97" spans="1:18" s="33" customFormat="1" ht="54" thickTop="1" thickBot="1" x14ac:dyDescent="0.25">
      <c r="A97" s="329" t="s">
        <v>1090</v>
      </c>
      <c r="B97" s="329" t="s">
        <v>821</v>
      </c>
      <c r="C97" s="329"/>
      <c r="D97" s="329" t="s">
        <v>1524</v>
      </c>
      <c r="E97" s="328">
        <f>'d3'!E97-d3М!E94</f>
        <v>0</v>
      </c>
      <c r="F97" s="328">
        <f>'d3'!F97-d3М!F94</f>
        <v>0</v>
      </c>
      <c r="G97" s="328">
        <f>'d3'!G97-d3М!G94</f>
        <v>0</v>
      </c>
      <c r="H97" s="328">
        <f>'d3'!H97-d3М!H94</f>
        <v>0</v>
      </c>
      <c r="I97" s="328">
        <f>'d3'!I97-d3М!I94</f>
        <v>0</v>
      </c>
      <c r="J97" s="328">
        <f>'d3'!J97-d3М!J94</f>
        <v>-400000</v>
      </c>
      <c r="K97" s="328">
        <f>'d3'!K97-d3М!K94</f>
        <v>-400000</v>
      </c>
      <c r="L97" s="328">
        <f>'d3'!L97-d3М!L94</f>
        <v>0</v>
      </c>
      <c r="M97" s="328">
        <f>'d3'!M97-d3М!M94</f>
        <v>0</v>
      </c>
      <c r="N97" s="328">
        <f>'d3'!N97-d3М!N94</f>
        <v>0</v>
      </c>
      <c r="O97" s="328">
        <f>'d3'!O97-d3М!O94</f>
        <v>-400000</v>
      </c>
      <c r="P97" s="328">
        <f>'d3'!P97-d3М!P94</f>
        <v>-400000</v>
      </c>
      <c r="Q97" s="36"/>
      <c r="R97" s="26"/>
    </row>
    <row r="98" spans="1:18" s="33" customFormat="1" ht="57" customHeight="1" thickTop="1" thickBot="1" x14ac:dyDescent="0.25">
      <c r="A98" s="103" t="s">
        <v>1102</v>
      </c>
      <c r="B98" s="103" t="s">
        <v>311</v>
      </c>
      <c r="C98" s="103" t="s">
        <v>304</v>
      </c>
      <c r="D98" s="103" t="s">
        <v>1504</v>
      </c>
      <c r="E98" s="328">
        <f>'d3'!E98-d3М!E95</f>
        <v>0</v>
      </c>
      <c r="F98" s="328">
        <f>'d3'!F98-d3М!F95</f>
        <v>0</v>
      </c>
      <c r="G98" s="328">
        <f>'d3'!G98-d3М!G95</f>
        <v>0</v>
      </c>
      <c r="H98" s="328">
        <f>'d3'!H98-d3М!H95</f>
        <v>0</v>
      </c>
      <c r="I98" s="328">
        <f>'d3'!I98-d3М!I95</f>
        <v>0</v>
      </c>
      <c r="J98" s="328">
        <f>'d3'!J98-d3М!J95</f>
        <v>-400000</v>
      </c>
      <c r="K98" s="328">
        <f>'d3'!K98-d3М!K95</f>
        <v>-400000</v>
      </c>
      <c r="L98" s="328">
        <f>'d3'!L98-d3М!L95</f>
        <v>0</v>
      </c>
      <c r="M98" s="328">
        <f>'d3'!M98-d3М!M95</f>
        <v>0</v>
      </c>
      <c r="N98" s="328">
        <f>'d3'!N98-d3М!N95</f>
        <v>0</v>
      </c>
      <c r="O98" s="328">
        <f>'d3'!O98-d3М!O95</f>
        <v>-400000</v>
      </c>
      <c r="P98" s="328">
        <f>'d3'!P98-d3М!P95</f>
        <v>-400000</v>
      </c>
      <c r="Q98" s="30"/>
      <c r="R98" s="26"/>
    </row>
    <row r="99" spans="1:18" s="33" customFormat="1" ht="57" customHeight="1" thickTop="1" thickBot="1" x14ac:dyDescent="0.25">
      <c r="A99" s="313" t="s">
        <v>1091</v>
      </c>
      <c r="B99" s="313" t="s">
        <v>691</v>
      </c>
      <c r="C99" s="313"/>
      <c r="D99" s="313" t="s">
        <v>689</v>
      </c>
      <c r="E99" s="328">
        <f>'d3'!E99-d3М!E96</f>
        <v>0</v>
      </c>
      <c r="F99" s="328">
        <f>'d3'!F99-d3М!F96</f>
        <v>0</v>
      </c>
      <c r="G99" s="328">
        <f>'d3'!G99-d3М!G96</f>
        <v>0</v>
      </c>
      <c r="H99" s="328">
        <f>'d3'!H99-d3М!H96</f>
        <v>0</v>
      </c>
      <c r="I99" s="328">
        <f>'d3'!I99-d3М!I96</f>
        <v>0</v>
      </c>
      <c r="J99" s="328">
        <f>'d3'!J99-d3М!J96</f>
        <v>10199278.780000001</v>
      </c>
      <c r="K99" s="328">
        <f>'d3'!K99-d3М!K96</f>
        <v>10199278.780000001</v>
      </c>
      <c r="L99" s="328">
        <f>'d3'!L99-d3М!L96</f>
        <v>0</v>
      </c>
      <c r="M99" s="328">
        <f>'d3'!M99-d3М!M96</f>
        <v>0</v>
      </c>
      <c r="N99" s="328">
        <f>'d3'!N99-d3М!N96</f>
        <v>0</v>
      </c>
      <c r="O99" s="328">
        <f>'d3'!O99-d3М!O96</f>
        <v>10199278.780000001</v>
      </c>
      <c r="P99" s="328">
        <f>'d3'!P99-d3М!P96</f>
        <v>10199278.780000001</v>
      </c>
      <c r="Q99" s="30"/>
      <c r="R99" s="26"/>
    </row>
    <row r="100" spans="1:18" s="33" customFormat="1" ht="57" customHeight="1" thickTop="1" thickBot="1" x14ac:dyDescent="0.25">
      <c r="A100" s="103" t="s">
        <v>1092</v>
      </c>
      <c r="B100" s="103" t="s">
        <v>212</v>
      </c>
      <c r="C100" s="103" t="s">
        <v>213</v>
      </c>
      <c r="D100" s="103" t="s">
        <v>41</v>
      </c>
      <c r="E100" s="328">
        <f>'d3'!E100-d3М!E97</f>
        <v>0</v>
      </c>
      <c r="F100" s="328">
        <f>'d3'!F100-d3М!F97</f>
        <v>0</v>
      </c>
      <c r="G100" s="328">
        <f>'d3'!G100-d3М!G97</f>
        <v>0</v>
      </c>
      <c r="H100" s="328">
        <f>'d3'!H100-d3М!H97</f>
        <v>0</v>
      </c>
      <c r="I100" s="328">
        <f>'d3'!I100-d3М!I97</f>
        <v>0</v>
      </c>
      <c r="J100" s="328">
        <f>'d3'!J100-d3М!J97</f>
        <v>10199278.780000001</v>
      </c>
      <c r="K100" s="328">
        <f>'d3'!K100-d3М!K97</f>
        <v>10199278.780000001</v>
      </c>
      <c r="L100" s="328">
        <f>'d3'!L100-d3М!L97</f>
        <v>0</v>
      </c>
      <c r="M100" s="328">
        <f>'d3'!M100-d3М!M97</f>
        <v>0</v>
      </c>
      <c r="N100" s="328">
        <f>'d3'!N100-d3М!N97</f>
        <v>0</v>
      </c>
      <c r="O100" s="328">
        <f>'d3'!O100-d3М!O97</f>
        <v>10199278.780000001</v>
      </c>
      <c r="P100" s="328">
        <f>'d3'!P100-d3М!P97</f>
        <v>10199278.780000001</v>
      </c>
      <c r="Q100" s="30"/>
      <c r="R100" s="26"/>
    </row>
    <row r="101" spans="1:18" s="33" customFormat="1" ht="47.25" hidden="1" thickTop="1" thickBot="1" x14ac:dyDescent="0.25">
      <c r="A101" s="125" t="s">
        <v>1224</v>
      </c>
      <c r="B101" s="125" t="s">
        <v>696</v>
      </c>
      <c r="C101" s="125"/>
      <c r="D101" s="125" t="s">
        <v>697</v>
      </c>
      <c r="E101" s="127">
        <f t="shared" ref="E101:P102" si="6">E102</f>
        <v>0</v>
      </c>
      <c r="F101" s="127">
        <f t="shared" si="6"/>
        <v>0</v>
      </c>
      <c r="G101" s="127">
        <f t="shared" si="6"/>
        <v>0</v>
      </c>
      <c r="H101" s="127">
        <f t="shared" si="6"/>
        <v>0</v>
      </c>
      <c r="I101" s="127">
        <f t="shared" si="6"/>
        <v>0</v>
      </c>
      <c r="J101" s="127">
        <f t="shared" si="6"/>
        <v>0</v>
      </c>
      <c r="K101" s="127">
        <f t="shared" si="6"/>
        <v>0</v>
      </c>
      <c r="L101" s="127">
        <f t="shared" si="6"/>
        <v>0</v>
      </c>
      <c r="M101" s="127">
        <f t="shared" si="6"/>
        <v>0</v>
      </c>
      <c r="N101" s="127">
        <f t="shared" si="6"/>
        <v>0</v>
      </c>
      <c r="O101" s="127">
        <f t="shared" si="6"/>
        <v>0</v>
      </c>
      <c r="P101" s="127">
        <f t="shared" si="6"/>
        <v>0</v>
      </c>
      <c r="Q101" s="30"/>
      <c r="R101" s="26"/>
    </row>
    <row r="102" spans="1:18" s="33" customFormat="1" ht="47.25" hidden="1" thickTop="1" thickBot="1" x14ac:dyDescent="0.25">
      <c r="A102" s="136" t="s">
        <v>1225</v>
      </c>
      <c r="B102" s="136" t="s">
        <v>1186</v>
      </c>
      <c r="C102" s="136"/>
      <c r="D102" s="136" t="s">
        <v>1184</v>
      </c>
      <c r="E102" s="137">
        <f t="shared" si="6"/>
        <v>0</v>
      </c>
      <c r="F102" s="137">
        <f t="shared" si="6"/>
        <v>0</v>
      </c>
      <c r="G102" s="137">
        <f t="shared" si="6"/>
        <v>0</v>
      </c>
      <c r="H102" s="137">
        <f t="shared" si="6"/>
        <v>0</v>
      </c>
      <c r="I102" s="137">
        <f t="shared" si="6"/>
        <v>0</v>
      </c>
      <c r="J102" s="137">
        <f t="shared" si="6"/>
        <v>0</v>
      </c>
      <c r="K102" s="137">
        <f t="shared" si="6"/>
        <v>0</v>
      </c>
      <c r="L102" s="137">
        <f t="shared" si="6"/>
        <v>0</v>
      </c>
      <c r="M102" s="137">
        <f t="shared" si="6"/>
        <v>0</v>
      </c>
      <c r="N102" s="137">
        <f t="shared" si="6"/>
        <v>0</v>
      </c>
      <c r="O102" s="137">
        <f t="shared" si="6"/>
        <v>0</v>
      </c>
      <c r="P102" s="137">
        <f t="shared" si="6"/>
        <v>0</v>
      </c>
      <c r="Q102" s="30"/>
      <c r="R102" s="26"/>
    </row>
    <row r="103" spans="1:18" s="33" customFormat="1" ht="48" hidden="1" thickTop="1" thickBot="1" x14ac:dyDescent="0.25">
      <c r="A103" s="128" t="s">
        <v>1226</v>
      </c>
      <c r="B103" s="128" t="s">
        <v>1190</v>
      </c>
      <c r="C103" s="128" t="s">
        <v>1188</v>
      </c>
      <c r="D103" s="128" t="s">
        <v>1187</v>
      </c>
      <c r="E103" s="127">
        <f>F103</f>
        <v>0</v>
      </c>
      <c r="F103" s="134"/>
      <c r="G103" s="134"/>
      <c r="H103" s="134"/>
      <c r="I103" s="134"/>
      <c r="J103" s="127">
        <f>L103+O103</f>
        <v>0</v>
      </c>
      <c r="K103" s="134">
        <v>0</v>
      </c>
      <c r="L103" s="134"/>
      <c r="M103" s="134"/>
      <c r="N103" s="134"/>
      <c r="O103" s="132">
        <f>K103</f>
        <v>0</v>
      </c>
      <c r="P103" s="127">
        <f>E103+J103</f>
        <v>0</v>
      </c>
      <c r="Q103" s="30"/>
      <c r="R103" s="26"/>
    </row>
    <row r="104" spans="1:18" s="33" customFormat="1" ht="47.25" hidden="1" customHeight="1" thickTop="1" thickBot="1" x14ac:dyDescent="0.25">
      <c r="A104" s="146" t="s">
        <v>1028</v>
      </c>
      <c r="B104" s="146" t="s">
        <v>702</v>
      </c>
      <c r="C104" s="146"/>
      <c r="D104" s="146" t="s">
        <v>703</v>
      </c>
      <c r="E104" s="42">
        <f>E105</f>
        <v>0</v>
      </c>
      <c r="F104" s="42">
        <f t="shared" ref="F104:P105" si="7">F105</f>
        <v>0</v>
      </c>
      <c r="G104" s="42">
        <f t="shared" si="7"/>
        <v>0</v>
      </c>
      <c r="H104" s="42">
        <f t="shared" si="7"/>
        <v>0</v>
      </c>
      <c r="I104" s="42">
        <f t="shared" si="7"/>
        <v>0</v>
      </c>
      <c r="J104" s="42">
        <f t="shared" si="7"/>
        <v>0</v>
      </c>
      <c r="K104" s="42">
        <f t="shared" si="7"/>
        <v>0</v>
      </c>
      <c r="L104" s="42">
        <f t="shared" si="7"/>
        <v>0</v>
      </c>
      <c r="M104" s="42">
        <f t="shared" si="7"/>
        <v>0</v>
      </c>
      <c r="N104" s="42">
        <f t="shared" si="7"/>
        <v>0</v>
      </c>
      <c r="O104" s="42">
        <f t="shared" si="7"/>
        <v>0</v>
      </c>
      <c r="P104" s="42">
        <f t="shared" si="7"/>
        <v>0</v>
      </c>
      <c r="Q104" s="36"/>
      <c r="R104" s="26"/>
    </row>
    <row r="105" spans="1:18" s="33" customFormat="1" ht="91.5" hidden="1" thickTop="1" thickBot="1" x14ac:dyDescent="0.25">
      <c r="A105" s="147" t="s">
        <v>1029</v>
      </c>
      <c r="B105" s="147" t="s">
        <v>705</v>
      </c>
      <c r="C105" s="147"/>
      <c r="D105" s="147" t="s">
        <v>706</v>
      </c>
      <c r="E105" s="148">
        <f>E106</f>
        <v>0</v>
      </c>
      <c r="F105" s="148">
        <f t="shared" si="7"/>
        <v>0</v>
      </c>
      <c r="G105" s="148">
        <f t="shared" si="7"/>
        <v>0</v>
      </c>
      <c r="H105" s="148">
        <f t="shared" si="7"/>
        <v>0</v>
      </c>
      <c r="I105" s="148">
        <f t="shared" si="7"/>
        <v>0</v>
      </c>
      <c r="J105" s="148">
        <f t="shared" si="7"/>
        <v>0</v>
      </c>
      <c r="K105" s="148">
        <f t="shared" si="7"/>
        <v>0</v>
      </c>
      <c r="L105" s="148">
        <f t="shared" si="7"/>
        <v>0</v>
      </c>
      <c r="M105" s="148">
        <f t="shared" si="7"/>
        <v>0</v>
      </c>
      <c r="N105" s="148">
        <f t="shared" si="7"/>
        <v>0</v>
      </c>
      <c r="O105" s="148">
        <f t="shared" si="7"/>
        <v>0</v>
      </c>
      <c r="P105" s="148">
        <f t="shared" si="7"/>
        <v>0</v>
      </c>
      <c r="Q105" s="36"/>
      <c r="R105" s="26"/>
    </row>
    <row r="106" spans="1:18" s="33" customFormat="1" ht="48" hidden="1" thickTop="1" thickBot="1" x14ac:dyDescent="0.25">
      <c r="A106" s="41" t="s">
        <v>1030</v>
      </c>
      <c r="B106" s="41" t="s">
        <v>363</v>
      </c>
      <c r="C106" s="41" t="s">
        <v>43</v>
      </c>
      <c r="D106" s="41" t="s">
        <v>364</v>
      </c>
      <c r="E106" s="42">
        <f t="shared" ref="E106" si="8">F106</f>
        <v>0</v>
      </c>
      <c r="F106" s="43"/>
      <c r="G106" s="43"/>
      <c r="H106" s="43"/>
      <c r="I106" s="43"/>
      <c r="J106" s="42">
        <f>L106+O106</f>
        <v>0</v>
      </c>
      <c r="K106" s="43"/>
      <c r="L106" s="43"/>
      <c r="M106" s="43"/>
      <c r="N106" s="43"/>
      <c r="O106" s="44">
        <f>K106</f>
        <v>0</v>
      </c>
      <c r="P106" s="42">
        <f>E106+J106</f>
        <v>0</v>
      </c>
      <c r="Q106" s="36"/>
      <c r="R106" s="26"/>
    </row>
    <row r="107" spans="1:18" ht="120" customHeight="1" thickTop="1" thickBot="1" x14ac:dyDescent="0.25">
      <c r="A107" s="661" t="s">
        <v>154</v>
      </c>
      <c r="B107" s="661"/>
      <c r="C107" s="661"/>
      <c r="D107" s="662" t="s">
        <v>18</v>
      </c>
      <c r="E107" s="663">
        <f>E108</f>
        <v>1501000</v>
      </c>
      <c r="F107" s="664">
        <f t="shared" ref="F107:G107" si="9">F108</f>
        <v>1501000</v>
      </c>
      <c r="G107" s="664">
        <f t="shared" si="9"/>
        <v>0</v>
      </c>
      <c r="H107" s="664">
        <f>H108</f>
        <v>0</v>
      </c>
      <c r="I107" s="664">
        <f t="shared" ref="I107" si="10">I108</f>
        <v>0</v>
      </c>
      <c r="J107" s="663">
        <f>J108</f>
        <v>12798070</v>
      </c>
      <c r="K107" s="664">
        <f>K108</f>
        <v>12798070</v>
      </c>
      <c r="L107" s="664">
        <f>L108</f>
        <v>0</v>
      </c>
      <c r="M107" s="664">
        <f t="shared" ref="M107" si="11">M108</f>
        <v>0</v>
      </c>
      <c r="N107" s="664">
        <f>N108</f>
        <v>0</v>
      </c>
      <c r="O107" s="663">
        <f>O108</f>
        <v>12798070</v>
      </c>
      <c r="P107" s="664">
        <f>P108</f>
        <v>14299070</v>
      </c>
      <c r="Q107" s="20"/>
    </row>
    <row r="108" spans="1:18" ht="120" customHeight="1" thickTop="1" thickBot="1" x14ac:dyDescent="0.25">
      <c r="A108" s="658" t="s">
        <v>155</v>
      </c>
      <c r="B108" s="658"/>
      <c r="C108" s="658"/>
      <c r="D108" s="659" t="s">
        <v>36</v>
      </c>
      <c r="E108" s="660">
        <f>E109+E112+E129+E127</f>
        <v>1501000</v>
      </c>
      <c r="F108" s="660">
        <f t="shared" ref="F108:P108" si="12">F109+F112+F129+F127</f>
        <v>1501000</v>
      </c>
      <c r="G108" s="660">
        <f t="shared" si="12"/>
        <v>0</v>
      </c>
      <c r="H108" s="660">
        <f t="shared" si="12"/>
        <v>0</v>
      </c>
      <c r="I108" s="660">
        <f t="shared" si="12"/>
        <v>0</v>
      </c>
      <c r="J108" s="660">
        <f t="shared" si="12"/>
        <v>12798070</v>
      </c>
      <c r="K108" s="660">
        <f t="shared" si="12"/>
        <v>12798070</v>
      </c>
      <c r="L108" s="660">
        <f t="shared" si="12"/>
        <v>0</v>
      </c>
      <c r="M108" s="660">
        <f t="shared" si="12"/>
        <v>0</v>
      </c>
      <c r="N108" s="660">
        <f t="shared" si="12"/>
        <v>0</v>
      </c>
      <c r="O108" s="660">
        <f t="shared" si="12"/>
        <v>12798070</v>
      </c>
      <c r="P108" s="660">
        <f t="shared" si="12"/>
        <v>14299070</v>
      </c>
      <c r="Q108" s="565" t="b">
        <f>P108=P110+P113+P114+P115+P116+P119+P123+P124+P128+P132+P126+P136</f>
        <v>1</v>
      </c>
      <c r="R108" s="26"/>
    </row>
    <row r="109" spans="1:18" ht="47.25" thickTop="1" thickBot="1" x14ac:dyDescent="0.25">
      <c r="A109" s="311" t="s">
        <v>713</v>
      </c>
      <c r="B109" s="311" t="s">
        <v>684</v>
      </c>
      <c r="C109" s="311"/>
      <c r="D109" s="311" t="s">
        <v>685</v>
      </c>
      <c r="E109" s="328">
        <f>'d3'!E109-d3М!E106</f>
        <v>0</v>
      </c>
      <c r="F109" s="328">
        <f>'d3'!F109-d3М!F106</f>
        <v>0</v>
      </c>
      <c r="G109" s="328">
        <f>'d3'!G109-d3М!G106</f>
        <v>0</v>
      </c>
      <c r="H109" s="328">
        <f>'d3'!H109-d3М!H106</f>
        <v>0</v>
      </c>
      <c r="I109" s="328">
        <f>'d3'!I109-d3М!I106</f>
        <v>0</v>
      </c>
      <c r="J109" s="328">
        <f>'d3'!J109-d3М!J106</f>
        <v>0</v>
      </c>
      <c r="K109" s="328">
        <f>'d3'!K109-d3М!K106</f>
        <v>0</v>
      </c>
      <c r="L109" s="328">
        <f>'d3'!L109-d3М!L106</f>
        <v>0</v>
      </c>
      <c r="M109" s="328">
        <f>'d3'!M109-d3М!M106</f>
        <v>0</v>
      </c>
      <c r="N109" s="328">
        <f>'d3'!N109-d3М!N106</f>
        <v>0</v>
      </c>
      <c r="O109" s="328">
        <f>'d3'!O109-d3М!O106</f>
        <v>0</v>
      </c>
      <c r="P109" s="328">
        <f>'d3'!P109-d3М!P106</f>
        <v>0</v>
      </c>
      <c r="Q109" s="30"/>
      <c r="R109" s="26"/>
    </row>
    <row r="110" spans="1:18" ht="93" thickTop="1" thickBot="1" x14ac:dyDescent="0.25">
      <c r="A110" s="103" t="s">
        <v>416</v>
      </c>
      <c r="B110" s="103" t="s">
        <v>236</v>
      </c>
      <c r="C110" s="103" t="s">
        <v>234</v>
      </c>
      <c r="D110" s="103" t="s">
        <v>235</v>
      </c>
      <c r="E110" s="328">
        <f>'d3'!E110-d3М!E107</f>
        <v>0</v>
      </c>
      <c r="F110" s="328">
        <f>'d3'!F110-d3М!F107</f>
        <v>0</v>
      </c>
      <c r="G110" s="328">
        <f>'d3'!G110-d3М!G107</f>
        <v>0</v>
      </c>
      <c r="H110" s="328">
        <f>'d3'!H110-d3М!H107</f>
        <v>0</v>
      </c>
      <c r="I110" s="328">
        <f>'d3'!I110-d3М!I107</f>
        <v>0</v>
      </c>
      <c r="J110" s="328">
        <f>'d3'!J110-d3М!J107</f>
        <v>0</v>
      </c>
      <c r="K110" s="328">
        <f>'d3'!K110-d3М!K107</f>
        <v>0</v>
      </c>
      <c r="L110" s="328">
        <f>'d3'!L110-d3М!L107</f>
        <v>0</v>
      </c>
      <c r="M110" s="328">
        <f>'d3'!M110-d3М!M107</f>
        <v>0</v>
      </c>
      <c r="N110" s="328">
        <f>'d3'!N110-d3М!N107</f>
        <v>0</v>
      </c>
      <c r="O110" s="328">
        <f>'d3'!O110-d3М!O107</f>
        <v>0</v>
      </c>
      <c r="P110" s="328">
        <f>'d3'!P110-d3М!P107</f>
        <v>0</v>
      </c>
      <c r="Q110" s="39"/>
      <c r="R110" s="26"/>
    </row>
    <row r="111" spans="1:18" ht="93" hidden="1" thickTop="1" thickBot="1" x14ac:dyDescent="0.25">
      <c r="A111" s="128" t="s">
        <v>1257</v>
      </c>
      <c r="B111" s="128" t="s">
        <v>362</v>
      </c>
      <c r="C111" s="128" t="s">
        <v>625</v>
      </c>
      <c r="D111" s="128" t="s">
        <v>626</v>
      </c>
      <c r="E111" s="328">
        <f>'d3'!E111-d3М!E108</f>
        <v>0</v>
      </c>
      <c r="F111" s="328">
        <f>'d3'!F111-d3М!F108</f>
        <v>0</v>
      </c>
      <c r="G111" s="328">
        <f>'d3'!G111-d3М!G108</f>
        <v>0</v>
      </c>
      <c r="H111" s="328">
        <f>'d3'!H111-d3М!H108</f>
        <v>0</v>
      </c>
      <c r="I111" s="328">
        <f>'d3'!I111-d3М!I108</f>
        <v>0</v>
      </c>
      <c r="J111" s="328">
        <f>'d3'!J111-d3М!J108</f>
        <v>0</v>
      </c>
      <c r="K111" s="328">
        <f>'d3'!K111-d3М!K108</f>
        <v>0</v>
      </c>
      <c r="L111" s="328">
        <f>'d3'!L111-d3М!L108</f>
        <v>0</v>
      </c>
      <c r="M111" s="328">
        <f>'d3'!M111-d3М!M108</f>
        <v>0</v>
      </c>
      <c r="N111" s="328">
        <f>'d3'!N111-d3М!N108</f>
        <v>0</v>
      </c>
      <c r="O111" s="328">
        <f>'d3'!O111-d3М!O108</f>
        <v>0</v>
      </c>
      <c r="P111" s="328">
        <f>'d3'!P111-d3М!P108</f>
        <v>0</v>
      </c>
      <c r="Q111" s="39"/>
      <c r="R111" s="26"/>
    </row>
    <row r="112" spans="1:18" ht="47.25" thickTop="1" thickBot="1" x14ac:dyDescent="0.25">
      <c r="A112" s="311" t="s">
        <v>714</v>
      </c>
      <c r="B112" s="311" t="s">
        <v>715</v>
      </c>
      <c r="C112" s="311"/>
      <c r="D112" s="311" t="s">
        <v>716</v>
      </c>
      <c r="E112" s="328">
        <f>'d3'!E112-d3М!E109</f>
        <v>1501000</v>
      </c>
      <c r="F112" s="328">
        <f>'d3'!F112-d3М!F109</f>
        <v>1501000</v>
      </c>
      <c r="G112" s="328">
        <f>'d3'!G112-d3М!G109</f>
        <v>0</v>
      </c>
      <c r="H112" s="328">
        <f>'d3'!H112-d3М!H109</f>
        <v>0</v>
      </c>
      <c r="I112" s="328">
        <f>'d3'!I112-d3М!I109</f>
        <v>0</v>
      </c>
      <c r="J112" s="328">
        <f>'d3'!J112-d3М!J109</f>
        <v>10798070</v>
      </c>
      <c r="K112" s="328">
        <f>'d3'!K112-d3М!K109</f>
        <v>10798070</v>
      </c>
      <c r="L112" s="328">
        <f>'d3'!L112-d3М!L109</f>
        <v>0</v>
      </c>
      <c r="M112" s="328">
        <f>'d3'!M112-d3М!M109</f>
        <v>0</v>
      </c>
      <c r="N112" s="328">
        <f>'d3'!N112-d3М!N109</f>
        <v>0</v>
      </c>
      <c r="O112" s="328">
        <f>'d3'!O112-d3М!O109</f>
        <v>10798070</v>
      </c>
      <c r="P112" s="328">
        <f>'d3'!P112-d3М!P109</f>
        <v>12299070</v>
      </c>
      <c r="Q112" s="39"/>
      <c r="R112" s="39"/>
    </row>
    <row r="113" spans="1:18" ht="47.25" thickTop="1" thickBot="1" x14ac:dyDescent="0.25">
      <c r="A113" s="103" t="s">
        <v>214</v>
      </c>
      <c r="B113" s="103" t="s">
        <v>211</v>
      </c>
      <c r="C113" s="103" t="s">
        <v>215</v>
      </c>
      <c r="D113" s="103" t="s">
        <v>19</v>
      </c>
      <c r="E113" s="328">
        <f>'d3'!E113-d3М!E110</f>
        <v>625000</v>
      </c>
      <c r="F113" s="328">
        <f>'d3'!F113-d3М!F110</f>
        <v>625000</v>
      </c>
      <c r="G113" s="328">
        <f>'d3'!G113-d3М!G110</f>
        <v>0</v>
      </c>
      <c r="H113" s="328">
        <f>'d3'!H113-d3М!H110</f>
        <v>0</v>
      </c>
      <c r="I113" s="328">
        <f>'d3'!I113-d3М!I110</f>
        <v>0</v>
      </c>
      <c r="J113" s="328">
        <f>'d3'!J113-d3М!J110</f>
        <v>1000000</v>
      </c>
      <c r="K113" s="328">
        <f>'d3'!K113-d3М!K110</f>
        <v>1000000</v>
      </c>
      <c r="L113" s="328">
        <f>'d3'!L113-d3М!L110</f>
        <v>0</v>
      </c>
      <c r="M113" s="328">
        <f>'d3'!M113-d3М!M110</f>
        <v>0</v>
      </c>
      <c r="N113" s="328">
        <f>'d3'!N113-d3М!N110</f>
        <v>0</v>
      </c>
      <c r="O113" s="328">
        <f>'d3'!O113-d3М!O110</f>
        <v>1000000</v>
      </c>
      <c r="P113" s="328">
        <f>'d3'!P113-d3М!P110</f>
        <v>1625000</v>
      </c>
      <c r="Q113" s="20"/>
      <c r="R113" s="30"/>
    </row>
    <row r="114" spans="1:18" ht="47.25" thickTop="1" thickBot="1" x14ac:dyDescent="0.25">
      <c r="A114" s="103" t="s">
        <v>505</v>
      </c>
      <c r="B114" s="103" t="s">
        <v>508</v>
      </c>
      <c r="C114" s="103" t="s">
        <v>507</v>
      </c>
      <c r="D114" s="103" t="s">
        <v>506</v>
      </c>
      <c r="E114" s="328">
        <f>'d3'!E114-d3М!E111</f>
        <v>876000</v>
      </c>
      <c r="F114" s="328">
        <f>'d3'!F114-d3М!F111</f>
        <v>876000</v>
      </c>
      <c r="G114" s="328">
        <f>'d3'!G114-d3М!G111</f>
        <v>0</v>
      </c>
      <c r="H114" s="328">
        <f>'d3'!H114-d3М!H111</f>
        <v>0</v>
      </c>
      <c r="I114" s="328">
        <f>'d3'!I114-d3М!I111</f>
        <v>0</v>
      </c>
      <c r="J114" s="328">
        <f>'d3'!J114-d3М!J111</f>
        <v>0</v>
      </c>
      <c r="K114" s="328">
        <f>'d3'!K114-d3М!K111</f>
        <v>0</v>
      </c>
      <c r="L114" s="328">
        <f>'d3'!L114-d3М!L111</f>
        <v>0</v>
      </c>
      <c r="M114" s="328">
        <f>'d3'!M114-d3М!M111</f>
        <v>0</v>
      </c>
      <c r="N114" s="328">
        <f>'d3'!N114-d3М!N111</f>
        <v>0</v>
      </c>
      <c r="O114" s="328">
        <f>'d3'!O114-d3М!O111</f>
        <v>0</v>
      </c>
      <c r="P114" s="328">
        <f>'d3'!P114-d3М!P111</f>
        <v>876000</v>
      </c>
      <c r="Q114" s="20"/>
      <c r="R114" s="39"/>
    </row>
    <row r="115" spans="1:18" ht="47.25" thickTop="1" thickBot="1" x14ac:dyDescent="0.25">
      <c r="A115" s="103" t="s">
        <v>216</v>
      </c>
      <c r="B115" s="103" t="s">
        <v>217</v>
      </c>
      <c r="C115" s="103" t="s">
        <v>218</v>
      </c>
      <c r="D115" s="103" t="s">
        <v>219</v>
      </c>
      <c r="E115" s="328">
        <f>'d3'!E115-d3М!E112</f>
        <v>0</v>
      </c>
      <c r="F115" s="328">
        <f>'d3'!F115-d3М!F112</f>
        <v>0</v>
      </c>
      <c r="G115" s="328">
        <f>'d3'!G115-d3М!G112</f>
        <v>0</v>
      </c>
      <c r="H115" s="328">
        <f>'d3'!H115-d3М!H112</f>
        <v>0</v>
      </c>
      <c r="I115" s="328">
        <f>'d3'!I115-d3М!I112</f>
        <v>0</v>
      </c>
      <c r="J115" s="328">
        <f>'d3'!J115-d3М!J112</f>
        <v>6804070</v>
      </c>
      <c r="K115" s="328">
        <f>'d3'!K115-d3М!K112</f>
        <v>6804070</v>
      </c>
      <c r="L115" s="328">
        <f>'d3'!L115-d3М!L112</f>
        <v>0</v>
      </c>
      <c r="M115" s="328">
        <f>'d3'!M115-d3М!M112</f>
        <v>0</v>
      </c>
      <c r="N115" s="328">
        <f>'d3'!N115-d3М!N112</f>
        <v>0</v>
      </c>
      <c r="O115" s="328">
        <f>'d3'!O115-d3М!O112</f>
        <v>6804070</v>
      </c>
      <c r="P115" s="328">
        <f>'d3'!P115-d3М!P112</f>
        <v>6804070</v>
      </c>
      <c r="Q115" s="20"/>
      <c r="R115" s="39"/>
    </row>
    <row r="116" spans="1:18" ht="93" thickTop="1" thickBot="1" x14ac:dyDescent="0.25">
      <c r="A116" s="103" t="s">
        <v>220</v>
      </c>
      <c r="B116" s="103" t="s">
        <v>221</v>
      </c>
      <c r="C116" s="103" t="s">
        <v>222</v>
      </c>
      <c r="D116" s="103" t="s">
        <v>345</v>
      </c>
      <c r="E116" s="328">
        <f>'d3'!E116-d3М!E113</f>
        <v>0</v>
      </c>
      <c r="F116" s="328">
        <f>'d3'!F116-d3М!F113</f>
        <v>0</v>
      </c>
      <c r="G116" s="328">
        <f>'d3'!G116-d3М!G113</f>
        <v>0</v>
      </c>
      <c r="H116" s="328">
        <f>'d3'!H116-d3М!H113</f>
        <v>0</v>
      </c>
      <c r="I116" s="328">
        <f>'d3'!I116-d3М!I113</f>
        <v>0</v>
      </c>
      <c r="J116" s="328">
        <f>'d3'!J116-d3М!J113</f>
        <v>0</v>
      </c>
      <c r="K116" s="328">
        <f>'d3'!K116-d3М!K113</f>
        <v>0</v>
      </c>
      <c r="L116" s="328">
        <f>'d3'!L116-d3М!L113</f>
        <v>0</v>
      </c>
      <c r="M116" s="328">
        <f>'d3'!M116-d3М!M113</f>
        <v>0</v>
      </c>
      <c r="N116" s="328">
        <f>'d3'!N116-d3М!N113</f>
        <v>0</v>
      </c>
      <c r="O116" s="328">
        <f>'d3'!O116-d3М!O113</f>
        <v>0</v>
      </c>
      <c r="P116" s="328">
        <f>'d3'!P116-d3М!P113</f>
        <v>0</v>
      </c>
      <c r="Q116" s="20"/>
      <c r="R116" s="39"/>
    </row>
    <row r="117" spans="1:18" ht="47.25" hidden="1" thickTop="1" thickBot="1" x14ac:dyDescent="0.25">
      <c r="A117" s="128" t="s">
        <v>223</v>
      </c>
      <c r="B117" s="128" t="s">
        <v>224</v>
      </c>
      <c r="C117" s="128" t="s">
        <v>225</v>
      </c>
      <c r="D117" s="128" t="s">
        <v>226</v>
      </c>
      <c r="E117" s="328">
        <f>'d3'!E117-d3М!E114</f>
        <v>0</v>
      </c>
      <c r="F117" s="328">
        <f>'d3'!F117-d3М!F114</f>
        <v>0</v>
      </c>
      <c r="G117" s="328">
        <f>'d3'!G117-d3М!G114</f>
        <v>0</v>
      </c>
      <c r="H117" s="328">
        <f>'d3'!H117-d3М!H114</f>
        <v>0</v>
      </c>
      <c r="I117" s="328">
        <f>'d3'!I117-d3М!I114</f>
        <v>0</v>
      </c>
      <c r="J117" s="328">
        <f>'d3'!J117-d3М!J114</f>
        <v>0</v>
      </c>
      <c r="K117" s="328">
        <f>'d3'!K117-d3М!K114</f>
        <v>0</v>
      </c>
      <c r="L117" s="328">
        <f>'d3'!L117-d3М!L114</f>
        <v>0</v>
      </c>
      <c r="M117" s="328">
        <f>'d3'!M117-d3М!M114</f>
        <v>0</v>
      </c>
      <c r="N117" s="328">
        <f>'d3'!N117-d3М!N114</f>
        <v>0</v>
      </c>
      <c r="O117" s="328">
        <f>'d3'!O117-d3М!O114</f>
        <v>0</v>
      </c>
      <c r="P117" s="328">
        <f>'d3'!P117-d3М!P114</f>
        <v>0</v>
      </c>
      <c r="Q117" s="20"/>
      <c r="R117" s="39"/>
    </row>
    <row r="118" spans="1:18" ht="47.25" thickTop="1" thickBot="1" x14ac:dyDescent="0.25">
      <c r="A118" s="329" t="s">
        <v>717</v>
      </c>
      <c r="B118" s="329" t="s">
        <v>718</v>
      </c>
      <c r="C118" s="329"/>
      <c r="D118" s="329" t="s">
        <v>719</v>
      </c>
      <c r="E118" s="328">
        <f>'d3'!E118-d3М!E115</f>
        <v>0</v>
      </c>
      <c r="F118" s="328">
        <f>'d3'!F118-d3М!F115</f>
        <v>0</v>
      </c>
      <c r="G118" s="328">
        <f>'d3'!G118-d3М!G115</f>
        <v>0</v>
      </c>
      <c r="H118" s="328">
        <f>'d3'!H118-d3М!H115</f>
        <v>0</v>
      </c>
      <c r="I118" s="328">
        <f>'d3'!I118-d3М!I115</f>
        <v>0</v>
      </c>
      <c r="J118" s="328">
        <f>'d3'!J118-d3М!J115</f>
        <v>0</v>
      </c>
      <c r="K118" s="328">
        <f>'d3'!K118-d3М!K115</f>
        <v>0</v>
      </c>
      <c r="L118" s="328">
        <f>'d3'!L118-d3М!L115</f>
        <v>0</v>
      </c>
      <c r="M118" s="328">
        <f>'d3'!M118-d3М!M115</f>
        <v>0</v>
      </c>
      <c r="N118" s="328">
        <f>'d3'!N118-d3М!N115</f>
        <v>0</v>
      </c>
      <c r="O118" s="328">
        <f>'d3'!O118-d3М!O115</f>
        <v>0</v>
      </c>
      <c r="P118" s="328">
        <f>'d3'!P118-d3М!P115</f>
        <v>0</v>
      </c>
      <c r="Q118" s="20"/>
      <c r="R118" s="39"/>
    </row>
    <row r="119" spans="1:18" ht="93" thickTop="1" thickBot="1" x14ac:dyDescent="0.25">
      <c r="A119" s="103" t="s">
        <v>227</v>
      </c>
      <c r="B119" s="103" t="s">
        <v>228</v>
      </c>
      <c r="C119" s="103" t="s">
        <v>346</v>
      </c>
      <c r="D119" s="103" t="s">
        <v>229</v>
      </c>
      <c r="E119" s="328">
        <f>'d3'!E119-d3М!E116</f>
        <v>0</v>
      </c>
      <c r="F119" s="328">
        <f>'d3'!F119-d3М!F116</f>
        <v>0</v>
      </c>
      <c r="G119" s="328">
        <f>'d3'!G119-d3М!G116</f>
        <v>0</v>
      </c>
      <c r="H119" s="328">
        <f>'d3'!H119-d3М!H116</f>
        <v>0</v>
      </c>
      <c r="I119" s="328">
        <f>'d3'!I119-d3М!I116</f>
        <v>0</v>
      </c>
      <c r="J119" s="328">
        <f>'d3'!J119-d3М!J116</f>
        <v>0</v>
      </c>
      <c r="K119" s="328">
        <f>'d3'!K119-d3М!K116</f>
        <v>0</v>
      </c>
      <c r="L119" s="328">
        <f>'d3'!L119-d3М!L116</f>
        <v>0</v>
      </c>
      <c r="M119" s="328">
        <f>'d3'!M119-d3М!M116</f>
        <v>0</v>
      </c>
      <c r="N119" s="328">
        <f>'d3'!N119-d3М!N116</f>
        <v>0</v>
      </c>
      <c r="O119" s="328">
        <f>'d3'!O119-d3М!O116</f>
        <v>0</v>
      </c>
      <c r="P119" s="328">
        <f>'d3'!P119-d3М!P116</f>
        <v>0</v>
      </c>
      <c r="Q119" s="20"/>
      <c r="R119" s="39"/>
    </row>
    <row r="120" spans="1:18" ht="47.25" hidden="1" thickTop="1" thickBot="1" x14ac:dyDescent="0.25">
      <c r="A120" s="140" t="s">
        <v>720</v>
      </c>
      <c r="B120" s="140" t="s">
        <v>721</v>
      </c>
      <c r="C120" s="140"/>
      <c r="D120" s="140" t="s">
        <v>722</v>
      </c>
      <c r="E120" s="328">
        <f>'d3'!E120-d3М!E117</f>
        <v>0</v>
      </c>
      <c r="F120" s="328">
        <f>'d3'!F120-d3М!F117</f>
        <v>0</v>
      </c>
      <c r="G120" s="328">
        <f>'d3'!G120-d3М!G117</f>
        <v>0</v>
      </c>
      <c r="H120" s="328">
        <f>'d3'!H120-d3М!H117</f>
        <v>0</v>
      </c>
      <c r="I120" s="328">
        <f>'d3'!I120-d3М!I117</f>
        <v>0</v>
      </c>
      <c r="J120" s="328">
        <f>'d3'!J120-d3М!J117</f>
        <v>0</v>
      </c>
      <c r="K120" s="328">
        <f>'d3'!K120-d3М!K117</f>
        <v>0</v>
      </c>
      <c r="L120" s="328">
        <f>'d3'!L120-d3М!L117</f>
        <v>0</v>
      </c>
      <c r="M120" s="328">
        <f>'d3'!M120-d3М!M117</f>
        <v>0</v>
      </c>
      <c r="N120" s="328">
        <f>'d3'!N120-d3М!N117</f>
        <v>0</v>
      </c>
      <c r="O120" s="328">
        <f>'d3'!O120-d3М!O117</f>
        <v>0</v>
      </c>
      <c r="P120" s="328">
        <f>'d3'!P120-d3М!P117</f>
        <v>0</v>
      </c>
      <c r="Q120" s="20"/>
      <c r="R120" s="39"/>
    </row>
    <row r="121" spans="1:18" ht="47.25" hidden="1" thickTop="1" thickBot="1" x14ac:dyDescent="0.25">
      <c r="A121" s="128" t="s">
        <v>475</v>
      </c>
      <c r="B121" s="128" t="s">
        <v>476</v>
      </c>
      <c r="C121" s="128" t="s">
        <v>230</v>
      </c>
      <c r="D121" s="128" t="s">
        <v>477</v>
      </c>
      <c r="E121" s="328">
        <f>'d3'!E121-d3М!E118</f>
        <v>0</v>
      </c>
      <c r="F121" s="328">
        <f>'d3'!F121-d3М!F118</f>
        <v>0</v>
      </c>
      <c r="G121" s="328">
        <f>'d3'!G121-d3М!G118</f>
        <v>0</v>
      </c>
      <c r="H121" s="328">
        <f>'d3'!H121-d3М!H118</f>
        <v>0</v>
      </c>
      <c r="I121" s="328">
        <f>'d3'!I121-d3М!I118</f>
        <v>0</v>
      </c>
      <c r="J121" s="328">
        <f>'d3'!J121-d3М!J118</f>
        <v>0</v>
      </c>
      <c r="K121" s="328">
        <f>'d3'!K121-d3М!K118</f>
        <v>0</v>
      </c>
      <c r="L121" s="328">
        <f>'d3'!L121-d3М!L118</f>
        <v>0</v>
      </c>
      <c r="M121" s="328">
        <f>'d3'!M121-d3М!M118</f>
        <v>0</v>
      </c>
      <c r="N121" s="328">
        <f>'d3'!N121-d3М!N118</f>
        <v>0</v>
      </c>
      <c r="O121" s="328">
        <f>'d3'!O121-d3М!O118</f>
        <v>0</v>
      </c>
      <c r="P121" s="328">
        <f>'d3'!P121-d3М!P118</f>
        <v>0</v>
      </c>
      <c r="Q121" s="20"/>
      <c r="R121" s="39"/>
    </row>
    <row r="122" spans="1:18" ht="47.25" thickTop="1" thickBot="1" x14ac:dyDescent="0.25">
      <c r="A122" s="329" t="s">
        <v>723</v>
      </c>
      <c r="B122" s="329" t="s">
        <v>724</v>
      </c>
      <c r="C122" s="329"/>
      <c r="D122" s="329" t="s">
        <v>725</v>
      </c>
      <c r="E122" s="328">
        <f>'d3'!E122-d3М!E119</f>
        <v>0</v>
      </c>
      <c r="F122" s="328">
        <f>'d3'!F122-d3М!F119</f>
        <v>0</v>
      </c>
      <c r="G122" s="328">
        <f>'d3'!G122-d3М!G119</f>
        <v>0</v>
      </c>
      <c r="H122" s="328">
        <f>'d3'!H122-d3М!H119</f>
        <v>0</v>
      </c>
      <c r="I122" s="328">
        <f>'d3'!I122-d3М!I119</f>
        <v>0</v>
      </c>
      <c r="J122" s="328">
        <f>'d3'!J122-d3М!J119</f>
        <v>0</v>
      </c>
      <c r="K122" s="328">
        <f>'d3'!K122-d3М!K119</f>
        <v>0</v>
      </c>
      <c r="L122" s="328">
        <f>'d3'!L122-d3М!L119</f>
        <v>0</v>
      </c>
      <c r="M122" s="328">
        <f>'d3'!M122-d3М!M119</f>
        <v>0</v>
      </c>
      <c r="N122" s="328">
        <f>'d3'!N122-d3М!N119</f>
        <v>0</v>
      </c>
      <c r="O122" s="328">
        <f>'d3'!O122-d3М!O119</f>
        <v>0</v>
      </c>
      <c r="P122" s="328">
        <f>'d3'!P122-d3М!P119</f>
        <v>0</v>
      </c>
      <c r="Q122" s="20"/>
      <c r="R122" s="39"/>
    </row>
    <row r="123" spans="1:18" s="33" customFormat="1" ht="47.25" thickTop="1" thickBot="1" x14ac:dyDescent="0.25">
      <c r="A123" s="103" t="s">
        <v>321</v>
      </c>
      <c r="B123" s="103" t="s">
        <v>323</v>
      </c>
      <c r="C123" s="103" t="s">
        <v>230</v>
      </c>
      <c r="D123" s="470" t="s">
        <v>319</v>
      </c>
      <c r="E123" s="328">
        <f>'d3'!E123-d3М!E120</f>
        <v>0</v>
      </c>
      <c r="F123" s="328">
        <f>'d3'!F123-d3М!F120</f>
        <v>0</v>
      </c>
      <c r="G123" s="328">
        <f>'d3'!G123-d3М!G120</f>
        <v>0</v>
      </c>
      <c r="H123" s="328">
        <f>'d3'!H123-d3М!H120</f>
        <v>0</v>
      </c>
      <c r="I123" s="328">
        <f>'d3'!I123-d3М!I120</f>
        <v>0</v>
      </c>
      <c r="J123" s="328">
        <f>'d3'!J123-d3М!J120</f>
        <v>0</v>
      </c>
      <c r="K123" s="328">
        <f>'d3'!K123-d3М!K120</f>
        <v>0</v>
      </c>
      <c r="L123" s="328">
        <f>'d3'!L123-d3М!L120</f>
        <v>0</v>
      </c>
      <c r="M123" s="328">
        <f>'d3'!M123-d3М!M120</f>
        <v>0</v>
      </c>
      <c r="N123" s="328">
        <f>'d3'!N123-d3М!N120</f>
        <v>0</v>
      </c>
      <c r="O123" s="328">
        <f>'d3'!O123-d3М!O120</f>
        <v>0</v>
      </c>
      <c r="P123" s="328">
        <f>'d3'!P123-d3М!P120</f>
        <v>0</v>
      </c>
      <c r="Q123" s="36"/>
      <c r="R123" s="26"/>
    </row>
    <row r="124" spans="1:18" s="33" customFormat="1" ht="47.25" thickTop="1" thickBot="1" x14ac:dyDescent="0.25">
      <c r="A124" s="103" t="s">
        <v>322</v>
      </c>
      <c r="B124" s="103" t="s">
        <v>324</v>
      </c>
      <c r="C124" s="103" t="s">
        <v>230</v>
      </c>
      <c r="D124" s="470" t="s">
        <v>320</v>
      </c>
      <c r="E124" s="328">
        <f>'d3'!E124-d3М!E121</f>
        <v>0</v>
      </c>
      <c r="F124" s="328">
        <f>'d3'!F124-d3М!F121</f>
        <v>0</v>
      </c>
      <c r="G124" s="328">
        <f>'d3'!G124-d3М!G121</f>
        <v>0</v>
      </c>
      <c r="H124" s="328">
        <f>'d3'!H124-d3М!H121</f>
        <v>0</v>
      </c>
      <c r="I124" s="328">
        <f>'d3'!I124-d3М!I121</f>
        <v>0</v>
      </c>
      <c r="J124" s="328">
        <f>'d3'!J124-d3М!J121</f>
        <v>0</v>
      </c>
      <c r="K124" s="328">
        <f>'d3'!K124-d3М!K121</f>
        <v>0</v>
      </c>
      <c r="L124" s="328">
        <f>'d3'!L124-d3М!L121</f>
        <v>0</v>
      </c>
      <c r="M124" s="328">
        <f>'d3'!M124-d3М!M121</f>
        <v>0</v>
      </c>
      <c r="N124" s="328">
        <f>'d3'!N124-d3М!N121</f>
        <v>0</v>
      </c>
      <c r="O124" s="328">
        <f>'d3'!O124-d3М!O121</f>
        <v>0</v>
      </c>
      <c r="P124" s="328">
        <f>'d3'!P124-d3М!P121</f>
        <v>0</v>
      </c>
      <c r="Q124" s="36"/>
      <c r="R124" s="39"/>
    </row>
    <row r="125" spans="1:18" s="33" customFormat="1" ht="127.5" customHeight="1" thickTop="1" thickBot="1" x14ac:dyDescent="0.25">
      <c r="A125" s="697" t="s">
        <v>1598</v>
      </c>
      <c r="B125" s="697" t="s">
        <v>1599</v>
      </c>
      <c r="C125" s="697"/>
      <c r="D125" s="697" t="s">
        <v>1597</v>
      </c>
      <c r="E125" s="328">
        <f>'d3'!E125-0</f>
        <v>0</v>
      </c>
      <c r="F125" s="328">
        <f>'d3'!F125-0</f>
        <v>0</v>
      </c>
      <c r="G125" s="328">
        <f>'d3'!G125-0</f>
        <v>0</v>
      </c>
      <c r="H125" s="328">
        <f>'d3'!H125-0</f>
        <v>0</v>
      </c>
      <c r="I125" s="328">
        <f>'d3'!I125-0</f>
        <v>0</v>
      </c>
      <c r="J125" s="328">
        <f>'d3'!J125-0</f>
        <v>2994000</v>
      </c>
      <c r="K125" s="328">
        <f>'d3'!K125-0</f>
        <v>2994000</v>
      </c>
      <c r="L125" s="328">
        <f>'d3'!L125-0</f>
        <v>0</v>
      </c>
      <c r="M125" s="328">
        <f>'d3'!M125-0</f>
        <v>0</v>
      </c>
      <c r="N125" s="328">
        <f>'d3'!N125-0</f>
        <v>0</v>
      </c>
      <c r="O125" s="328">
        <f>'d3'!O125-0</f>
        <v>2994000</v>
      </c>
      <c r="P125" s="328">
        <f>'d3'!P125-0</f>
        <v>2994000</v>
      </c>
      <c r="Q125" s="36"/>
      <c r="R125" s="39"/>
    </row>
    <row r="126" spans="1:18" s="33" customFormat="1" ht="138.75" thickTop="1" thickBot="1" x14ac:dyDescent="0.25">
      <c r="A126" s="695" t="s">
        <v>1601</v>
      </c>
      <c r="B126" s="695" t="s">
        <v>1602</v>
      </c>
      <c r="C126" s="695" t="s">
        <v>230</v>
      </c>
      <c r="D126" s="696" t="s">
        <v>1600</v>
      </c>
      <c r="E126" s="328">
        <f>'d3'!E126-0</f>
        <v>0</v>
      </c>
      <c r="F126" s="328">
        <f>'d3'!F126-0</f>
        <v>0</v>
      </c>
      <c r="G126" s="328">
        <f>'d3'!G126-0</f>
        <v>0</v>
      </c>
      <c r="H126" s="328">
        <f>'d3'!H126-0</f>
        <v>0</v>
      </c>
      <c r="I126" s="328">
        <f>'d3'!I126-0</f>
        <v>0</v>
      </c>
      <c r="J126" s="328">
        <f>'d3'!J126-0</f>
        <v>2994000</v>
      </c>
      <c r="K126" s="328">
        <f>'d3'!K126-0</f>
        <v>2994000</v>
      </c>
      <c r="L126" s="328">
        <f>'d3'!L126-0</f>
        <v>0</v>
      </c>
      <c r="M126" s="328">
        <f>'d3'!M126-0</f>
        <v>0</v>
      </c>
      <c r="N126" s="328">
        <f>'d3'!N126-0</f>
        <v>0</v>
      </c>
      <c r="O126" s="328">
        <f>'d3'!O126-0</f>
        <v>2994000</v>
      </c>
      <c r="P126" s="328">
        <f>'d3'!P126-0</f>
        <v>2994000</v>
      </c>
      <c r="Q126" s="36"/>
      <c r="R126" s="39"/>
    </row>
    <row r="127" spans="1:18" s="33" customFormat="1" ht="47.25" thickTop="1" thickBot="1" x14ac:dyDescent="0.25">
      <c r="A127" s="311" t="s">
        <v>1198</v>
      </c>
      <c r="B127" s="311" t="s">
        <v>711</v>
      </c>
      <c r="C127" s="311"/>
      <c r="D127" s="311" t="s">
        <v>712</v>
      </c>
      <c r="E127" s="328">
        <f>'d3'!E127-d3М!E122</f>
        <v>0</v>
      </c>
      <c r="F127" s="328">
        <f>'d3'!F127-d3М!F122</f>
        <v>0</v>
      </c>
      <c r="G127" s="328">
        <f>'d3'!G127-d3М!G122</f>
        <v>0</v>
      </c>
      <c r="H127" s="328">
        <f>'d3'!H127-d3М!H122</f>
        <v>0</v>
      </c>
      <c r="I127" s="328">
        <f>'d3'!I127-d3М!I122</f>
        <v>0</v>
      </c>
      <c r="J127" s="328">
        <f>'d3'!J127-d3М!J122</f>
        <v>0</v>
      </c>
      <c r="K127" s="328">
        <f>'d3'!K127-d3М!K122</f>
        <v>0</v>
      </c>
      <c r="L127" s="328">
        <f>'d3'!L127-d3М!L122</f>
        <v>0</v>
      </c>
      <c r="M127" s="328">
        <f>'d3'!M127-d3М!M122</f>
        <v>0</v>
      </c>
      <c r="N127" s="328">
        <f>'d3'!N127-d3М!N122</f>
        <v>0</v>
      </c>
      <c r="O127" s="328">
        <f>'d3'!O127-d3М!O122</f>
        <v>0</v>
      </c>
      <c r="P127" s="328">
        <f>'d3'!P127-d3М!P122</f>
        <v>0</v>
      </c>
      <c r="Q127" s="36"/>
      <c r="R127" s="39"/>
    </row>
    <row r="128" spans="1:18" s="33" customFormat="1" ht="93" thickTop="1" thickBot="1" x14ac:dyDescent="0.25">
      <c r="A128" s="103" t="s">
        <v>1199</v>
      </c>
      <c r="B128" s="103" t="s">
        <v>1200</v>
      </c>
      <c r="C128" s="103" t="s">
        <v>206</v>
      </c>
      <c r="D128" s="470" t="s">
        <v>1201</v>
      </c>
      <c r="E128" s="328">
        <f>'d3'!E128-d3М!E123</f>
        <v>0</v>
      </c>
      <c r="F128" s="328">
        <f>'d3'!F128-d3М!F123</f>
        <v>0</v>
      </c>
      <c r="G128" s="328">
        <f>'d3'!G128-d3М!G123</f>
        <v>0</v>
      </c>
      <c r="H128" s="328">
        <f>'d3'!H128-d3М!H123</f>
        <v>0</v>
      </c>
      <c r="I128" s="328">
        <f>'d3'!I128-d3М!I123</f>
        <v>0</v>
      </c>
      <c r="J128" s="328">
        <f>'d3'!J128-d3М!J123</f>
        <v>0</v>
      </c>
      <c r="K128" s="328">
        <f>'d3'!K128-d3М!K123</f>
        <v>0</v>
      </c>
      <c r="L128" s="328">
        <f>'d3'!L128-d3М!L123</f>
        <v>0</v>
      </c>
      <c r="M128" s="328">
        <f>'d3'!M128-d3М!M123</f>
        <v>0</v>
      </c>
      <c r="N128" s="328">
        <f>'d3'!N128-d3М!N123</f>
        <v>0</v>
      </c>
      <c r="O128" s="328">
        <f>'d3'!O128-d3М!O123</f>
        <v>0</v>
      </c>
      <c r="P128" s="328">
        <f>'d3'!P128-d3М!P123</f>
        <v>0</v>
      </c>
      <c r="Q128" s="36"/>
      <c r="R128" s="39"/>
    </row>
    <row r="129" spans="1:20" s="33" customFormat="1" ht="47.25" thickTop="1" thickBot="1" x14ac:dyDescent="0.25">
      <c r="A129" s="311" t="s">
        <v>750</v>
      </c>
      <c r="B129" s="311" t="s">
        <v>748</v>
      </c>
      <c r="C129" s="311"/>
      <c r="D129" s="311" t="s">
        <v>749</v>
      </c>
      <c r="E129" s="328">
        <f>'d3'!E129-d3М!E124</f>
        <v>0</v>
      </c>
      <c r="F129" s="328">
        <f>'d3'!F129-d3М!F124</f>
        <v>0</v>
      </c>
      <c r="G129" s="328">
        <f>'d3'!G129-d3М!G124</f>
        <v>0</v>
      </c>
      <c r="H129" s="328">
        <f>'d3'!H129-d3М!H124</f>
        <v>0</v>
      </c>
      <c r="I129" s="328">
        <f>'d3'!I129-d3М!I124</f>
        <v>0</v>
      </c>
      <c r="J129" s="328">
        <f>'d3'!J129-d3М!J124</f>
        <v>2000000</v>
      </c>
      <c r="K129" s="328">
        <f>'d3'!K129-d3М!K124</f>
        <v>2000000</v>
      </c>
      <c r="L129" s="328">
        <f>'d3'!L129-d3М!L124</f>
        <v>0</v>
      </c>
      <c r="M129" s="328">
        <f>'d3'!M129-d3М!M124</f>
        <v>0</v>
      </c>
      <c r="N129" s="328">
        <f>'d3'!N129-d3М!N124</f>
        <v>0</v>
      </c>
      <c r="O129" s="328">
        <f>'d3'!O129-d3М!O124</f>
        <v>2000000</v>
      </c>
      <c r="P129" s="328">
        <f>'d3'!P129-d3М!P124</f>
        <v>2000000</v>
      </c>
      <c r="Q129" s="36"/>
      <c r="R129" s="39"/>
    </row>
    <row r="130" spans="1:20" s="33" customFormat="1" ht="47.25" thickTop="1" thickBot="1" x14ac:dyDescent="0.25">
      <c r="A130" s="313" t="s">
        <v>1053</v>
      </c>
      <c r="B130" s="313" t="s">
        <v>803</v>
      </c>
      <c r="C130" s="313"/>
      <c r="D130" s="313" t="s">
        <v>804</v>
      </c>
      <c r="E130" s="328">
        <f>'d3'!E130-d3М!E125</f>
        <v>0</v>
      </c>
      <c r="F130" s="328">
        <f>'d3'!F130-d3М!F125</f>
        <v>0</v>
      </c>
      <c r="G130" s="328">
        <f>'d3'!G130-d3М!G125</f>
        <v>0</v>
      </c>
      <c r="H130" s="328">
        <f>'d3'!H130-d3М!H125</f>
        <v>0</v>
      </c>
      <c r="I130" s="328">
        <f>'d3'!I130-d3М!I125</f>
        <v>0</v>
      </c>
      <c r="J130" s="328">
        <f>'d3'!J130-d3М!J125</f>
        <v>0</v>
      </c>
      <c r="K130" s="328">
        <f>'d3'!K130-d3М!K125</f>
        <v>0</v>
      </c>
      <c r="L130" s="328">
        <f>'d3'!L130-d3М!L125</f>
        <v>0</v>
      </c>
      <c r="M130" s="328">
        <f>'d3'!M130-d3М!M125</f>
        <v>0</v>
      </c>
      <c r="N130" s="328">
        <f>'d3'!N130-d3М!N125</f>
        <v>0</v>
      </c>
      <c r="O130" s="328">
        <f>'d3'!O130-d3М!O125</f>
        <v>0</v>
      </c>
      <c r="P130" s="328">
        <f>'d3'!P130-d3М!P125</f>
        <v>0</v>
      </c>
      <c r="Q130" s="36"/>
      <c r="R130" s="39"/>
    </row>
    <row r="131" spans="1:20" s="33" customFormat="1" ht="54.75" thickTop="1" thickBot="1" x14ac:dyDescent="0.25">
      <c r="A131" s="329" t="s">
        <v>1180</v>
      </c>
      <c r="B131" s="329" t="s">
        <v>821</v>
      </c>
      <c r="C131" s="329"/>
      <c r="D131" s="329" t="s">
        <v>1508</v>
      </c>
      <c r="E131" s="328">
        <f>'d3'!E131-d3М!E126</f>
        <v>0</v>
      </c>
      <c r="F131" s="328">
        <f>'d3'!F131-d3М!F126</f>
        <v>0</v>
      </c>
      <c r="G131" s="328">
        <f>'d3'!G131-d3М!G126</f>
        <v>0</v>
      </c>
      <c r="H131" s="328">
        <f>'d3'!H131-d3М!H126</f>
        <v>0</v>
      </c>
      <c r="I131" s="328">
        <f>'d3'!I131-d3М!I126</f>
        <v>0</v>
      </c>
      <c r="J131" s="328">
        <f>'d3'!J131-d3М!J126</f>
        <v>0</v>
      </c>
      <c r="K131" s="328">
        <f>'d3'!K131-d3М!K126</f>
        <v>0</v>
      </c>
      <c r="L131" s="328">
        <f>'d3'!L131-d3М!L126</f>
        <v>0</v>
      </c>
      <c r="M131" s="328">
        <f>'d3'!M131-d3М!M126</f>
        <v>0</v>
      </c>
      <c r="N131" s="328">
        <f>'d3'!N131-d3М!N126</f>
        <v>0</v>
      </c>
      <c r="O131" s="328">
        <f>'d3'!O131-d3М!O126</f>
        <v>0</v>
      </c>
      <c r="P131" s="328">
        <f>'d3'!P131-d3М!P126</f>
        <v>0</v>
      </c>
      <c r="Q131" s="36"/>
      <c r="R131" s="39"/>
    </row>
    <row r="132" spans="1:20" s="33" customFormat="1" ht="54" thickTop="1" thickBot="1" x14ac:dyDescent="0.25">
      <c r="A132" s="103" t="s">
        <v>1179</v>
      </c>
      <c r="B132" s="103" t="s">
        <v>1181</v>
      </c>
      <c r="C132" s="103" t="s">
        <v>304</v>
      </c>
      <c r="D132" s="103" t="s">
        <v>1530</v>
      </c>
      <c r="E132" s="328">
        <f>'d3'!E132-d3М!E127</f>
        <v>0</v>
      </c>
      <c r="F132" s="328">
        <f>'d3'!F132-d3М!F127</f>
        <v>0</v>
      </c>
      <c r="G132" s="328">
        <f>'d3'!G132-d3М!G127</f>
        <v>0</v>
      </c>
      <c r="H132" s="328">
        <f>'d3'!H132-d3М!H127</f>
        <v>0</v>
      </c>
      <c r="I132" s="328">
        <f>'d3'!I132-d3М!I127</f>
        <v>0</v>
      </c>
      <c r="J132" s="328">
        <f>'d3'!J132-d3М!J127</f>
        <v>0</v>
      </c>
      <c r="K132" s="328">
        <f>'d3'!K132-d3М!K127</f>
        <v>0</v>
      </c>
      <c r="L132" s="328">
        <f>'d3'!L132-d3М!L127</f>
        <v>0</v>
      </c>
      <c r="M132" s="328">
        <f>'d3'!M132-d3М!M127</f>
        <v>0</v>
      </c>
      <c r="N132" s="328">
        <f>'d3'!N132-d3М!N127</f>
        <v>0</v>
      </c>
      <c r="O132" s="328">
        <f>'d3'!O132-d3М!O127</f>
        <v>0</v>
      </c>
      <c r="P132" s="328">
        <f>'d3'!P132-d3М!P127</f>
        <v>0</v>
      </c>
      <c r="Q132" s="36"/>
      <c r="R132" s="39"/>
    </row>
    <row r="133" spans="1:20" s="33" customFormat="1" ht="47.25" hidden="1" thickTop="1" thickBot="1" x14ac:dyDescent="0.25">
      <c r="A133" s="144" t="s">
        <v>1054</v>
      </c>
      <c r="B133" s="144" t="s">
        <v>1052</v>
      </c>
      <c r="C133" s="144"/>
      <c r="D133" s="144" t="s">
        <v>1051</v>
      </c>
      <c r="E133" s="328">
        <f>'d3'!E133-d3М!E128</f>
        <v>0</v>
      </c>
      <c r="F133" s="328">
        <f>'d3'!F133-d3М!F128</f>
        <v>0</v>
      </c>
      <c r="G133" s="328">
        <f>'d3'!G133-d3М!G128</f>
        <v>0</v>
      </c>
      <c r="H133" s="328">
        <f>'d3'!H133-d3М!H128</f>
        <v>0</v>
      </c>
      <c r="I133" s="328">
        <f>'d3'!I133-d3М!I128</f>
        <v>0</v>
      </c>
      <c r="J133" s="328">
        <f>'d3'!J133-d3М!J128</f>
        <v>0</v>
      </c>
      <c r="K133" s="328">
        <f>'d3'!K133-d3М!K128</f>
        <v>0</v>
      </c>
      <c r="L133" s="328">
        <f>'d3'!L133-d3М!L128</f>
        <v>0</v>
      </c>
      <c r="M133" s="328">
        <f>'d3'!M133-d3М!M128</f>
        <v>0</v>
      </c>
      <c r="N133" s="328">
        <f>'d3'!N133-d3М!N128</f>
        <v>0</v>
      </c>
      <c r="O133" s="328">
        <f>'d3'!O133-d3М!O128</f>
        <v>0</v>
      </c>
      <c r="P133" s="328">
        <f>'d3'!P133-d3М!P128</f>
        <v>0</v>
      </c>
      <c r="Q133" s="36"/>
      <c r="R133" s="39"/>
    </row>
    <row r="134" spans="1:20" s="33" customFormat="1" ht="93" hidden="1" thickTop="1" thickBot="1" x14ac:dyDescent="0.25">
      <c r="A134" s="41" t="s">
        <v>1055</v>
      </c>
      <c r="B134" s="41" t="s">
        <v>1056</v>
      </c>
      <c r="C134" s="41" t="s">
        <v>170</v>
      </c>
      <c r="D134" s="41" t="s">
        <v>1057</v>
      </c>
      <c r="E134" s="328">
        <f>'d3'!E134-d3М!E129</f>
        <v>0</v>
      </c>
      <c r="F134" s="328">
        <f>'d3'!F134-d3М!F129</f>
        <v>0</v>
      </c>
      <c r="G134" s="328">
        <f>'d3'!G134-d3М!G129</f>
        <v>0</v>
      </c>
      <c r="H134" s="328">
        <f>'d3'!H134-d3М!H129</f>
        <v>0</v>
      </c>
      <c r="I134" s="328">
        <f>'d3'!I134-d3М!I129</f>
        <v>0</v>
      </c>
      <c r="J134" s="328">
        <f>'d3'!J134-d3М!J129</f>
        <v>0</v>
      </c>
      <c r="K134" s="328">
        <f>'d3'!K134-d3М!K129</f>
        <v>0</v>
      </c>
      <c r="L134" s="328">
        <f>'d3'!L134-d3М!L129</f>
        <v>0</v>
      </c>
      <c r="M134" s="328">
        <f>'d3'!M134-d3М!M129</f>
        <v>0</v>
      </c>
      <c r="N134" s="328">
        <f>'d3'!N134-d3М!N129</f>
        <v>0</v>
      </c>
      <c r="O134" s="328">
        <f>'d3'!O134-d3М!O129</f>
        <v>0</v>
      </c>
      <c r="P134" s="328">
        <f>'d3'!P134-d3М!P129</f>
        <v>0</v>
      </c>
      <c r="Q134" s="36"/>
      <c r="R134" s="26"/>
    </row>
    <row r="135" spans="1:20" s="28" customFormat="1" ht="47.25" thickTop="1" thickBot="1" x14ac:dyDescent="0.25">
      <c r="A135" s="698" t="s">
        <v>726</v>
      </c>
      <c r="B135" s="698" t="s">
        <v>691</v>
      </c>
      <c r="C135" s="698"/>
      <c r="D135" s="698" t="s">
        <v>689</v>
      </c>
      <c r="E135" s="328">
        <f>'d3'!E135-d3М!E130</f>
        <v>0</v>
      </c>
      <c r="F135" s="328">
        <f>'d3'!F135-d3М!F130</f>
        <v>0</v>
      </c>
      <c r="G135" s="328">
        <f>'d3'!G135-d3М!G130</f>
        <v>0</v>
      </c>
      <c r="H135" s="328">
        <f>'d3'!H135-d3М!H130</f>
        <v>0</v>
      </c>
      <c r="I135" s="328">
        <f>'d3'!I135-d3М!I130</f>
        <v>0</v>
      </c>
      <c r="J135" s="328">
        <f>'d3'!J135-d3М!J130</f>
        <v>2000000</v>
      </c>
      <c r="K135" s="328">
        <f>'d3'!K135-d3М!K130</f>
        <v>2000000</v>
      </c>
      <c r="L135" s="328">
        <f>'d3'!L135-d3М!L130</f>
        <v>0</v>
      </c>
      <c r="M135" s="328">
        <f>'d3'!M135-d3М!M130</f>
        <v>0</v>
      </c>
      <c r="N135" s="328">
        <f>'d3'!N135-d3М!N130</f>
        <v>0</v>
      </c>
      <c r="O135" s="328">
        <f>'d3'!O135-d3М!O130</f>
        <v>2000000</v>
      </c>
      <c r="P135" s="328">
        <f>'d3'!P135-d3М!P130</f>
        <v>2000000</v>
      </c>
      <c r="Q135" s="149"/>
      <c r="R135" s="40"/>
    </row>
    <row r="136" spans="1:20" s="28" customFormat="1" ht="47.25" thickTop="1" thickBot="1" x14ac:dyDescent="0.25">
      <c r="A136" s="695" t="s">
        <v>1255</v>
      </c>
      <c r="B136" s="695" t="s">
        <v>212</v>
      </c>
      <c r="C136" s="695" t="s">
        <v>213</v>
      </c>
      <c r="D136" s="695" t="s">
        <v>41</v>
      </c>
      <c r="E136" s="328">
        <f>'d3'!E136-d3М!E131</f>
        <v>0</v>
      </c>
      <c r="F136" s="328">
        <f>'d3'!F136-d3М!F131</f>
        <v>0</v>
      </c>
      <c r="G136" s="328">
        <f>'d3'!G136-d3М!G131</f>
        <v>0</v>
      </c>
      <c r="H136" s="328">
        <f>'d3'!H136-d3М!H131</f>
        <v>0</v>
      </c>
      <c r="I136" s="328">
        <f>'d3'!I136-d3М!I131</f>
        <v>0</v>
      </c>
      <c r="J136" s="328">
        <f>'d3'!J136-d3М!J131</f>
        <v>2000000</v>
      </c>
      <c r="K136" s="328">
        <f>'d3'!K136-d3М!K131</f>
        <v>2000000</v>
      </c>
      <c r="L136" s="328">
        <f>'d3'!L136-d3М!L131</f>
        <v>0</v>
      </c>
      <c r="M136" s="328">
        <f>'d3'!M136-d3М!M131</f>
        <v>0</v>
      </c>
      <c r="N136" s="328">
        <f>'d3'!N136-d3М!N131</f>
        <v>0</v>
      </c>
      <c r="O136" s="328">
        <f>'d3'!O136-d3М!O131</f>
        <v>2000000</v>
      </c>
      <c r="P136" s="328">
        <f>'d3'!P136-d3М!P131</f>
        <v>2000000</v>
      </c>
      <c r="Q136" s="149"/>
      <c r="R136" s="40"/>
    </row>
    <row r="137" spans="1:20" s="33" customFormat="1" ht="48" hidden="1" thickTop="1" thickBot="1" x14ac:dyDescent="0.25">
      <c r="A137" s="41" t="s">
        <v>435</v>
      </c>
      <c r="B137" s="41" t="s">
        <v>197</v>
      </c>
      <c r="C137" s="41" t="s">
        <v>170</v>
      </c>
      <c r="D137" s="41" t="s">
        <v>34</v>
      </c>
      <c r="E137" s="42">
        <f t="shared" ref="E137:E138" si="13">F137</f>
        <v>0</v>
      </c>
      <c r="F137" s="43"/>
      <c r="G137" s="43"/>
      <c r="H137" s="43"/>
      <c r="I137" s="43"/>
      <c r="J137" s="42">
        <f t="shared" ref="J137:J138" si="14">L137+O137</f>
        <v>0</v>
      </c>
      <c r="K137" s="43"/>
      <c r="L137" s="43"/>
      <c r="M137" s="43"/>
      <c r="N137" s="43"/>
      <c r="O137" s="44">
        <f t="shared" ref="O137:O138" si="15">K137</f>
        <v>0</v>
      </c>
      <c r="P137" s="42">
        <f t="shared" ref="P137:P138" si="16">E137+J137</f>
        <v>0</v>
      </c>
      <c r="Q137" s="36"/>
      <c r="R137" s="26"/>
    </row>
    <row r="138" spans="1:20" s="33" customFormat="1" ht="48" hidden="1" thickTop="1" thickBot="1" x14ac:dyDescent="0.25">
      <c r="A138" s="41" t="s">
        <v>509</v>
      </c>
      <c r="B138" s="41" t="s">
        <v>363</v>
      </c>
      <c r="C138" s="41" t="s">
        <v>43</v>
      </c>
      <c r="D138" s="41" t="s">
        <v>364</v>
      </c>
      <c r="E138" s="42">
        <f t="shared" si="13"/>
        <v>0</v>
      </c>
      <c r="F138" s="43"/>
      <c r="G138" s="43"/>
      <c r="H138" s="43"/>
      <c r="I138" s="43"/>
      <c r="J138" s="42">
        <f t="shared" si="14"/>
        <v>0</v>
      </c>
      <c r="K138" s="43"/>
      <c r="L138" s="43"/>
      <c r="M138" s="43"/>
      <c r="N138" s="43"/>
      <c r="O138" s="44">
        <f t="shared" si="15"/>
        <v>0</v>
      </c>
      <c r="P138" s="42">
        <f t="shared" si="16"/>
        <v>0</v>
      </c>
      <c r="Q138" s="36"/>
      <c r="R138" s="30"/>
    </row>
    <row r="139" spans="1:20" ht="120" customHeight="1" thickTop="1" thickBot="1" x14ac:dyDescent="0.25">
      <c r="A139" s="661" t="s">
        <v>156</v>
      </c>
      <c r="B139" s="661"/>
      <c r="C139" s="661"/>
      <c r="D139" s="662" t="s">
        <v>37</v>
      </c>
      <c r="E139" s="663">
        <f>E140</f>
        <v>23724961.220000029</v>
      </c>
      <c r="F139" s="664">
        <f t="shared" ref="F139:G139" si="17">F140</f>
        <v>23724961.220000029</v>
      </c>
      <c r="G139" s="664">
        <f t="shared" si="17"/>
        <v>0</v>
      </c>
      <c r="H139" s="664">
        <f>H140</f>
        <v>137643</v>
      </c>
      <c r="I139" s="664">
        <f t="shared" ref="I139" si="18">I140</f>
        <v>0</v>
      </c>
      <c r="J139" s="663">
        <f>J140</f>
        <v>7118501</v>
      </c>
      <c r="K139" s="664">
        <f>K140</f>
        <v>7118501</v>
      </c>
      <c r="L139" s="664">
        <f>L140</f>
        <v>0</v>
      </c>
      <c r="M139" s="664">
        <f t="shared" ref="M139" si="19">M140</f>
        <v>0</v>
      </c>
      <c r="N139" s="664">
        <f>N140</f>
        <v>0</v>
      </c>
      <c r="O139" s="663">
        <f>O140</f>
        <v>7118501</v>
      </c>
      <c r="P139" s="664">
        <f>P140</f>
        <v>30843462.220000029</v>
      </c>
      <c r="Q139" s="20"/>
    </row>
    <row r="140" spans="1:20" ht="120" customHeight="1" thickTop="1" thickBot="1" x14ac:dyDescent="0.25">
      <c r="A140" s="658" t="s">
        <v>157</v>
      </c>
      <c r="B140" s="658"/>
      <c r="C140" s="658"/>
      <c r="D140" s="659" t="s">
        <v>38</v>
      </c>
      <c r="E140" s="660">
        <f>E141+E145+E186+E190</f>
        <v>23724961.220000029</v>
      </c>
      <c r="F140" s="660">
        <f>F141+F145+F186+F190</f>
        <v>23724961.220000029</v>
      </c>
      <c r="G140" s="660">
        <f>G141+G145+G186+G190</f>
        <v>0</v>
      </c>
      <c r="H140" s="660">
        <f>H141+H145+H186+H190</f>
        <v>137643</v>
      </c>
      <c r="I140" s="660">
        <f>I141+I145+I186+I190</f>
        <v>0</v>
      </c>
      <c r="J140" s="660">
        <f t="shared" ref="J140" si="20">L140+O140</f>
        <v>7118501</v>
      </c>
      <c r="K140" s="660">
        <f>K141+K145+K186+K190</f>
        <v>7118501</v>
      </c>
      <c r="L140" s="660">
        <f>L141+L145+L186+L190</f>
        <v>0</v>
      </c>
      <c r="M140" s="660">
        <f>M141+M145+M186+M190</f>
        <v>0</v>
      </c>
      <c r="N140" s="660">
        <f>N141+N145+N186+N190</f>
        <v>0</v>
      </c>
      <c r="O140" s="660">
        <f>O141+O145+O186+O190</f>
        <v>7118501</v>
      </c>
      <c r="P140" s="660">
        <f>E140+J140</f>
        <v>30843462.220000029</v>
      </c>
      <c r="Q140" s="503" t="b">
        <f>P140=P142+P144+P147+P148+P149+P150+P151+P152+P153+P154+P156+P157+P159+P160+P162+P163+P165+P166+P182+P184+P185+P188+P195+P193</f>
        <v>1</v>
      </c>
      <c r="R140" s="46"/>
      <c r="S140" s="46"/>
      <c r="T140" s="45"/>
    </row>
    <row r="141" spans="1:20" ht="47.25" thickTop="1" thickBot="1" x14ac:dyDescent="0.25">
      <c r="A141" s="311" t="s">
        <v>727</v>
      </c>
      <c r="B141" s="311" t="s">
        <v>684</v>
      </c>
      <c r="C141" s="311"/>
      <c r="D141" s="311" t="s">
        <v>685</v>
      </c>
      <c r="E141" s="328">
        <f>'d3'!E141-d3М!E136</f>
        <v>0</v>
      </c>
      <c r="F141" s="328">
        <f>'d3'!F141-d3М!F136</f>
        <v>0</v>
      </c>
      <c r="G141" s="328">
        <f>'d3'!G141-d3М!G136</f>
        <v>0</v>
      </c>
      <c r="H141" s="328">
        <f>'d3'!H141-d3М!H136</f>
        <v>0</v>
      </c>
      <c r="I141" s="328">
        <f>'d3'!I141-d3М!I136</f>
        <v>0</v>
      </c>
      <c r="J141" s="328">
        <f>'d3'!J141-d3М!J136</f>
        <v>0</v>
      </c>
      <c r="K141" s="328">
        <f>'d3'!K141-d3М!K136</f>
        <v>0</v>
      </c>
      <c r="L141" s="328">
        <f>'d3'!L141-d3М!L136</f>
        <v>0</v>
      </c>
      <c r="M141" s="328">
        <f>'d3'!M141-d3М!M136</f>
        <v>0</v>
      </c>
      <c r="N141" s="328">
        <f>'d3'!N141-d3М!N136</f>
        <v>0</v>
      </c>
      <c r="O141" s="328">
        <f>'d3'!O141-d3М!O136</f>
        <v>0</v>
      </c>
      <c r="P141" s="328">
        <f>'d3'!P141-d3М!P136</f>
        <v>0</v>
      </c>
      <c r="Q141" s="47"/>
      <c r="R141" s="46"/>
      <c r="T141" s="45"/>
    </row>
    <row r="142" spans="1:20" ht="93" thickTop="1" thickBot="1" x14ac:dyDescent="0.25">
      <c r="A142" s="103" t="s">
        <v>415</v>
      </c>
      <c r="B142" s="103" t="s">
        <v>236</v>
      </c>
      <c r="C142" s="103" t="s">
        <v>234</v>
      </c>
      <c r="D142" s="103" t="s">
        <v>235</v>
      </c>
      <c r="E142" s="328">
        <f>'d3'!E142-d3М!E137</f>
        <v>0</v>
      </c>
      <c r="F142" s="328">
        <f>'d3'!F142-d3М!F137</f>
        <v>0</v>
      </c>
      <c r="G142" s="328">
        <f>'d3'!G142-d3М!G137</f>
        <v>0</v>
      </c>
      <c r="H142" s="328">
        <f>'d3'!H142-d3М!H137</f>
        <v>0</v>
      </c>
      <c r="I142" s="328">
        <f>'d3'!I142-d3М!I137</f>
        <v>0</v>
      </c>
      <c r="J142" s="328">
        <f>'d3'!J142-d3М!J137</f>
        <v>0</v>
      </c>
      <c r="K142" s="328">
        <f>'d3'!K142-d3М!K137</f>
        <v>0</v>
      </c>
      <c r="L142" s="328">
        <f>'d3'!L142-d3М!L137</f>
        <v>0</v>
      </c>
      <c r="M142" s="328">
        <f>'d3'!M142-d3М!M137</f>
        <v>0</v>
      </c>
      <c r="N142" s="328">
        <f>'d3'!N142-d3М!N137</f>
        <v>0</v>
      </c>
      <c r="O142" s="328">
        <f>'d3'!O142-d3М!O137</f>
        <v>0</v>
      </c>
      <c r="P142" s="328">
        <f>'d3'!P142-d3М!P137</f>
        <v>0</v>
      </c>
      <c r="Q142" s="47"/>
      <c r="R142" s="46"/>
      <c r="T142" s="45"/>
    </row>
    <row r="143" spans="1:20" ht="93" hidden="1" thickTop="1" thickBot="1" x14ac:dyDescent="0.25">
      <c r="A143" s="103" t="s">
        <v>628</v>
      </c>
      <c r="B143" s="103" t="s">
        <v>362</v>
      </c>
      <c r="C143" s="103" t="s">
        <v>625</v>
      </c>
      <c r="D143" s="103" t="s">
        <v>626</v>
      </c>
      <c r="E143" s="328">
        <f>'d3'!E143-d3М!E138</f>
        <v>0</v>
      </c>
      <c r="F143" s="328">
        <f>'d3'!F143-d3М!F138</f>
        <v>0</v>
      </c>
      <c r="G143" s="328">
        <f>'d3'!G143-d3М!G138</f>
        <v>0</v>
      </c>
      <c r="H143" s="328">
        <f>'d3'!H143-d3М!H138</f>
        <v>0</v>
      </c>
      <c r="I143" s="328">
        <f>'d3'!I143-d3М!I138</f>
        <v>0</v>
      </c>
      <c r="J143" s="328">
        <f>'d3'!J143-d3М!J138</f>
        <v>0</v>
      </c>
      <c r="K143" s="328">
        <f>'d3'!K143-d3М!K138</f>
        <v>0</v>
      </c>
      <c r="L143" s="328">
        <f>'d3'!L143-d3М!L138</f>
        <v>0</v>
      </c>
      <c r="M143" s="328">
        <f>'d3'!M143-d3М!M138</f>
        <v>0</v>
      </c>
      <c r="N143" s="328">
        <f>'d3'!N143-d3М!N138</f>
        <v>0</v>
      </c>
      <c r="O143" s="328">
        <f>'d3'!O143-d3М!O138</f>
        <v>0</v>
      </c>
      <c r="P143" s="328">
        <f>'d3'!P143-d3М!P138</f>
        <v>0</v>
      </c>
      <c r="Q143" s="47"/>
      <c r="R143" s="46"/>
      <c r="T143" s="45"/>
    </row>
    <row r="144" spans="1:20" ht="47.25" thickTop="1" thickBot="1" x14ac:dyDescent="0.25">
      <c r="A144" s="103" t="s">
        <v>919</v>
      </c>
      <c r="B144" s="103" t="s">
        <v>43</v>
      </c>
      <c r="C144" s="103" t="s">
        <v>42</v>
      </c>
      <c r="D144" s="103" t="s">
        <v>248</v>
      </c>
      <c r="E144" s="328">
        <f>'d3'!E144-d3М!E139</f>
        <v>0</v>
      </c>
      <c r="F144" s="328">
        <f>'d3'!F144-d3М!F139</f>
        <v>0</v>
      </c>
      <c r="G144" s="328">
        <f>'d3'!G144-d3М!G139</f>
        <v>0</v>
      </c>
      <c r="H144" s="328">
        <f>'d3'!H144-d3М!H139</f>
        <v>0</v>
      </c>
      <c r="I144" s="328">
        <f>'d3'!I144-d3М!I139</f>
        <v>0</v>
      </c>
      <c r="J144" s="328">
        <f>'d3'!J144-d3М!J139</f>
        <v>0</v>
      </c>
      <c r="K144" s="328">
        <f>'d3'!K144-d3М!K139</f>
        <v>0</v>
      </c>
      <c r="L144" s="328">
        <f>'d3'!L144-d3М!L139</f>
        <v>0</v>
      </c>
      <c r="M144" s="328">
        <f>'d3'!M144-d3М!M139</f>
        <v>0</v>
      </c>
      <c r="N144" s="328">
        <f>'d3'!N144-d3М!N139</f>
        <v>0</v>
      </c>
      <c r="O144" s="328">
        <f>'d3'!O144-d3М!O139</f>
        <v>0</v>
      </c>
      <c r="P144" s="328">
        <f>'d3'!P144-d3М!P139</f>
        <v>0</v>
      </c>
      <c r="Q144" s="47"/>
      <c r="R144" s="46"/>
      <c r="T144" s="45"/>
    </row>
    <row r="145" spans="1:20" ht="47.25" thickTop="1" thickBot="1" x14ac:dyDescent="0.25">
      <c r="A145" s="311" t="s">
        <v>728</v>
      </c>
      <c r="B145" s="311" t="s">
        <v>711</v>
      </c>
      <c r="C145" s="311"/>
      <c r="D145" s="311" t="s">
        <v>712</v>
      </c>
      <c r="E145" s="328">
        <f>'d3'!E145-d3М!E140</f>
        <v>23724961.220000029</v>
      </c>
      <c r="F145" s="328">
        <f>'d3'!F145-d3М!F140</f>
        <v>23724961.220000029</v>
      </c>
      <c r="G145" s="328">
        <f>'d3'!G145-d3М!G140</f>
        <v>0</v>
      </c>
      <c r="H145" s="328">
        <f>'d3'!H145-d3М!H140</f>
        <v>137643</v>
      </c>
      <c r="I145" s="328">
        <f>'d3'!I145-d3М!I140</f>
        <v>0</v>
      </c>
      <c r="J145" s="328">
        <f>'d3'!J145-d3М!J140</f>
        <v>4668501</v>
      </c>
      <c r="K145" s="328">
        <f>'d3'!K145-d3М!K140</f>
        <v>4668501</v>
      </c>
      <c r="L145" s="328">
        <f>'d3'!L145-d3М!L140</f>
        <v>0</v>
      </c>
      <c r="M145" s="328">
        <f>'d3'!M145-d3М!M140</f>
        <v>0</v>
      </c>
      <c r="N145" s="328">
        <f>'d3'!N145-d3М!N140</f>
        <v>0</v>
      </c>
      <c r="O145" s="328">
        <f>'d3'!O145-d3М!O140</f>
        <v>4668501</v>
      </c>
      <c r="P145" s="328">
        <f>'d3'!P145-d3М!P140</f>
        <v>28393462.220000029</v>
      </c>
      <c r="Q145" s="47"/>
      <c r="R145" s="46"/>
      <c r="T145" s="45"/>
    </row>
    <row r="146" spans="1:20" ht="138.75" thickTop="1" thickBot="1" x14ac:dyDescent="0.25">
      <c r="A146" s="329" t="s">
        <v>729</v>
      </c>
      <c r="B146" s="329" t="s">
        <v>730</v>
      </c>
      <c r="C146" s="329"/>
      <c r="D146" s="329" t="s">
        <v>731</v>
      </c>
      <c r="E146" s="328">
        <f>'d3'!E146-d3М!E141</f>
        <v>0</v>
      </c>
      <c r="F146" s="328">
        <f>'d3'!F146-d3М!F141</f>
        <v>0</v>
      </c>
      <c r="G146" s="328">
        <f>'d3'!G146-d3М!G141</f>
        <v>0</v>
      </c>
      <c r="H146" s="328">
        <f>'d3'!H146-d3М!H141</f>
        <v>0</v>
      </c>
      <c r="I146" s="328">
        <f>'d3'!I146-d3М!I141</f>
        <v>0</v>
      </c>
      <c r="J146" s="328">
        <f>'d3'!J146-d3М!J141</f>
        <v>0</v>
      </c>
      <c r="K146" s="328">
        <f>'d3'!K146-d3М!K141</f>
        <v>0</v>
      </c>
      <c r="L146" s="328">
        <f>'d3'!L146-d3М!L141</f>
        <v>0</v>
      </c>
      <c r="M146" s="328">
        <f>'d3'!M146-d3М!M141</f>
        <v>0</v>
      </c>
      <c r="N146" s="328">
        <f>'d3'!N146-d3М!N141</f>
        <v>0</v>
      </c>
      <c r="O146" s="328">
        <f>'d3'!O146-d3М!O141</f>
        <v>0</v>
      </c>
      <c r="P146" s="328">
        <f>'d3'!P146-d3М!P141</f>
        <v>0</v>
      </c>
      <c r="Q146" s="150"/>
      <c r="R146" s="48"/>
      <c r="T146" s="49"/>
    </row>
    <row r="147" spans="1:20" s="33" customFormat="1" ht="47.25" thickTop="1" thickBot="1" x14ac:dyDescent="0.25">
      <c r="A147" s="103" t="s">
        <v>269</v>
      </c>
      <c r="B147" s="103" t="s">
        <v>270</v>
      </c>
      <c r="C147" s="103" t="s">
        <v>205</v>
      </c>
      <c r="D147" s="330" t="s">
        <v>271</v>
      </c>
      <c r="E147" s="328">
        <f>'d3'!E147-d3М!E142</f>
        <v>0</v>
      </c>
      <c r="F147" s="328">
        <f>'d3'!F147-d3М!F142</f>
        <v>0</v>
      </c>
      <c r="G147" s="328">
        <f>'d3'!G147-d3М!G142</f>
        <v>0</v>
      </c>
      <c r="H147" s="328">
        <f>'d3'!H147-d3М!H142</f>
        <v>0</v>
      </c>
      <c r="I147" s="328">
        <f>'d3'!I147-d3М!I142</f>
        <v>0</v>
      </c>
      <c r="J147" s="328">
        <f>'d3'!J147-d3М!J142</f>
        <v>0</v>
      </c>
      <c r="K147" s="328">
        <f>'d3'!K147-d3М!K142</f>
        <v>0</v>
      </c>
      <c r="L147" s="328">
        <f>'d3'!L147-d3М!L142</f>
        <v>0</v>
      </c>
      <c r="M147" s="328">
        <f>'d3'!M147-d3М!M142</f>
        <v>0</v>
      </c>
      <c r="N147" s="328">
        <f>'d3'!N147-d3М!N142</f>
        <v>0</v>
      </c>
      <c r="O147" s="328">
        <f>'d3'!O147-d3М!O142</f>
        <v>0</v>
      </c>
      <c r="P147" s="328">
        <f>'d3'!P147-d3М!P142</f>
        <v>0</v>
      </c>
      <c r="Q147" s="36"/>
      <c r="R147" s="46"/>
    </row>
    <row r="148" spans="1:20" s="33" customFormat="1" ht="47.25" thickTop="1" thickBot="1" x14ac:dyDescent="0.25">
      <c r="A148" s="103" t="s">
        <v>272</v>
      </c>
      <c r="B148" s="103" t="s">
        <v>273</v>
      </c>
      <c r="C148" s="103" t="s">
        <v>206</v>
      </c>
      <c r="D148" s="103" t="s">
        <v>6</v>
      </c>
      <c r="E148" s="328">
        <f>'d3'!E148-d3М!E143</f>
        <v>0</v>
      </c>
      <c r="F148" s="328">
        <f>'d3'!F148-d3М!F143</f>
        <v>0</v>
      </c>
      <c r="G148" s="328">
        <f>'d3'!G148-d3М!G143</f>
        <v>0</v>
      </c>
      <c r="H148" s="328">
        <f>'d3'!H148-d3М!H143</f>
        <v>0</v>
      </c>
      <c r="I148" s="328">
        <f>'d3'!I148-d3М!I143</f>
        <v>0</v>
      </c>
      <c r="J148" s="328">
        <f>'d3'!J148-d3М!J143</f>
        <v>0</v>
      </c>
      <c r="K148" s="328">
        <f>'d3'!K148-d3М!K143</f>
        <v>0</v>
      </c>
      <c r="L148" s="328">
        <f>'d3'!L148-d3М!L143</f>
        <v>0</v>
      </c>
      <c r="M148" s="328">
        <f>'d3'!M148-d3М!M143</f>
        <v>0</v>
      </c>
      <c r="N148" s="328">
        <f>'d3'!N148-d3М!N143</f>
        <v>0</v>
      </c>
      <c r="O148" s="328">
        <f>'d3'!O148-d3М!O143</f>
        <v>0</v>
      </c>
      <c r="P148" s="328">
        <f>'d3'!P148-d3М!P143</f>
        <v>0</v>
      </c>
      <c r="Q148" s="36"/>
      <c r="R148" s="50"/>
    </row>
    <row r="149" spans="1:20" s="33" customFormat="1" ht="93" thickTop="1" thickBot="1" x14ac:dyDescent="0.25">
      <c r="A149" s="103" t="s">
        <v>275</v>
      </c>
      <c r="B149" s="103" t="s">
        <v>276</v>
      </c>
      <c r="C149" s="103" t="s">
        <v>206</v>
      </c>
      <c r="D149" s="103" t="s">
        <v>7</v>
      </c>
      <c r="E149" s="328">
        <f>'d3'!E149-d3М!E144</f>
        <v>0</v>
      </c>
      <c r="F149" s="328">
        <f>'d3'!F149-d3М!F144</f>
        <v>0</v>
      </c>
      <c r="G149" s="328">
        <f>'d3'!G149-d3М!G144</f>
        <v>0</v>
      </c>
      <c r="H149" s="328">
        <f>'d3'!H149-d3М!H144</f>
        <v>0</v>
      </c>
      <c r="I149" s="328">
        <f>'d3'!I149-d3М!I144</f>
        <v>0</v>
      </c>
      <c r="J149" s="328">
        <f>'d3'!J149-d3М!J144</f>
        <v>0</v>
      </c>
      <c r="K149" s="328">
        <f>'d3'!K149-d3М!K144</f>
        <v>0</v>
      </c>
      <c r="L149" s="328">
        <f>'d3'!L149-d3М!L144</f>
        <v>0</v>
      </c>
      <c r="M149" s="328">
        <f>'d3'!M149-d3М!M144</f>
        <v>0</v>
      </c>
      <c r="N149" s="328">
        <f>'d3'!N149-d3М!N144</f>
        <v>0</v>
      </c>
      <c r="O149" s="328">
        <f>'d3'!O149-d3М!O144</f>
        <v>0</v>
      </c>
      <c r="P149" s="328">
        <f>'d3'!P149-d3М!P144</f>
        <v>0</v>
      </c>
      <c r="Q149" s="36"/>
      <c r="R149" s="50"/>
    </row>
    <row r="150" spans="1:20" s="33" customFormat="1" ht="93" thickTop="1" thickBot="1" x14ac:dyDescent="0.25">
      <c r="A150" s="103" t="s">
        <v>277</v>
      </c>
      <c r="B150" s="103" t="s">
        <v>274</v>
      </c>
      <c r="C150" s="103" t="s">
        <v>206</v>
      </c>
      <c r="D150" s="103" t="s">
        <v>8</v>
      </c>
      <c r="E150" s="328">
        <f>'d3'!E150-d3М!E145</f>
        <v>0</v>
      </c>
      <c r="F150" s="328">
        <f>'d3'!F150-d3М!F145</f>
        <v>0</v>
      </c>
      <c r="G150" s="328">
        <f>'d3'!G150-d3М!G145</f>
        <v>0</v>
      </c>
      <c r="H150" s="328">
        <f>'d3'!H150-d3М!H145</f>
        <v>0</v>
      </c>
      <c r="I150" s="328">
        <f>'d3'!I150-d3М!I145</f>
        <v>0</v>
      </c>
      <c r="J150" s="328">
        <f>'d3'!J150-d3М!J145</f>
        <v>0</v>
      </c>
      <c r="K150" s="328">
        <f>'d3'!K150-d3М!K145</f>
        <v>0</v>
      </c>
      <c r="L150" s="328">
        <f>'d3'!L150-d3М!L145</f>
        <v>0</v>
      </c>
      <c r="M150" s="328">
        <f>'d3'!M150-d3М!M145</f>
        <v>0</v>
      </c>
      <c r="N150" s="328">
        <f>'d3'!N150-d3М!N145</f>
        <v>0</v>
      </c>
      <c r="O150" s="328">
        <f>'d3'!O150-d3М!O145</f>
        <v>0</v>
      </c>
      <c r="P150" s="328">
        <f>'d3'!P150-d3М!P145</f>
        <v>0</v>
      </c>
      <c r="Q150" s="36"/>
      <c r="R150" s="50"/>
    </row>
    <row r="151" spans="1:20" s="33" customFormat="1" ht="93" thickTop="1" thickBot="1" x14ac:dyDescent="0.25">
      <c r="A151" s="103" t="s">
        <v>278</v>
      </c>
      <c r="B151" s="103" t="s">
        <v>279</v>
      </c>
      <c r="C151" s="103" t="s">
        <v>206</v>
      </c>
      <c r="D151" s="103" t="s">
        <v>9</v>
      </c>
      <c r="E151" s="328">
        <f>'d3'!E151-d3М!E146</f>
        <v>0</v>
      </c>
      <c r="F151" s="328">
        <f>'d3'!F151-d3М!F146</f>
        <v>0</v>
      </c>
      <c r="G151" s="328">
        <f>'d3'!G151-d3М!G146</f>
        <v>0</v>
      </c>
      <c r="H151" s="328">
        <f>'d3'!H151-d3М!H146</f>
        <v>0</v>
      </c>
      <c r="I151" s="328">
        <f>'d3'!I151-d3М!I146</f>
        <v>0</v>
      </c>
      <c r="J151" s="328">
        <f>'d3'!J151-d3М!J146</f>
        <v>0</v>
      </c>
      <c r="K151" s="328">
        <f>'d3'!K151-d3М!K146</f>
        <v>0</v>
      </c>
      <c r="L151" s="328">
        <f>'d3'!L151-d3М!L146</f>
        <v>0</v>
      </c>
      <c r="M151" s="328">
        <f>'d3'!M151-d3М!M146</f>
        <v>0</v>
      </c>
      <c r="N151" s="328">
        <f>'d3'!N151-d3М!N146</f>
        <v>0</v>
      </c>
      <c r="O151" s="328">
        <f>'d3'!O151-d3М!O146</f>
        <v>0</v>
      </c>
      <c r="P151" s="328">
        <f>'d3'!P151-d3М!P146</f>
        <v>0</v>
      </c>
      <c r="Q151" s="36"/>
      <c r="R151" s="50"/>
    </row>
    <row r="152" spans="1:20" s="33" customFormat="1" ht="93" thickTop="1" thickBot="1" x14ac:dyDescent="0.25">
      <c r="A152" s="103" t="s">
        <v>478</v>
      </c>
      <c r="B152" s="103" t="s">
        <v>479</v>
      </c>
      <c r="C152" s="103" t="s">
        <v>206</v>
      </c>
      <c r="D152" s="103" t="s">
        <v>480</v>
      </c>
      <c r="E152" s="328">
        <f>'d3'!E152-d3М!E147</f>
        <v>0</v>
      </c>
      <c r="F152" s="328">
        <f>'d3'!F152-d3М!F147</f>
        <v>0</v>
      </c>
      <c r="G152" s="328">
        <f>'d3'!G152-d3М!G147</f>
        <v>0</v>
      </c>
      <c r="H152" s="328">
        <f>'d3'!H152-d3М!H147</f>
        <v>0</v>
      </c>
      <c r="I152" s="328">
        <f>'d3'!I152-d3М!I147</f>
        <v>0</v>
      </c>
      <c r="J152" s="328">
        <f>'d3'!J152-d3М!J147</f>
        <v>0</v>
      </c>
      <c r="K152" s="328">
        <f>'d3'!K152-d3М!K147</f>
        <v>0</v>
      </c>
      <c r="L152" s="328">
        <f>'d3'!L152-d3М!L147</f>
        <v>0</v>
      </c>
      <c r="M152" s="328">
        <f>'d3'!M152-d3М!M147</f>
        <v>0</v>
      </c>
      <c r="N152" s="328">
        <f>'d3'!N152-d3М!N147</f>
        <v>0</v>
      </c>
      <c r="O152" s="328">
        <f>'d3'!O152-d3М!O147</f>
        <v>0</v>
      </c>
      <c r="P152" s="328">
        <f>'d3'!P152-d3М!P147</f>
        <v>0</v>
      </c>
      <c r="Q152" s="36"/>
      <c r="R152" s="50"/>
    </row>
    <row r="153" spans="1:20" s="33" customFormat="1" ht="47.25" thickTop="1" thickBot="1" x14ac:dyDescent="0.25">
      <c r="A153" s="103" t="s">
        <v>920</v>
      </c>
      <c r="B153" s="103" t="s">
        <v>921</v>
      </c>
      <c r="C153" s="103" t="s">
        <v>206</v>
      </c>
      <c r="D153" s="103" t="s">
        <v>922</v>
      </c>
      <c r="E153" s="328">
        <f>'d3'!E153-d3М!E148</f>
        <v>393100</v>
      </c>
      <c r="F153" s="328">
        <f>'d3'!F153-d3М!F148</f>
        <v>393100</v>
      </c>
      <c r="G153" s="328">
        <f>'d3'!G153-d3М!G148</f>
        <v>0</v>
      </c>
      <c r="H153" s="328">
        <f>'d3'!H153-d3М!H148</f>
        <v>0</v>
      </c>
      <c r="I153" s="328">
        <f>'d3'!I153-d3М!I148</f>
        <v>0</v>
      </c>
      <c r="J153" s="328">
        <f>'d3'!J153-d3М!J148</f>
        <v>0</v>
      </c>
      <c r="K153" s="328">
        <f>'d3'!K153-d3М!K148</f>
        <v>0</v>
      </c>
      <c r="L153" s="328">
        <f>'d3'!L153-d3М!L148</f>
        <v>0</v>
      </c>
      <c r="M153" s="328">
        <f>'d3'!M153-d3М!M148</f>
        <v>0</v>
      </c>
      <c r="N153" s="328">
        <f>'d3'!N153-d3М!N148</f>
        <v>0</v>
      </c>
      <c r="O153" s="328">
        <f>'d3'!O153-d3М!O148</f>
        <v>0</v>
      </c>
      <c r="P153" s="328">
        <f>'d3'!P153-d3М!P148</f>
        <v>393100</v>
      </c>
      <c r="Q153" s="36"/>
      <c r="R153" s="50"/>
    </row>
    <row r="154" spans="1:20" ht="93" thickTop="1" thickBot="1" x14ac:dyDescent="0.25">
      <c r="A154" s="103" t="s">
        <v>481</v>
      </c>
      <c r="B154" s="103" t="s">
        <v>482</v>
      </c>
      <c r="C154" s="103" t="s">
        <v>205</v>
      </c>
      <c r="D154" s="103" t="s">
        <v>483</v>
      </c>
      <c r="E154" s="328">
        <f>'d3'!E154-d3М!E149</f>
        <v>0</v>
      </c>
      <c r="F154" s="328">
        <f>'d3'!F154-d3М!F149</f>
        <v>0</v>
      </c>
      <c r="G154" s="328">
        <f>'d3'!G154-d3М!G149</f>
        <v>0</v>
      </c>
      <c r="H154" s="328">
        <f>'d3'!H154-d3М!H149</f>
        <v>0</v>
      </c>
      <c r="I154" s="328">
        <f>'d3'!I154-d3М!I149</f>
        <v>0</v>
      </c>
      <c r="J154" s="328">
        <f>'d3'!J154-d3М!J149</f>
        <v>0</v>
      </c>
      <c r="K154" s="328">
        <f>'d3'!K154-d3М!K149</f>
        <v>0</v>
      </c>
      <c r="L154" s="328">
        <f>'d3'!L154-d3М!L149</f>
        <v>0</v>
      </c>
      <c r="M154" s="328">
        <f>'d3'!M154-d3М!M149</f>
        <v>0</v>
      </c>
      <c r="N154" s="328">
        <f>'d3'!N154-d3М!N149</f>
        <v>0</v>
      </c>
      <c r="O154" s="328">
        <f>'d3'!O154-d3М!O149</f>
        <v>0</v>
      </c>
      <c r="P154" s="328">
        <f>'d3'!P154-d3М!P149</f>
        <v>0</v>
      </c>
      <c r="Q154" s="20"/>
      <c r="R154" s="50"/>
    </row>
    <row r="155" spans="1:20" s="33" customFormat="1" ht="93" thickTop="1" thickBot="1" x14ac:dyDescent="0.25">
      <c r="A155" s="329" t="s">
        <v>732</v>
      </c>
      <c r="B155" s="329" t="s">
        <v>733</v>
      </c>
      <c r="C155" s="329"/>
      <c r="D155" s="329" t="s">
        <v>734</v>
      </c>
      <c r="E155" s="328">
        <f>'d3'!E155-d3М!E150</f>
        <v>705107</v>
      </c>
      <c r="F155" s="328">
        <f>'d3'!F155-d3М!F150</f>
        <v>705107</v>
      </c>
      <c r="G155" s="328">
        <f>'d3'!G155-d3М!G150</f>
        <v>0</v>
      </c>
      <c r="H155" s="328">
        <f>'d3'!H155-d3М!H150</f>
        <v>0</v>
      </c>
      <c r="I155" s="328">
        <f>'d3'!I155-d3М!I150</f>
        <v>0</v>
      </c>
      <c r="J155" s="328">
        <f>'d3'!J155-d3М!J150</f>
        <v>0</v>
      </c>
      <c r="K155" s="328">
        <f>'d3'!K155-d3М!K150</f>
        <v>0</v>
      </c>
      <c r="L155" s="328">
        <f>'d3'!L155-d3М!L150</f>
        <v>0</v>
      </c>
      <c r="M155" s="328">
        <f>'d3'!M155-d3М!M150</f>
        <v>0</v>
      </c>
      <c r="N155" s="328">
        <f>'d3'!N155-d3М!N150</f>
        <v>0</v>
      </c>
      <c r="O155" s="328">
        <f>'d3'!O155-d3М!O150</f>
        <v>0</v>
      </c>
      <c r="P155" s="328">
        <f>'d3'!P155-d3М!P150</f>
        <v>705107</v>
      </c>
      <c r="Q155" s="36"/>
      <c r="R155" s="51"/>
    </row>
    <row r="156" spans="1:20" ht="93" thickTop="1" thickBot="1" x14ac:dyDescent="0.25">
      <c r="A156" s="103" t="s">
        <v>267</v>
      </c>
      <c r="B156" s="103" t="s">
        <v>265</v>
      </c>
      <c r="C156" s="103" t="s">
        <v>200</v>
      </c>
      <c r="D156" s="103" t="s">
        <v>17</v>
      </c>
      <c r="E156" s="328">
        <f>'d3'!E156-d3М!E151</f>
        <v>150000</v>
      </c>
      <c r="F156" s="328">
        <f>'d3'!F156-d3М!F151</f>
        <v>150000</v>
      </c>
      <c r="G156" s="328">
        <f>'d3'!G156-d3М!G151</f>
        <v>0</v>
      </c>
      <c r="H156" s="328">
        <f>'d3'!H156-d3М!H151</f>
        <v>0</v>
      </c>
      <c r="I156" s="328">
        <f>'d3'!I156-d3М!I151</f>
        <v>0</v>
      </c>
      <c r="J156" s="328">
        <f>'d3'!J156-d3М!J151</f>
        <v>0</v>
      </c>
      <c r="K156" s="328">
        <f>'d3'!K156-d3М!K151</f>
        <v>0</v>
      </c>
      <c r="L156" s="328">
        <f>'d3'!L156-d3М!L151</f>
        <v>0</v>
      </c>
      <c r="M156" s="328">
        <f>'d3'!M156-d3М!M151</f>
        <v>0</v>
      </c>
      <c r="N156" s="328">
        <f>'d3'!N156-d3М!N151</f>
        <v>0</v>
      </c>
      <c r="O156" s="328">
        <f>'d3'!O156-d3М!O151</f>
        <v>0</v>
      </c>
      <c r="P156" s="328">
        <f>'d3'!P156-d3М!P151</f>
        <v>150000</v>
      </c>
      <c r="Q156" s="20"/>
      <c r="R156" s="46"/>
    </row>
    <row r="157" spans="1:20" ht="47.25" thickTop="1" thickBot="1" x14ac:dyDescent="0.25">
      <c r="A157" s="103" t="s">
        <v>268</v>
      </c>
      <c r="B157" s="103" t="s">
        <v>266</v>
      </c>
      <c r="C157" s="103" t="s">
        <v>199</v>
      </c>
      <c r="D157" s="103" t="s">
        <v>455</v>
      </c>
      <c r="E157" s="328">
        <f>'d3'!E157-d3М!E152</f>
        <v>555107</v>
      </c>
      <c r="F157" s="328">
        <f>'d3'!F157-d3М!F152</f>
        <v>555107</v>
      </c>
      <c r="G157" s="328">
        <f>'d3'!G157-d3М!G152</f>
        <v>0</v>
      </c>
      <c r="H157" s="328">
        <f>'d3'!H157-d3М!H152</f>
        <v>0</v>
      </c>
      <c r="I157" s="328">
        <f>'d3'!I157-d3М!I152</f>
        <v>0</v>
      </c>
      <c r="J157" s="328">
        <f>'d3'!J157-d3М!J152</f>
        <v>0</v>
      </c>
      <c r="K157" s="328">
        <f>'d3'!K157-d3М!K152</f>
        <v>0</v>
      </c>
      <c r="L157" s="328">
        <f>'d3'!L157-d3М!L152</f>
        <v>0</v>
      </c>
      <c r="M157" s="328">
        <f>'d3'!M157-d3М!M152</f>
        <v>0</v>
      </c>
      <c r="N157" s="328">
        <f>'d3'!N157-d3М!N152</f>
        <v>0</v>
      </c>
      <c r="O157" s="328">
        <f>'d3'!O157-d3М!O152</f>
        <v>0</v>
      </c>
      <c r="P157" s="328">
        <f>'d3'!P157-d3М!P152</f>
        <v>555107</v>
      </c>
      <c r="Q157" s="20"/>
      <c r="R157" s="46"/>
    </row>
    <row r="158" spans="1:20" ht="47.25" thickTop="1" thickBot="1" x14ac:dyDescent="0.25">
      <c r="A158" s="329" t="s">
        <v>1020</v>
      </c>
      <c r="B158" s="329" t="s">
        <v>765</v>
      </c>
      <c r="C158" s="329"/>
      <c r="D158" s="329" t="s">
        <v>766</v>
      </c>
      <c r="E158" s="328">
        <f>'d3'!E158-d3М!E153</f>
        <v>318785</v>
      </c>
      <c r="F158" s="328">
        <f>'d3'!F158-d3М!F153</f>
        <v>318785</v>
      </c>
      <c r="G158" s="328">
        <f>'d3'!G158-d3М!G153</f>
        <v>0</v>
      </c>
      <c r="H158" s="328">
        <f>'d3'!H158-d3М!H153</f>
        <v>0</v>
      </c>
      <c r="I158" s="328">
        <f>'d3'!I158-d3М!I153</f>
        <v>0</v>
      </c>
      <c r="J158" s="328">
        <f>'d3'!J158-d3М!J153</f>
        <v>13195</v>
      </c>
      <c r="K158" s="328">
        <f>'d3'!K158-d3М!K153</f>
        <v>13195</v>
      </c>
      <c r="L158" s="328">
        <f>'d3'!L158-d3М!L153</f>
        <v>0</v>
      </c>
      <c r="M158" s="328">
        <f>'d3'!M158-d3М!M153</f>
        <v>0</v>
      </c>
      <c r="N158" s="328">
        <f>'d3'!N158-d3М!N153</f>
        <v>0</v>
      </c>
      <c r="O158" s="328">
        <f>'d3'!O158-d3М!O153</f>
        <v>13195</v>
      </c>
      <c r="P158" s="328">
        <f>'d3'!P158-d3М!P153</f>
        <v>331980</v>
      </c>
      <c r="Q158" s="20"/>
      <c r="R158" s="46"/>
    </row>
    <row r="159" spans="1:20" ht="47.25" thickTop="1" thickBot="1" x14ac:dyDescent="0.25">
      <c r="A159" s="103" t="s">
        <v>1215</v>
      </c>
      <c r="B159" s="103" t="s">
        <v>184</v>
      </c>
      <c r="C159" s="103" t="s">
        <v>185</v>
      </c>
      <c r="D159" s="103" t="s">
        <v>638</v>
      </c>
      <c r="E159" s="328">
        <f>'d3'!E159-d3М!E154</f>
        <v>318785</v>
      </c>
      <c r="F159" s="328">
        <f>'d3'!F159-d3М!F154</f>
        <v>318785</v>
      </c>
      <c r="G159" s="328">
        <f>'d3'!G159-d3М!G154</f>
        <v>0</v>
      </c>
      <c r="H159" s="328">
        <f>'d3'!H159-d3М!H154</f>
        <v>0</v>
      </c>
      <c r="I159" s="328">
        <f>'d3'!I159-d3М!I154</f>
        <v>0</v>
      </c>
      <c r="J159" s="328">
        <f>'d3'!J159-d3М!J154</f>
        <v>13195</v>
      </c>
      <c r="K159" s="328">
        <f>'d3'!K159-d3М!K154</f>
        <v>13195</v>
      </c>
      <c r="L159" s="328">
        <f>'d3'!L159-d3М!L154</f>
        <v>0</v>
      </c>
      <c r="M159" s="328">
        <f>'d3'!M159-d3М!M154</f>
        <v>0</v>
      </c>
      <c r="N159" s="328">
        <f>'d3'!N159-d3М!N154</f>
        <v>0</v>
      </c>
      <c r="O159" s="328">
        <f>'d3'!O159-d3М!O154</f>
        <v>13195</v>
      </c>
      <c r="P159" s="328">
        <f>'d3'!P159-d3М!P154</f>
        <v>331980</v>
      </c>
      <c r="Q159" s="20"/>
      <c r="R159" s="46"/>
    </row>
    <row r="160" spans="1:20" ht="138.75" thickTop="1" thickBot="1" x14ac:dyDescent="0.25">
      <c r="A160" s="103" t="s">
        <v>263</v>
      </c>
      <c r="B160" s="103" t="s">
        <v>264</v>
      </c>
      <c r="C160" s="103" t="s">
        <v>199</v>
      </c>
      <c r="D160" s="103" t="s">
        <v>453</v>
      </c>
      <c r="E160" s="328">
        <f>'d3'!E160-d3М!E155</f>
        <v>0</v>
      </c>
      <c r="F160" s="328">
        <f>'d3'!F160-d3М!F155</f>
        <v>0</v>
      </c>
      <c r="G160" s="328">
        <f>'d3'!G160-d3М!G155</f>
        <v>0</v>
      </c>
      <c r="H160" s="328">
        <f>'d3'!H160-d3М!H155</f>
        <v>0</v>
      </c>
      <c r="I160" s="328">
        <f>'d3'!I160-d3М!I155</f>
        <v>0</v>
      </c>
      <c r="J160" s="328">
        <f>'d3'!J160-d3М!J155</f>
        <v>0</v>
      </c>
      <c r="K160" s="328">
        <f>'d3'!K160-d3М!K155</f>
        <v>0</v>
      </c>
      <c r="L160" s="328">
        <f>'d3'!L160-d3М!L155</f>
        <v>0</v>
      </c>
      <c r="M160" s="328">
        <f>'d3'!M160-d3М!M155</f>
        <v>0</v>
      </c>
      <c r="N160" s="328">
        <f>'d3'!N160-d3М!N155</f>
        <v>0</v>
      </c>
      <c r="O160" s="328">
        <f>'d3'!O160-d3М!O155</f>
        <v>0</v>
      </c>
      <c r="P160" s="328">
        <f>'d3'!P160-d3М!P155</f>
        <v>0</v>
      </c>
      <c r="Q160" s="20"/>
      <c r="R160" s="50"/>
    </row>
    <row r="161" spans="1:18" ht="47.25" thickTop="1" thickBot="1" x14ac:dyDescent="0.25">
      <c r="A161" s="329" t="s">
        <v>881</v>
      </c>
      <c r="B161" s="329" t="s">
        <v>882</v>
      </c>
      <c r="C161" s="329"/>
      <c r="D161" s="329" t="s">
        <v>883</v>
      </c>
      <c r="E161" s="328">
        <f>'d3'!E161-d3М!E156</f>
        <v>0</v>
      </c>
      <c r="F161" s="328">
        <f>'d3'!F161-d3М!F156</f>
        <v>0</v>
      </c>
      <c r="G161" s="328">
        <f>'d3'!G161-d3М!G156</f>
        <v>0</v>
      </c>
      <c r="H161" s="328">
        <f>'d3'!H161-d3М!H156</f>
        <v>0</v>
      </c>
      <c r="I161" s="328">
        <f>'d3'!I161-d3М!I156</f>
        <v>0</v>
      </c>
      <c r="J161" s="328">
        <f>'d3'!J161-d3М!J156</f>
        <v>0</v>
      </c>
      <c r="K161" s="328">
        <f>'d3'!K161-d3М!K156</f>
        <v>0</v>
      </c>
      <c r="L161" s="328">
        <f>'d3'!L161-d3М!L156</f>
        <v>0</v>
      </c>
      <c r="M161" s="328">
        <f>'d3'!M161-d3М!M156</f>
        <v>0</v>
      </c>
      <c r="N161" s="328">
        <f>'d3'!N161-d3М!N156</f>
        <v>0</v>
      </c>
      <c r="O161" s="328">
        <f>'d3'!O161-d3М!O156</f>
        <v>0</v>
      </c>
      <c r="P161" s="328">
        <f>'d3'!P161-d3М!P156</f>
        <v>0</v>
      </c>
      <c r="Q161" s="20"/>
      <c r="R161" s="50"/>
    </row>
    <row r="162" spans="1:18" ht="93" thickTop="1" thickBot="1" x14ac:dyDescent="0.25">
      <c r="A162" s="103" t="s">
        <v>484</v>
      </c>
      <c r="B162" s="103" t="s">
        <v>485</v>
      </c>
      <c r="C162" s="103" t="s">
        <v>199</v>
      </c>
      <c r="D162" s="103" t="s">
        <v>486</v>
      </c>
      <c r="E162" s="328">
        <f>'d3'!E162-d3М!E157</f>
        <v>0</v>
      </c>
      <c r="F162" s="328">
        <f>'d3'!F162-d3М!F157</f>
        <v>0</v>
      </c>
      <c r="G162" s="328">
        <f>'d3'!G162-d3М!G157</f>
        <v>0</v>
      </c>
      <c r="H162" s="328">
        <f>'d3'!H162-d3М!H157</f>
        <v>0</v>
      </c>
      <c r="I162" s="328">
        <f>'d3'!I162-d3М!I157</f>
        <v>0</v>
      </c>
      <c r="J162" s="328">
        <f>'d3'!J162-d3М!J157</f>
        <v>0</v>
      </c>
      <c r="K162" s="328">
        <f>'d3'!K162-d3М!K157</f>
        <v>0</v>
      </c>
      <c r="L162" s="328">
        <f>'d3'!L162-d3М!L157</f>
        <v>0</v>
      </c>
      <c r="M162" s="328">
        <f>'d3'!M162-d3М!M157</f>
        <v>0</v>
      </c>
      <c r="N162" s="328">
        <f>'d3'!N162-d3М!N157</f>
        <v>0</v>
      </c>
      <c r="O162" s="328">
        <f>'d3'!O162-d3М!O157</f>
        <v>0</v>
      </c>
      <c r="P162" s="328">
        <f>'d3'!P162-d3М!P157</f>
        <v>0</v>
      </c>
      <c r="Q162" s="20"/>
      <c r="R162" s="50"/>
    </row>
    <row r="163" spans="1:18" ht="138.75" thickTop="1" thickBot="1" x14ac:dyDescent="0.25">
      <c r="A163" s="103" t="s">
        <v>348</v>
      </c>
      <c r="B163" s="103" t="s">
        <v>347</v>
      </c>
      <c r="C163" s="103" t="s">
        <v>50</v>
      </c>
      <c r="D163" s="103" t="s">
        <v>454</v>
      </c>
      <c r="E163" s="328">
        <f>'d3'!E163-d3М!E158</f>
        <v>0</v>
      </c>
      <c r="F163" s="328">
        <f>'d3'!F163-d3М!F158</f>
        <v>0</v>
      </c>
      <c r="G163" s="328">
        <f>'d3'!G163-d3М!G158</f>
        <v>0</v>
      </c>
      <c r="H163" s="328">
        <f>'d3'!H163-d3М!H158</f>
        <v>0</v>
      </c>
      <c r="I163" s="328">
        <f>'d3'!I163-d3М!I158</f>
        <v>0</v>
      </c>
      <c r="J163" s="328">
        <f>'d3'!J163-d3М!J158</f>
        <v>0</v>
      </c>
      <c r="K163" s="328">
        <f>'d3'!K163-d3М!K158</f>
        <v>0</v>
      </c>
      <c r="L163" s="328">
        <f>'d3'!L163-d3М!L158</f>
        <v>0</v>
      </c>
      <c r="M163" s="328">
        <f>'d3'!M163-d3М!M158</f>
        <v>0</v>
      </c>
      <c r="N163" s="328">
        <f>'d3'!N163-d3М!N158</f>
        <v>0</v>
      </c>
      <c r="O163" s="328">
        <f>'d3'!O163-d3М!O158</f>
        <v>0</v>
      </c>
      <c r="P163" s="328">
        <f>'d3'!P163-d3М!P158</f>
        <v>0</v>
      </c>
      <c r="Q163" s="20"/>
      <c r="R163" s="50"/>
    </row>
    <row r="164" spans="1:18" s="33" customFormat="1" ht="47.25" thickTop="1" thickBot="1" x14ac:dyDescent="0.25">
      <c r="A164" s="329" t="s">
        <v>735</v>
      </c>
      <c r="B164" s="329" t="s">
        <v>736</v>
      </c>
      <c r="C164" s="329"/>
      <c r="D164" s="329" t="s">
        <v>737</v>
      </c>
      <c r="E164" s="328">
        <f>'d3'!E164-d3М!E159</f>
        <v>0</v>
      </c>
      <c r="F164" s="328">
        <f>'d3'!F164-d3М!F159</f>
        <v>0</v>
      </c>
      <c r="G164" s="328">
        <f>'d3'!G164-d3М!G159</f>
        <v>0</v>
      </c>
      <c r="H164" s="328">
        <f>'d3'!H164-d3М!H159</f>
        <v>0</v>
      </c>
      <c r="I164" s="328">
        <f>'d3'!I164-d3М!I159</f>
        <v>0</v>
      </c>
      <c r="J164" s="328">
        <f>'d3'!J164-d3М!J159</f>
        <v>0</v>
      </c>
      <c r="K164" s="328">
        <f>'d3'!K164-d3М!K159</f>
        <v>0</v>
      </c>
      <c r="L164" s="328">
        <f>'d3'!L164-d3М!L159</f>
        <v>0</v>
      </c>
      <c r="M164" s="328">
        <f>'d3'!M164-d3М!M159</f>
        <v>0</v>
      </c>
      <c r="N164" s="328">
        <f>'d3'!N164-d3М!N159</f>
        <v>0</v>
      </c>
      <c r="O164" s="328">
        <f>'d3'!O164-d3М!O159</f>
        <v>0</v>
      </c>
      <c r="P164" s="328">
        <f>'d3'!P164-d3М!P159</f>
        <v>0</v>
      </c>
      <c r="Q164" s="36"/>
      <c r="R164" s="51"/>
    </row>
    <row r="165" spans="1:18" ht="93" thickTop="1" thickBot="1" x14ac:dyDescent="0.25">
      <c r="A165" s="103" t="s">
        <v>325</v>
      </c>
      <c r="B165" s="103" t="s">
        <v>326</v>
      </c>
      <c r="C165" s="103" t="s">
        <v>205</v>
      </c>
      <c r="D165" s="103" t="s">
        <v>635</v>
      </c>
      <c r="E165" s="328">
        <f>'d3'!E165-d3М!E160</f>
        <v>0</v>
      </c>
      <c r="F165" s="328">
        <f>'d3'!F165-d3М!F160</f>
        <v>0</v>
      </c>
      <c r="G165" s="328">
        <f>'d3'!G165-d3М!G160</f>
        <v>0</v>
      </c>
      <c r="H165" s="328">
        <f>'d3'!H165-d3М!H160</f>
        <v>0</v>
      </c>
      <c r="I165" s="328">
        <f>'d3'!I165-d3М!I160</f>
        <v>0</v>
      </c>
      <c r="J165" s="328">
        <f>'d3'!J165-d3М!J160</f>
        <v>0</v>
      </c>
      <c r="K165" s="328">
        <f>'d3'!K165-d3М!K160</f>
        <v>0</v>
      </c>
      <c r="L165" s="328">
        <f>'d3'!L165-d3М!L160</f>
        <v>0</v>
      </c>
      <c r="M165" s="328">
        <f>'d3'!M165-d3М!M160</f>
        <v>0</v>
      </c>
      <c r="N165" s="328">
        <f>'d3'!N165-d3М!N160</f>
        <v>0</v>
      </c>
      <c r="O165" s="328">
        <f>'d3'!O165-d3М!O160</f>
        <v>0</v>
      </c>
      <c r="P165" s="328">
        <f>'d3'!P165-d3М!P160</f>
        <v>0</v>
      </c>
      <c r="Q165" s="20"/>
      <c r="R165" s="50"/>
    </row>
    <row r="166" spans="1:18" ht="47.25" thickTop="1" thickBot="1" x14ac:dyDescent="0.25">
      <c r="A166" s="103" t="s">
        <v>428</v>
      </c>
      <c r="B166" s="103" t="s">
        <v>372</v>
      </c>
      <c r="C166" s="103" t="s">
        <v>373</v>
      </c>
      <c r="D166" s="103" t="s">
        <v>371</v>
      </c>
      <c r="E166" s="328">
        <f>'d3'!E166-d3М!E161</f>
        <v>0</v>
      </c>
      <c r="F166" s="328">
        <f>'d3'!F166-d3М!F161</f>
        <v>0</v>
      </c>
      <c r="G166" s="328">
        <f>'d3'!G166-d3М!G161</f>
        <v>0</v>
      </c>
      <c r="H166" s="328">
        <f>'d3'!H166-d3М!H161</f>
        <v>0</v>
      </c>
      <c r="I166" s="328">
        <f>'d3'!I166-d3М!I161</f>
        <v>0</v>
      </c>
      <c r="J166" s="328">
        <f>'d3'!J166-d3М!J161</f>
        <v>0</v>
      </c>
      <c r="K166" s="328">
        <f>'d3'!K166-d3М!K161</f>
        <v>0</v>
      </c>
      <c r="L166" s="328">
        <f>'d3'!L166-d3М!L161</f>
        <v>0</v>
      </c>
      <c r="M166" s="328">
        <f>'d3'!M166-d3М!M161</f>
        <v>0</v>
      </c>
      <c r="N166" s="328">
        <f>'d3'!N166-d3М!N161</f>
        <v>0</v>
      </c>
      <c r="O166" s="328">
        <f>'d3'!O166-d3М!O161</f>
        <v>0</v>
      </c>
      <c r="P166" s="328">
        <f>'d3'!P166-d3М!P161</f>
        <v>0</v>
      </c>
      <c r="Q166" s="20"/>
      <c r="R166" s="50"/>
    </row>
    <row r="167" spans="1:18" ht="93" hidden="1" customHeight="1" thickTop="1" thickBot="1" x14ac:dyDescent="0.25">
      <c r="A167" s="140" t="s">
        <v>1059</v>
      </c>
      <c r="B167" s="140" t="s">
        <v>1060</v>
      </c>
      <c r="C167" s="140"/>
      <c r="D167" s="140" t="s">
        <v>1058</v>
      </c>
      <c r="E167" s="328">
        <f>'d3'!E167-d3М!E162</f>
        <v>0</v>
      </c>
      <c r="F167" s="328">
        <f>'d3'!F167-d3М!F162</f>
        <v>0</v>
      </c>
      <c r="G167" s="328">
        <f>'d3'!G167-d3М!G162</f>
        <v>0</v>
      </c>
      <c r="H167" s="328">
        <f>'d3'!H167-d3М!H162</f>
        <v>0</v>
      </c>
      <c r="I167" s="328">
        <f>'d3'!I167-d3М!I162</f>
        <v>0</v>
      </c>
      <c r="J167" s="328">
        <f>'d3'!J167-d3М!J162</f>
        <v>0</v>
      </c>
      <c r="K167" s="328">
        <f>'d3'!K167-d3М!K162</f>
        <v>0</v>
      </c>
      <c r="L167" s="328">
        <f>'d3'!L167-d3М!L162</f>
        <v>0</v>
      </c>
      <c r="M167" s="328">
        <f>'d3'!M167-d3М!M162</f>
        <v>0</v>
      </c>
      <c r="N167" s="328">
        <f>'d3'!N167-d3М!N162</f>
        <v>0</v>
      </c>
      <c r="O167" s="328">
        <f>'d3'!O167-d3М!O162</f>
        <v>0</v>
      </c>
      <c r="P167" s="328">
        <f>'d3'!P167-d3М!P162</f>
        <v>0</v>
      </c>
      <c r="Q167" s="20"/>
      <c r="R167" s="50"/>
    </row>
    <row r="168" spans="1:18" ht="256.5" hidden="1" customHeight="1" thickTop="1" x14ac:dyDescent="0.65">
      <c r="A168" s="789" t="s">
        <v>1061</v>
      </c>
      <c r="B168" s="789" t="s">
        <v>1062</v>
      </c>
      <c r="C168" s="789" t="s">
        <v>50</v>
      </c>
      <c r="D168" s="403" t="s">
        <v>1432</v>
      </c>
      <c r="E168" s="328">
        <f>'d3'!E168-d3М!E163</f>
        <v>0</v>
      </c>
      <c r="F168" s="328">
        <f>'d3'!F168-d3М!F163</f>
        <v>0</v>
      </c>
      <c r="G168" s="328">
        <f>'d3'!G168-d3М!G163</f>
        <v>0</v>
      </c>
      <c r="H168" s="328">
        <f>'d3'!H168-d3М!H163</f>
        <v>0</v>
      </c>
      <c r="I168" s="328">
        <f>'d3'!I168-d3М!I163</f>
        <v>0</v>
      </c>
      <c r="J168" s="328">
        <f>'d3'!J168-d3М!J163</f>
        <v>0</v>
      </c>
      <c r="K168" s="328">
        <f>'d3'!K168-d3М!K163</f>
        <v>0</v>
      </c>
      <c r="L168" s="328">
        <f>'d3'!L168-d3М!L163</f>
        <v>0</v>
      </c>
      <c r="M168" s="328">
        <f>'d3'!M168-d3М!M163</f>
        <v>0</v>
      </c>
      <c r="N168" s="328">
        <f>'d3'!N168-d3М!N163</f>
        <v>0</v>
      </c>
      <c r="O168" s="328">
        <f>'d3'!O168-d3М!O163</f>
        <v>0</v>
      </c>
      <c r="P168" s="328">
        <f>'d3'!P168-d3М!P163</f>
        <v>0</v>
      </c>
      <c r="Q168" s="791"/>
      <c r="R168" s="775"/>
    </row>
    <row r="169" spans="1:18" ht="238.5" hidden="1" customHeight="1" x14ac:dyDescent="0.2">
      <c r="A169" s="779"/>
      <c r="B169" s="779"/>
      <c r="C169" s="779"/>
      <c r="D169" s="404" t="s">
        <v>1433</v>
      </c>
      <c r="E169" s="328">
        <f>'d3'!E169-d3М!E164</f>
        <v>0</v>
      </c>
      <c r="F169" s="328">
        <f>'d3'!F169-d3М!F164</f>
        <v>0</v>
      </c>
      <c r="G169" s="328">
        <f>'d3'!G169-d3М!G164</f>
        <v>0</v>
      </c>
      <c r="H169" s="328">
        <f>'d3'!H169-d3М!H164</f>
        <v>0</v>
      </c>
      <c r="I169" s="328">
        <f>'d3'!I169-d3М!I164</f>
        <v>0</v>
      </c>
      <c r="J169" s="328">
        <f>'d3'!J169-d3М!J164</f>
        <v>0</v>
      </c>
      <c r="K169" s="328">
        <f>'d3'!K169-d3М!K164</f>
        <v>0</v>
      </c>
      <c r="L169" s="328">
        <f>'d3'!L169-d3М!L164</f>
        <v>0</v>
      </c>
      <c r="M169" s="328">
        <f>'d3'!M169-d3М!M164</f>
        <v>0</v>
      </c>
      <c r="N169" s="328">
        <f>'d3'!N169-d3М!N164</f>
        <v>0</v>
      </c>
      <c r="O169" s="328">
        <f>'d3'!O169-d3М!O164</f>
        <v>0</v>
      </c>
      <c r="P169" s="328">
        <f>'d3'!P169-d3М!P164</f>
        <v>0</v>
      </c>
      <c r="Q169" s="791"/>
      <c r="R169" s="776"/>
    </row>
    <row r="170" spans="1:18" ht="220.5" hidden="1" customHeight="1" x14ac:dyDescent="0.2">
      <c r="A170" s="779"/>
      <c r="B170" s="779"/>
      <c r="C170" s="779"/>
      <c r="D170" s="404" t="s">
        <v>1434</v>
      </c>
      <c r="E170" s="328">
        <f>'d3'!E170-d3М!E165</f>
        <v>0</v>
      </c>
      <c r="F170" s="328">
        <f>'d3'!F170-d3М!F165</f>
        <v>0</v>
      </c>
      <c r="G170" s="328">
        <f>'d3'!G170-d3М!G165</f>
        <v>0</v>
      </c>
      <c r="H170" s="328">
        <f>'d3'!H170-d3М!H165</f>
        <v>0</v>
      </c>
      <c r="I170" s="328">
        <f>'d3'!I170-d3М!I165</f>
        <v>0</v>
      </c>
      <c r="J170" s="328">
        <f>'d3'!J170-d3М!J165</f>
        <v>0</v>
      </c>
      <c r="K170" s="328">
        <f>'d3'!K170-d3М!K165</f>
        <v>0</v>
      </c>
      <c r="L170" s="328">
        <f>'d3'!L170-d3М!L165</f>
        <v>0</v>
      </c>
      <c r="M170" s="328">
        <f>'d3'!M170-d3М!M165</f>
        <v>0</v>
      </c>
      <c r="N170" s="328">
        <f>'d3'!N170-d3М!N165</f>
        <v>0</v>
      </c>
      <c r="O170" s="328">
        <f>'d3'!O170-d3М!O165</f>
        <v>0</v>
      </c>
      <c r="P170" s="328">
        <f>'d3'!P170-d3М!P165</f>
        <v>0</v>
      </c>
      <c r="Q170" s="791"/>
      <c r="R170" s="776"/>
    </row>
    <row r="171" spans="1:18" ht="166.5" hidden="1" customHeight="1" thickBot="1" x14ac:dyDescent="0.25">
      <c r="A171" s="780"/>
      <c r="B171" s="780"/>
      <c r="C171" s="780"/>
      <c r="D171" s="405" t="s">
        <v>1435</v>
      </c>
      <c r="E171" s="328">
        <f>'d3'!E171-d3М!E166</f>
        <v>0</v>
      </c>
      <c r="F171" s="328">
        <f>'d3'!F171-d3М!F166</f>
        <v>0</v>
      </c>
      <c r="G171" s="328">
        <f>'d3'!G171-d3М!G166</f>
        <v>0</v>
      </c>
      <c r="H171" s="328">
        <f>'d3'!H171-d3М!H166</f>
        <v>0</v>
      </c>
      <c r="I171" s="328">
        <f>'d3'!I171-d3М!I166</f>
        <v>0</v>
      </c>
      <c r="J171" s="328">
        <f>'d3'!J171-d3М!J166</f>
        <v>0</v>
      </c>
      <c r="K171" s="328">
        <f>'d3'!K171-d3М!K166</f>
        <v>0</v>
      </c>
      <c r="L171" s="328">
        <f>'d3'!L171-d3М!L166</f>
        <v>0</v>
      </c>
      <c r="M171" s="328">
        <f>'d3'!M171-d3М!M166</f>
        <v>0</v>
      </c>
      <c r="N171" s="328">
        <f>'d3'!N171-d3М!N166</f>
        <v>0</v>
      </c>
      <c r="O171" s="328">
        <f>'d3'!O171-d3М!O166</f>
        <v>0</v>
      </c>
      <c r="P171" s="328">
        <f>'d3'!P171-d3М!P166</f>
        <v>0</v>
      </c>
      <c r="Q171" s="791"/>
      <c r="R171" s="776"/>
    </row>
    <row r="172" spans="1:18" ht="277.5" hidden="1" customHeight="1" thickTop="1" x14ac:dyDescent="0.65">
      <c r="A172" s="789" t="s">
        <v>1064</v>
      </c>
      <c r="B172" s="789" t="s">
        <v>1065</v>
      </c>
      <c r="C172" s="789" t="s">
        <v>50</v>
      </c>
      <c r="D172" s="403" t="s">
        <v>1063</v>
      </c>
      <c r="E172" s="328">
        <f>'d3'!E172-d3М!E167</f>
        <v>0</v>
      </c>
      <c r="F172" s="328">
        <f>'d3'!F172-d3М!F167</f>
        <v>0</v>
      </c>
      <c r="G172" s="328">
        <f>'d3'!G172-d3М!G167</f>
        <v>0</v>
      </c>
      <c r="H172" s="328">
        <f>'d3'!H172-d3М!H167</f>
        <v>0</v>
      </c>
      <c r="I172" s="328">
        <f>'d3'!I172-d3М!I167</f>
        <v>0</v>
      </c>
      <c r="J172" s="328">
        <f>'d3'!J172-d3М!J167</f>
        <v>0</v>
      </c>
      <c r="K172" s="328">
        <f>'d3'!K172-d3М!K167</f>
        <v>0</v>
      </c>
      <c r="L172" s="328">
        <f>'d3'!L172-d3М!L167</f>
        <v>0</v>
      </c>
      <c r="M172" s="328">
        <f>'d3'!M172-d3М!M167</f>
        <v>0</v>
      </c>
      <c r="N172" s="328">
        <f>'d3'!N172-d3М!N167</f>
        <v>0</v>
      </c>
      <c r="O172" s="328">
        <f>'d3'!O172-d3М!O167</f>
        <v>0</v>
      </c>
      <c r="P172" s="328">
        <f>'d3'!P172-d3М!P167</f>
        <v>0</v>
      </c>
      <c r="Q172" s="20"/>
      <c r="R172" s="775"/>
    </row>
    <row r="173" spans="1:18" ht="298.5" hidden="1" customHeight="1" x14ac:dyDescent="0.2">
      <c r="A173" s="779"/>
      <c r="B173" s="779"/>
      <c r="C173" s="779"/>
      <c r="D173" s="404" t="s">
        <v>1436</v>
      </c>
      <c r="E173" s="328">
        <f>'d3'!E173-d3М!E168</f>
        <v>0</v>
      </c>
      <c r="F173" s="328">
        <f>'d3'!F173-d3М!F168</f>
        <v>0</v>
      </c>
      <c r="G173" s="328">
        <f>'d3'!G173-d3М!G168</f>
        <v>0</v>
      </c>
      <c r="H173" s="328">
        <f>'d3'!H173-d3М!H168</f>
        <v>0</v>
      </c>
      <c r="I173" s="328">
        <f>'d3'!I173-d3М!I168</f>
        <v>0</v>
      </c>
      <c r="J173" s="328">
        <f>'d3'!J173-d3М!J168</f>
        <v>0</v>
      </c>
      <c r="K173" s="328">
        <f>'d3'!K173-d3М!K168</f>
        <v>0</v>
      </c>
      <c r="L173" s="328">
        <f>'d3'!L173-d3М!L168</f>
        <v>0</v>
      </c>
      <c r="M173" s="328">
        <f>'d3'!M173-d3М!M168</f>
        <v>0</v>
      </c>
      <c r="N173" s="328">
        <f>'d3'!N173-d3М!N168</f>
        <v>0</v>
      </c>
      <c r="O173" s="328">
        <f>'d3'!O173-d3М!O168</f>
        <v>0</v>
      </c>
      <c r="P173" s="328">
        <f>'d3'!P173-d3М!P168</f>
        <v>0</v>
      </c>
      <c r="Q173" s="20"/>
      <c r="R173" s="790"/>
    </row>
    <row r="174" spans="1:18" ht="283.5" hidden="1" customHeight="1" x14ac:dyDescent="0.2">
      <c r="A174" s="779"/>
      <c r="B174" s="779"/>
      <c r="C174" s="779"/>
      <c r="D174" s="404" t="s">
        <v>1437</v>
      </c>
      <c r="E174" s="328">
        <f>'d3'!E174-d3М!E169</f>
        <v>0</v>
      </c>
      <c r="F174" s="328">
        <f>'d3'!F174-d3М!F169</f>
        <v>0</v>
      </c>
      <c r="G174" s="328">
        <f>'d3'!G174-d3М!G169</f>
        <v>0</v>
      </c>
      <c r="H174" s="328">
        <f>'d3'!H174-d3М!H169</f>
        <v>0</v>
      </c>
      <c r="I174" s="328">
        <f>'d3'!I174-d3М!I169</f>
        <v>0</v>
      </c>
      <c r="J174" s="328">
        <f>'d3'!J174-d3М!J169</f>
        <v>0</v>
      </c>
      <c r="K174" s="328">
        <f>'d3'!K174-d3М!K169</f>
        <v>0</v>
      </c>
      <c r="L174" s="328">
        <f>'d3'!L174-d3М!L169</f>
        <v>0</v>
      </c>
      <c r="M174" s="328">
        <f>'d3'!M174-d3М!M169</f>
        <v>0</v>
      </c>
      <c r="N174" s="328">
        <f>'d3'!N174-d3М!N169</f>
        <v>0</v>
      </c>
      <c r="O174" s="328">
        <f>'d3'!O174-d3М!O169</f>
        <v>0</v>
      </c>
      <c r="P174" s="328">
        <f>'d3'!P174-d3М!P169</f>
        <v>0</v>
      </c>
      <c r="Q174" s="20"/>
      <c r="R174" s="790"/>
    </row>
    <row r="175" spans="1:18" ht="93" hidden="1" customHeight="1" thickTop="1" thickBot="1" x14ac:dyDescent="0.25">
      <c r="A175" s="780"/>
      <c r="B175" s="780"/>
      <c r="C175" s="780"/>
      <c r="D175" s="405" t="s">
        <v>1438</v>
      </c>
      <c r="E175" s="328">
        <f>'d3'!E175-d3М!E170</f>
        <v>0</v>
      </c>
      <c r="F175" s="328">
        <f>'d3'!F175-d3М!F170</f>
        <v>0</v>
      </c>
      <c r="G175" s="328">
        <f>'d3'!G175-d3М!G170</f>
        <v>0</v>
      </c>
      <c r="H175" s="328">
        <f>'d3'!H175-d3М!H170</f>
        <v>0</v>
      </c>
      <c r="I175" s="328">
        <f>'d3'!I175-d3М!I170</f>
        <v>0</v>
      </c>
      <c r="J175" s="328">
        <f>'d3'!J175-d3М!J170</f>
        <v>0</v>
      </c>
      <c r="K175" s="328">
        <f>'d3'!K175-d3М!K170</f>
        <v>0</v>
      </c>
      <c r="L175" s="328">
        <f>'d3'!L175-d3М!L170</f>
        <v>0</v>
      </c>
      <c r="M175" s="328">
        <f>'d3'!M175-d3М!M170</f>
        <v>0</v>
      </c>
      <c r="N175" s="328">
        <f>'d3'!N175-d3М!N170</f>
        <v>0</v>
      </c>
      <c r="O175" s="328">
        <f>'d3'!O175-d3М!O170</f>
        <v>0</v>
      </c>
      <c r="P175" s="328">
        <f>'d3'!P175-d3М!P170</f>
        <v>0</v>
      </c>
      <c r="Q175" s="20"/>
      <c r="R175" s="790"/>
    </row>
    <row r="176" spans="1:18" ht="310.5" hidden="1" customHeight="1" thickTop="1" x14ac:dyDescent="0.65">
      <c r="A176" s="789" t="s">
        <v>1066</v>
      </c>
      <c r="B176" s="789" t="s">
        <v>1067</v>
      </c>
      <c r="C176" s="789" t="s">
        <v>50</v>
      </c>
      <c r="D176" s="403" t="s">
        <v>1439</v>
      </c>
      <c r="E176" s="328">
        <f>'d3'!E176-d3М!E171</f>
        <v>0</v>
      </c>
      <c r="F176" s="328">
        <f>'d3'!F176-d3М!F171</f>
        <v>0</v>
      </c>
      <c r="G176" s="328">
        <f>'d3'!G176-d3М!G171</f>
        <v>0</v>
      </c>
      <c r="H176" s="328">
        <f>'d3'!H176-d3М!H171</f>
        <v>0</v>
      </c>
      <c r="I176" s="328">
        <f>'d3'!I176-d3М!I171</f>
        <v>0</v>
      </c>
      <c r="J176" s="328">
        <f>'d3'!J176-d3М!J171</f>
        <v>0</v>
      </c>
      <c r="K176" s="328">
        <f>'d3'!K176-d3М!K171</f>
        <v>0</v>
      </c>
      <c r="L176" s="328">
        <f>'d3'!L176-d3М!L171</f>
        <v>0</v>
      </c>
      <c r="M176" s="328">
        <f>'d3'!M176-d3М!M171</f>
        <v>0</v>
      </c>
      <c r="N176" s="328">
        <f>'d3'!N176-d3М!N171</f>
        <v>0</v>
      </c>
      <c r="O176" s="328">
        <f>'d3'!O176-d3М!O171</f>
        <v>0</v>
      </c>
      <c r="P176" s="328">
        <f>'d3'!P176-d3М!P171</f>
        <v>0</v>
      </c>
      <c r="Q176" s="20"/>
      <c r="R176" s="775"/>
    </row>
    <row r="177" spans="1:18" ht="268.5" hidden="1" customHeight="1" x14ac:dyDescent="0.2">
      <c r="A177" s="779"/>
      <c r="B177" s="779"/>
      <c r="C177" s="779"/>
      <c r="D177" s="404" t="s">
        <v>1440</v>
      </c>
      <c r="E177" s="328">
        <f>'d3'!E177-d3М!E172</f>
        <v>0</v>
      </c>
      <c r="F177" s="328">
        <f>'d3'!F177-d3М!F172</f>
        <v>0</v>
      </c>
      <c r="G177" s="328">
        <f>'d3'!G177-d3М!G172</f>
        <v>0</v>
      </c>
      <c r="H177" s="328">
        <f>'d3'!H177-d3М!H172</f>
        <v>0</v>
      </c>
      <c r="I177" s="328">
        <f>'d3'!I177-d3М!I172</f>
        <v>0</v>
      </c>
      <c r="J177" s="328">
        <f>'d3'!J177-d3М!J172</f>
        <v>0</v>
      </c>
      <c r="K177" s="328">
        <f>'d3'!K177-d3М!K172</f>
        <v>0</v>
      </c>
      <c r="L177" s="328">
        <f>'d3'!L177-d3М!L172</f>
        <v>0</v>
      </c>
      <c r="M177" s="328">
        <f>'d3'!M177-d3М!M172</f>
        <v>0</v>
      </c>
      <c r="N177" s="328">
        <f>'d3'!N177-d3М!N172</f>
        <v>0</v>
      </c>
      <c r="O177" s="328">
        <f>'d3'!O177-d3М!O172</f>
        <v>0</v>
      </c>
      <c r="P177" s="328">
        <f>'d3'!P177-d3М!P172</f>
        <v>0</v>
      </c>
      <c r="Q177" s="20"/>
      <c r="R177" s="776"/>
    </row>
    <row r="178" spans="1:18" ht="93" hidden="1" customHeight="1" thickTop="1" thickBot="1" x14ac:dyDescent="0.25">
      <c r="A178" s="780"/>
      <c r="B178" s="780"/>
      <c r="C178" s="780"/>
      <c r="D178" s="405" t="s">
        <v>1068</v>
      </c>
      <c r="E178" s="328">
        <f>'d3'!E178-d3М!E173</f>
        <v>0</v>
      </c>
      <c r="F178" s="328">
        <f>'d3'!F178-d3М!F173</f>
        <v>0</v>
      </c>
      <c r="G178" s="328">
        <f>'d3'!G178-d3М!G173</f>
        <v>0</v>
      </c>
      <c r="H178" s="328">
        <f>'d3'!H178-d3М!H173</f>
        <v>0</v>
      </c>
      <c r="I178" s="328">
        <f>'d3'!I178-d3М!I173</f>
        <v>0</v>
      </c>
      <c r="J178" s="328">
        <f>'d3'!J178-d3М!J173</f>
        <v>0</v>
      </c>
      <c r="K178" s="328">
        <f>'d3'!K178-d3М!K173</f>
        <v>0</v>
      </c>
      <c r="L178" s="328">
        <f>'d3'!L178-d3М!L173</f>
        <v>0</v>
      </c>
      <c r="M178" s="328">
        <f>'d3'!M178-d3М!M173</f>
        <v>0</v>
      </c>
      <c r="N178" s="328">
        <f>'d3'!N178-d3М!N173</f>
        <v>0</v>
      </c>
      <c r="O178" s="328">
        <f>'d3'!O178-d3М!O173</f>
        <v>0</v>
      </c>
      <c r="P178" s="328">
        <f>'d3'!P178-d3М!P173</f>
        <v>0</v>
      </c>
      <c r="Q178" s="20"/>
      <c r="R178" s="776"/>
    </row>
    <row r="179" spans="1:18" ht="184.5" hidden="1" customHeight="1" thickTop="1" thickBot="1" x14ac:dyDescent="0.7">
      <c r="A179" s="777" t="s">
        <v>1072</v>
      </c>
      <c r="B179" s="777" t="s">
        <v>1073</v>
      </c>
      <c r="C179" s="777" t="s">
        <v>50</v>
      </c>
      <c r="D179" s="406" t="s">
        <v>1069</v>
      </c>
      <c r="E179" s="328">
        <f>'d3'!E179-d3М!E174</f>
        <v>0</v>
      </c>
      <c r="F179" s="328">
        <f>'d3'!F179-d3М!F174</f>
        <v>0</v>
      </c>
      <c r="G179" s="328">
        <f>'d3'!G179-d3М!G174</f>
        <v>0</v>
      </c>
      <c r="H179" s="328">
        <f>'d3'!H179-d3М!H174</f>
        <v>0</v>
      </c>
      <c r="I179" s="328">
        <f>'d3'!I179-d3М!I174</f>
        <v>0</v>
      </c>
      <c r="J179" s="328">
        <f>'d3'!J179-d3М!J174</f>
        <v>0</v>
      </c>
      <c r="K179" s="328">
        <f>'d3'!K179-d3М!K174</f>
        <v>0</v>
      </c>
      <c r="L179" s="328">
        <f>'d3'!L179-d3М!L174</f>
        <v>0</v>
      </c>
      <c r="M179" s="328">
        <f>'d3'!M179-d3М!M174</f>
        <v>0</v>
      </c>
      <c r="N179" s="328">
        <f>'d3'!N179-d3М!N174</f>
        <v>0</v>
      </c>
      <c r="O179" s="328">
        <f>'d3'!O179-d3М!O174</f>
        <v>0</v>
      </c>
      <c r="P179" s="328">
        <f>'d3'!P179-d3М!P174</f>
        <v>0</v>
      </c>
      <c r="Q179" s="20"/>
      <c r="R179" s="775"/>
    </row>
    <row r="180" spans="1:18" ht="184.5" hidden="1" customHeight="1" thickTop="1" thickBot="1" x14ac:dyDescent="0.25">
      <c r="A180" s="772"/>
      <c r="B180" s="772"/>
      <c r="C180" s="772"/>
      <c r="D180" s="126" t="s">
        <v>1070</v>
      </c>
      <c r="E180" s="328">
        <f>'d3'!E180-d3М!E175</f>
        <v>0</v>
      </c>
      <c r="F180" s="328">
        <f>'d3'!F180-d3М!F175</f>
        <v>0</v>
      </c>
      <c r="G180" s="328">
        <f>'d3'!G180-d3М!G175</f>
        <v>0</v>
      </c>
      <c r="H180" s="328">
        <f>'d3'!H180-d3М!H175</f>
        <v>0</v>
      </c>
      <c r="I180" s="328">
        <f>'d3'!I180-d3М!I175</f>
        <v>0</v>
      </c>
      <c r="J180" s="328">
        <f>'d3'!J180-d3М!J175</f>
        <v>0</v>
      </c>
      <c r="K180" s="328">
        <f>'d3'!K180-d3М!K175</f>
        <v>0</v>
      </c>
      <c r="L180" s="328">
        <f>'d3'!L180-d3М!L175</f>
        <v>0</v>
      </c>
      <c r="M180" s="328">
        <f>'d3'!M180-d3М!M175</f>
        <v>0</v>
      </c>
      <c r="N180" s="328">
        <f>'d3'!N180-d3М!N175</f>
        <v>0</v>
      </c>
      <c r="O180" s="328">
        <f>'d3'!O180-d3М!O175</f>
        <v>0</v>
      </c>
      <c r="P180" s="328">
        <f>'d3'!P180-d3М!P175</f>
        <v>0</v>
      </c>
      <c r="Q180" s="20"/>
      <c r="R180" s="776"/>
    </row>
    <row r="181" spans="1:18" ht="47.25" hidden="1" customHeight="1" thickTop="1" thickBot="1" x14ac:dyDescent="0.25">
      <c r="A181" s="773"/>
      <c r="B181" s="773"/>
      <c r="C181" s="773"/>
      <c r="D181" s="407" t="s">
        <v>1071</v>
      </c>
      <c r="E181" s="328">
        <f>'d3'!E181-d3М!E176</f>
        <v>0</v>
      </c>
      <c r="F181" s="328">
        <f>'d3'!F181-d3М!F176</f>
        <v>0</v>
      </c>
      <c r="G181" s="328">
        <f>'d3'!G181-d3М!G176</f>
        <v>0</v>
      </c>
      <c r="H181" s="328">
        <f>'d3'!H181-d3М!H176</f>
        <v>0</v>
      </c>
      <c r="I181" s="328">
        <f>'d3'!I181-d3М!I176</f>
        <v>0</v>
      </c>
      <c r="J181" s="328">
        <f>'d3'!J181-d3М!J176</f>
        <v>0</v>
      </c>
      <c r="K181" s="328">
        <f>'d3'!K181-d3М!K176</f>
        <v>0</v>
      </c>
      <c r="L181" s="328">
        <f>'d3'!L181-d3М!L176</f>
        <v>0</v>
      </c>
      <c r="M181" s="328">
        <f>'d3'!M181-d3М!M176</f>
        <v>0</v>
      </c>
      <c r="N181" s="328">
        <f>'d3'!N181-d3М!N176</f>
        <v>0</v>
      </c>
      <c r="O181" s="328">
        <f>'d3'!O181-d3М!O176</f>
        <v>0</v>
      </c>
      <c r="P181" s="328">
        <f>'d3'!P181-d3М!P176</f>
        <v>0</v>
      </c>
      <c r="Q181" s="20"/>
      <c r="R181" s="776"/>
    </row>
    <row r="182" spans="1:18" ht="93" thickTop="1" thickBot="1" x14ac:dyDescent="0.25">
      <c r="A182" s="103" t="s">
        <v>1203</v>
      </c>
      <c r="B182" s="103" t="s">
        <v>1200</v>
      </c>
      <c r="C182" s="103" t="s">
        <v>206</v>
      </c>
      <c r="D182" s="470" t="s">
        <v>1201</v>
      </c>
      <c r="E182" s="328">
        <f>'d3'!E182-d3М!E177</f>
        <v>856731.21999999974</v>
      </c>
      <c r="F182" s="328">
        <f>'d3'!F182-d3М!F177</f>
        <v>856731.21999999974</v>
      </c>
      <c r="G182" s="328">
        <f>'d3'!G182-d3М!G177</f>
        <v>0</v>
      </c>
      <c r="H182" s="328">
        <f>'d3'!H182-d3М!H177</f>
        <v>0</v>
      </c>
      <c r="I182" s="328">
        <f>'d3'!I182-d3М!I177</f>
        <v>0</v>
      </c>
      <c r="J182" s="328">
        <f>'d3'!J182-d3М!J177</f>
        <v>3052926</v>
      </c>
      <c r="K182" s="328">
        <f>'d3'!K182-d3М!K177</f>
        <v>3052926</v>
      </c>
      <c r="L182" s="328">
        <f>'d3'!L182-d3М!L177</f>
        <v>0</v>
      </c>
      <c r="M182" s="328">
        <f>'d3'!M182-d3М!M177</f>
        <v>0</v>
      </c>
      <c r="N182" s="328">
        <f>'d3'!N182-d3М!N177</f>
        <v>0</v>
      </c>
      <c r="O182" s="328">
        <f>'d3'!O182-d3М!O177</f>
        <v>3052926</v>
      </c>
      <c r="P182" s="328">
        <f>'d3'!P182-d3М!P177</f>
        <v>3909657.2199999988</v>
      </c>
      <c r="Q182" s="20"/>
      <c r="R182" s="21"/>
    </row>
    <row r="183" spans="1:18" s="33" customFormat="1" ht="47.25" thickTop="1" thickBot="1" x14ac:dyDescent="0.25">
      <c r="A183" s="329" t="s">
        <v>738</v>
      </c>
      <c r="B183" s="329" t="s">
        <v>739</v>
      </c>
      <c r="C183" s="329"/>
      <c r="D183" s="329" t="s">
        <v>740</v>
      </c>
      <c r="E183" s="328">
        <f>'d3'!E183-d3М!E178</f>
        <v>21451238</v>
      </c>
      <c r="F183" s="328">
        <f>'d3'!F183-d3М!F178</f>
        <v>21451238</v>
      </c>
      <c r="G183" s="328">
        <f>'d3'!G183-d3М!G178</f>
        <v>0</v>
      </c>
      <c r="H183" s="328">
        <f>'d3'!H183-d3М!H178</f>
        <v>137643</v>
      </c>
      <c r="I183" s="328">
        <f>'d3'!I183-d3М!I178</f>
        <v>0</v>
      </c>
      <c r="J183" s="328">
        <f>'d3'!J183-d3М!J178</f>
        <v>1602380</v>
      </c>
      <c r="K183" s="328">
        <f>'d3'!K183-d3М!K178</f>
        <v>1602380</v>
      </c>
      <c r="L183" s="328">
        <f>'d3'!L183-d3М!L178</f>
        <v>0</v>
      </c>
      <c r="M183" s="328">
        <f>'d3'!M183-d3М!M178</f>
        <v>0</v>
      </c>
      <c r="N183" s="328">
        <f>'d3'!N183-d3М!N178</f>
        <v>0</v>
      </c>
      <c r="O183" s="328">
        <f>'d3'!O183-d3М!O178</f>
        <v>1602380</v>
      </c>
      <c r="P183" s="328">
        <f>'d3'!P183-d3М!P178</f>
        <v>23053618</v>
      </c>
      <c r="Q183" s="36"/>
      <c r="R183" s="51"/>
    </row>
    <row r="184" spans="1:18" ht="93" thickTop="1" thickBot="1" x14ac:dyDescent="0.25">
      <c r="A184" s="103" t="s">
        <v>327</v>
      </c>
      <c r="B184" s="103" t="s">
        <v>329</v>
      </c>
      <c r="C184" s="103" t="s">
        <v>191</v>
      </c>
      <c r="D184" s="470" t="s">
        <v>331</v>
      </c>
      <c r="E184" s="328">
        <f>'d3'!E184-d3М!E179</f>
        <v>1234488</v>
      </c>
      <c r="F184" s="328">
        <f>'d3'!F184-d3М!F179</f>
        <v>1234488</v>
      </c>
      <c r="G184" s="328">
        <f>'d3'!G184-d3М!G179</f>
        <v>0</v>
      </c>
      <c r="H184" s="328">
        <f>'d3'!H184-d3М!H179</f>
        <v>137643</v>
      </c>
      <c r="I184" s="328">
        <f>'d3'!I184-d3М!I179</f>
        <v>0</v>
      </c>
      <c r="J184" s="328">
        <f>'d3'!J184-d3М!J179</f>
        <v>1602380</v>
      </c>
      <c r="K184" s="328">
        <f>'d3'!K184-d3М!K179</f>
        <v>1602380</v>
      </c>
      <c r="L184" s="328">
        <f>'d3'!L184-d3М!L179</f>
        <v>0</v>
      </c>
      <c r="M184" s="328">
        <f>'d3'!M184-d3М!M179</f>
        <v>0</v>
      </c>
      <c r="N184" s="328">
        <f>'d3'!N184-d3М!N179</f>
        <v>0</v>
      </c>
      <c r="O184" s="328">
        <f>'d3'!O184-d3М!O179</f>
        <v>1602380</v>
      </c>
      <c r="P184" s="328">
        <f>'d3'!P184-d3М!P179</f>
        <v>2836868</v>
      </c>
      <c r="Q184" s="20"/>
      <c r="R184" s="46"/>
    </row>
    <row r="185" spans="1:18" ht="66.75" customHeight="1" thickTop="1" thickBot="1" x14ac:dyDescent="0.25">
      <c r="A185" s="103" t="s">
        <v>328</v>
      </c>
      <c r="B185" s="103" t="s">
        <v>330</v>
      </c>
      <c r="C185" s="103" t="s">
        <v>191</v>
      </c>
      <c r="D185" s="470" t="s">
        <v>332</v>
      </c>
      <c r="E185" s="328">
        <f>'d3'!E185-d3М!E180</f>
        <v>20216750</v>
      </c>
      <c r="F185" s="328">
        <f>'d3'!F185-d3М!F180</f>
        <v>20216750</v>
      </c>
      <c r="G185" s="328">
        <f>'d3'!G185-d3М!G180</f>
        <v>0</v>
      </c>
      <c r="H185" s="328">
        <f>'d3'!H185-d3М!H180</f>
        <v>0</v>
      </c>
      <c r="I185" s="328">
        <f>'d3'!I185-d3М!I180</f>
        <v>0</v>
      </c>
      <c r="J185" s="328">
        <f>'d3'!J185-d3М!J180</f>
        <v>0</v>
      </c>
      <c r="K185" s="328">
        <f>'d3'!K185-d3М!K180</f>
        <v>0</v>
      </c>
      <c r="L185" s="328">
        <f>'d3'!L185-d3М!L180</f>
        <v>0</v>
      </c>
      <c r="M185" s="328">
        <f>'d3'!M185-d3М!M180</f>
        <v>0</v>
      </c>
      <c r="N185" s="328">
        <f>'d3'!N185-d3М!N180</f>
        <v>0</v>
      </c>
      <c r="O185" s="328">
        <f>'d3'!O185-d3М!O180</f>
        <v>0</v>
      </c>
      <c r="P185" s="328">
        <f>'d3'!P185-d3М!P180</f>
        <v>20216750</v>
      </c>
      <c r="Q185" s="20"/>
      <c r="R185" s="46"/>
    </row>
    <row r="186" spans="1:18" ht="47.25" thickTop="1" thickBot="1" x14ac:dyDescent="0.25">
      <c r="A186" s="311" t="s">
        <v>741</v>
      </c>
      <c r="B186" s="311" t="s">
        <v>742</v>
      </c>
      <c r="C186" s="311"/>
      <c r="D186" s="347" t="s">
        <v>743</v>
      </c>
      <c r="E186" s="328">
        <f>'d3'!E186-d3М!E181</f>
        <v>0</v>
      </c>
      <c r="F186" s="328">
        <f>'d3'!F186-d3М!F181</f>
        <v>0</v>
      </c>
      <c r="G186" s="328">
        <f>'d3'!G186-d3М!G181</f>
        <v>0</v>
      </c>
      <c r="H186" s="328">
        <f>'d3'!H186-d3М!H181</f>
        <v>0</v>
      </c>
      <c r="I186" s="328">
        <f>'d3'!I186-d3М!I181</f>
        <v>0</v>
      </c>
      <c r="J186" s="328">
        <f>'d3'!J186-d3М!J181</f>
        <v>0</v>
      </c>
      <c r="K186" s="328">
        <f>'d3'!K186-d3М!K181</f>
        <v>0</v>
      </c>
      <c r="L186" s="328">
        <f>'d3'!L186-d3М!L181</f>
        <v>0</v>
      </c>
      <c r="M186" s="328">
        <f>'d3'!M186-d3М!M181</f>
        <v>0</v>
      </c>
      <c r="N186" s="328">
        <f>'d3'!N186-d3М!N181</f>
        <v>0</v>
      </c>
      <c r="O186" s="328">
        <f>'d3'!O186-d3М!O181</f>
        <v>0</v>
      </c>
      <c r="P186" s="328">
        <f>'d3'!P186-d3М!P181</f>
        <v>0</v>
      </c>
      <c r="Q186" s="20"/>
      <c r="R186" s="46"/>
    </row>
    <row r="187" spans="1:18" s="33" customFormat="1" ht="48" thickTop="1" thickBot="1" x14ac:dyDescent="0.25">
      <c r="A187" s="329" t="s">
        <v>744</v>
      </c>
      <c r="B187" s="329" t="s">
        <v>745</v>
      </c>
      <c r="C187" s="329"/>
      <c r="D187" s="552" t="s">
        <v>746</v>
      </c>
      <c r="E187" s="328">
        <f>'d3'!E187-d3М!E182</f>
        <v>0</v>
      </c>
      <c r="F187" s="328">
        <f>'d3'!F187-d3М!F182</f>
        <v>0</v>
      </c>
      <c r="G187" s="328">
        <f>'d3'!G187-d3М!G182</f>
        <v>0</v>
      </c>
      <c r="H187" s="328">
        <f>'d3'!H187-d3М!H182</f>
        <v>0</v>
      </c>
      <c r="I187" s="328">
        <f>'d3'!I187-d3М!I182</f>
        <v>0</v>
      </c>
      <c r="J187" s="328">
        <f>'d3'!J187-d3М!J182</f>
        <v>0</v>
      </c>
      <c r="K187" s="328">
        <f>'d3'!K187-d3М!K182</f>
        <v>0</v>
      </c>
      <c r="L187" s="328">
        <f>'d3'!L187-d3М!L182</f>
        <v>0</v>
      </c>
      <c r="M187" s="328">
        <f>'d3'!M187-d3М!M182</f>
        <v>0</v>
      </c>
      <c r="N187" s="328">
        <f>'d3'!N187-d3М!N182</f>
        <v>0</v>
      </c>
      <c r="O187" s="328">
        <f>'d3'!O187-d3М!O182</f>
        <v>0</v>
      </c>
      <c r="P187" s="328">
        <f>'d3'!P187-d3М!P182</f>
        <v>0</v>
      </c>
      <c r="Q187" s="36"/>
      <c r="R187" s="52"/>
    </row>
    <row r="188" spans="1:18" ht="47.25" thickTop="1" thickBot="1" x14ac:dyDescent="0.25">
      <c r="A188" s="103" t="s">
        <v>367</v>
      </c>
      <c r="B188" s="103" t="s">
        <v>365</v>
      </c>
      <c r="C188" s="103" t="s">
        <v>340</v>
      </c>
      <c r="D188" s="470" t="s">
        <v>366</v>
      </c>
      <c r="E188" s="328">
        <f>'d3'!E188-d3М!E183</f>
        <v>0</v>
      </c>
      <c r="F188" s="328">
        <f>'d3'!F188-d3М!F183</f>
        <v>0</v>
      </c>
      <c r="G188" s="328">
        <f>'d3'!G188-d3М!G183</f>
        <v>0</v>
      </c>
      <c r="H188" s="328">
        <f>'d3'!H188-d3М!H183</f>
        <v>0</v>
      </c>
      <c r="I188" s="328">
        <f>'d3'!I188-d3М!I183</f>
        <v>0</v>
      </c>
      <c r="J188" s="328">
        <f>'d3'!J188-d3М!J183</f>
        <v>0</v>
      </c>
      <c r="K188" s="328">
        <f>'d3'!K188-d3М!K183</f>
        <v>0</v>
      </c>
      <c r="L188" s="328">
        <f>'d3'!L188-d3М!L183</f>
        <v>0</v>
      </c>
      <c r="M188" s="328">
        <f>'d3'!M188-d3М!M183</f>
        <v>0</v>
      </c>
      <c r="N188" s="328">
        <f>'d3'!N188-d3М!N183</f>
        <v>0</v>
      </c>
      <c r="O188" s="328">
        <f>'d3'!O188-d3М!O183</f>
        <v>0</v>
      </c>
      <c r="P188" s="328">
        <f>'d3'!P188-d3М!P183</f>
        <v>0</v>
      </c>
      <c r="Q188" s="20"/>
      <c r="R188" s="46"/>
    </row>
    <row r="189" spans="1:18" ht="184.5" hidden="1" thickTop="1" thickBot="1" x14ac:dyDescent="0.25">
      <c r="A189" s="41" t="s">
        <v>1074</v>
      </c>
      <c r="B189" s="41" t="s">
        <v>1075</v>
      </c>
      <c r="C189" s="41" t="s">
        <v>340</v>
      </c>
      <c r="D189" s="154" t="s">
        <v>1076</v>
      </c>
      <c r="E189" s="42"/>
      <c r="F189" s="43"/>
      <c r="G189" s="43"/>
      <c r="H189" s="43"/>
      <c r="I189" s="43"/>
      <c r="J189" s="42"/>
      <c r="K189" s="43"/>
      <c r="L189" s="43"/>
      <c r="M189" s="43"/>
      <c r="N189" s="43"/>
      <c r="O189" s="44"/>
      <c r="P189" s="42"/>
      <c r="Q189" s="20"/>
      <c r="R189" s="46"/>
    </row>
    <row r="190" spans="1:18" ht="47.25" thickTop="1" thickBot="1" x14ac:dyDescent="0.25">
      <c r="A190" s="700" t="s">
        <v>751</v>
      </c>
      <c r="B190" s="700" t="s">
        <v>748</v>
      </c>
      <c r="C190" s="700"/>
      <c r="D190" s="700" t="s">
        <v>749</v>
      </c>
      <c r="E190" s="328">
        <f>'d3'!E190-d3М!E185</f>
        <v>0</v>
      </c>
      <c r="F190" s="328">
        <f>'d3'!F190-d3М!F185</f>
        <v>0</v>
      </c>
      <c r="G190" s="328">
        <f>'d3'!G190-d3М!G185</f>
        <v>0</v>
      </c>
      <c r="H190" s="328">
        <f>'d3'!H190-d3М!H185</f>
        <v>0</v>
      </c>
      <c r="I190" s="328">
        <f>'d3'!I190-d3М!I185</f>
        <v>0</v>
      </c>
      <c r="J190" s="328">
        <f>'d3'!J190-d3М!J185</f>
        <v>2450000</v>
      </c>
      <c r="K190" s="328">
        <f>'d3'!K190-d3М!K185</f>
        <v>2450000</v>
      </c>
      <c r="L190" s="328">
        <f>'d3'!L190-d3М!L185</f>
        <v>0</v>
      </c>
      <c r="M190" s="328">
        <f>'d3'!M190-d3М!M185</f>
        <v>0</v>
      </c>
      <c r="N190" s="328">
        <f>'d3'!N190-d3М!N185</f>
        <v>0</v>
      </c>
      <c r="O190" s="328">
        <f>'d3'!O190-d3М!O185</f>
        <v>2450000</v>
      </c>
      <c r="P190" s="328">
        <f>'d3'!P190-d3М!P185</f>
        <v>2450000</v>
      </c>
      <c r="Q190" s="20"/>
      <c r="R190" s="46"/>
    </row>
    <row r="191" spans="1:18" ht="47.25" thickTop="1" thickBot="1" x14ac:dyDescent="0.25">
      <c r="A191" s="698" t="s">
        <v>926</v>
      </c>
      <c r="B191" s="698" t="s">
        <v>803</v>
      </c>
      <c r="C191" s="698"/>
      <c r="D191" s="698" t="s">
        <v>804</v>
      </c>
      <c r="E191" s="328">
        <f>'d3'!E191-d3М!E186</f>
        <v>0</v>
      </c>
      <c r="F191" s="328">
        <f>'d3'!F191-d3М!F186</f>
        <v>0</v>
      </c>
      <c r="G191" s="328">
        <f>'d3'!G191-d3М!G186</f>
        <v>0</v>
      </c>
      <c r="H191" s="328">
        <f>'d3'!H191-d3М!H186</f>
        <v>0</v>
      </c>
      <c r="I191" s="328">
        <f>'d3'!I191-d3М!I186</f>
        <v>0</v>
      </c>
      <c r="J191" s="328">
        <f>'d3'!J191-d3М!J186</f>
        <v>450000</v>
      </c>
      <c r="K191" s="328">
        <f>'d3'!K191-d3М!K186</f>
        <v>450000</v>
      </c>
      <c r="L191" s="328">
        <f>'d3'!L191-d3М!L186</f>
        <v>0</v>
      </c>
      <c r="M191" s="328">
        <f>'d3'!M191-d3М!M186</f>
        <v>0</v>
      </c>
      <c r="N191" s="328">
        <f>'d3'!N191-d3М!N186</f>
        <v>0</v>
      </c>
      <c r="O191" s="328">
        <f>'d3'!O191-d3М!O186</f>
        <v>450000</v>
      </c>
      <c r="P191" s="328">
        <f>'d3'!P191-d3М!P186</f>
        <v>450000</v>
      </c>
      <c r="Q191" s="20"/>
      <c r="R191" s="46"/>
    </row>
    <row r="192" spans="1:18" ht="54.75" thickTop="1" thickBot="1" x14ac:dyDescent="0.25">
      <c r="A192" s="697" t="s">
        <v>923</v>
      </c>
      <c r="B192" s="697" t="s">
        <v>821</v>
      </c>
      <c r="C192" s="697"/>
      <c r="D192" s="697" t="s">
        <v>1508</v>
      </c>
      <c r="E192" s="328">
        <f>'d3'!E192-d3М!E187</f>
        <v>0</v>
      </c>
      <c r="F192" s="328">
        <f>'d3'!F192-d3М!F187</f>
        <v>0</v>
      </c>
      <c r="G192" s="328">
        <f>'d3'!G192-d3М!G187</f>
        <v>0</v>
      </c>
      <c r="H192" s="328">
        <f>'d3'!H192-d3М!H187</f>
        <v>0</v>
      </c>
      <c r="I192" s="328">
        <f>'d3'!I192-d3М!I187</f>
        <v>0</v>
      </c>
      <c r="J192" s="328">
        <f>'d3'!J192-d3М!J187</f>
        <v>450000</v>
      </c>
      <c r="K192" s="328">
        <f>'d3'!K192-d3М!K187</f>
        <v>450000</v>
      </c>
      <c r="L192" s="328">
        <f>'d3'!L192-d3М!L187</f>
        <v>0</v>
      </c>
      <c r="M192" s="328">
        <f>'d3'!M192-d3М!M187</f>
        <v>0</v>
      </c>
      <c r="N192" s="328">
        <f>'d3'!N192-d3М!N187</f>
        <v>0</v>
      </c>
      <c r="O192" s="328">
        <f>'d3'!O192-d3М!O187</f>
        <v>450000</v>
      </c>
      <c r="P192" s="328">
        <f>'d3'!P192-d3М!P187</f>
        <v>450000</v>
      </c>
      <c r="Q192" s="20"/>
      <c r="R192" s="46"/>
    </row>
    <row r="193" spans="1:18" ht="54" thickTop="1" thickBot="1" x14ac:dyDescent="0.25">
      <c r="A193" s="695" t="s">
        <v>924</v>
      </c>
      <c r="B193" s="695" t="s">
        <v>925</v>
      </c>
      <c r="C193" s="695" t="s">
        <v>304</v>
      </c>
      <c r="D193" s="695" t="s">
        <v>1615</v>
      </c>
      <c r="E193" s="328">
        <f>'d3'!E193-d3М!E188</f>
        <v>0</v>
      </c>
      <c r="F193" s="328">
        <f>'d3'!F193-d3М!F188</f>
        <v>0</v>
      </c>
      <c r="G193" s="328">
        <f>'d3'!G193-d3М!G188</f>
        <v>0</v>
      </c>
      <c r="H193" s="328">
        <f>'d3'!H193-d3М!H188</f>
        <v>0</v>
      </c>
      <c r="I193" s="328">
        <f>'d3'!I193-d3М!I188</f>
        <v>0</v>
      </c>
      <c r="J193" s="328">
        <f>'d3'!J193-d3М!J188</f>
        <v>450000</v>
      </c>
      <c r="K193" s="328">
        <f>'d3'!K193-d3М!K188</f>
        <v>450000</v>
      </c>
      <c r="L193" s="328">
        <f>'d3'!L193-d3М!L188</f>
        <v>0</v>
      </c>
      <c r="M193" s="328">
        <f>'d3'!M193-d3М!M188</f>
        <v>0</v>
      </c>
      <c r="N193" s="328">
        <f>'d3'!N193-d3М!N188</f>
        <v>0</v>
      </c>
      <c r="O193" s="328">
        <f>'d3'!O193-d3М!O188</f>
        <v>450000</v>
      </c>
      <c r="P193" s="328">
        <f>'d3'!P193-d3М!P188</f>
        <v>450000</v>
      </c>
      <c r="Q193" s="20"/>
      <c r="R193" s="46"/>
    </row>
    <row r="194" spans="1:18" ht="47.25" thickTop="1" thickBot="1" x14ac:dyDescent="0.25">
      <c r="A194" s="313" t="s">
        <v>753</v>
      </c>
      <c r="B194" s="313" t="s">
        <v>691</v>
      </c>
      <c r="C194" s="313"/>
      <c r="D194" s="313" t="s">
        <v>689</v>
      </c>
      <c r="E194" s="328">
        <f>'d3'!E194-d3М!E189</f>
        <v>0</v>
      </c>
      <c r="F194" s="328">
        <f>'d3'!F194-d3М!F189</f>
        <v>0</v>
      </c>
      <c r="G194" s="328">
        <f>'d3'!G194-d3М!G189</f>
        <v>0</v>
      </c>
      <c r="H194" s="328">
        <f>'d3'!H194-d3М!H189</f>
        <v>0</v>
      </c>
      <c r="I194" s="328">
        <f>'d3'!I194-d3М!I189</f>
        <v>0</v>
      </c>
      <c r="J194" s="328">
        <f>'d3'!J194-d3М!J189</f>
        <v>2000000</v>
      </c>
      <c r="K194" s="328">
        <f>'d3'!K194-d3М!K189</f>
        <v>2000000</v>
      </c>
      <c r="L194" s="328">
        <f>'d3'!L194-d3М!L189</f>
        <v>0</v>
      </c>
      <c r="M194" s="328">
        <f>'d3'!M194-d3М!M189</f>
        <v>0</v>
      </c>
      <c r="N194" s="328">
        <f>'d3'!N194-d3М!N189</f>
        <v>0</v>
      </c>
      <c r="O194" s="328">
        <f>'d3'!O194-d3М!O189</f>
        <v>2000000</v>
      </c>
      <c r="P194" s="328">
        <f>'d3'!P194-d3М!P189</f>
        <v>2000000</v>
      </c>
      <c r="Q194" s="20"/>
      <c r="R194" s="46"/>
    </row>
    <row r="195" spans="1:18" ht="47.25" thickTop="1" thickBot="1" x14ac:dyDescent="0.25">
      <c r="A195" s="103" t="s">
        <v>1310</v>
      </c>
      <c r="B195" s="103" t="s">
        <v>212</v>
      </c>
      <c r="C195" s="103" t="s">
        <v>213</v>
      </c>
      <c r="D195" s="103" t="s">
        <v>41</v>
      </c>
      <c r="E195" s="328">
        <f>'d3'!E195-d3М!E190</f>
        <v>0</v>
      </c>
      <c r="F195" s="328">
        <f>'d3'!F195-d3М!F190</f>
        <v>0</v>
      </c>
      <c r="G195" s="328">
        <f>'d3'!G195-d3М!G190</f>
        <v>0</v>
      </c>
      <c r="H195" s="328">
        <f>'d3'!H195-d3М!H190</f>
        <v>0</v>
      </c>
      <c r="I195" s="328">
        <f>'d3'!I195-d3М!I190</f>
        <v>0</v>
      </c>
      <c r="J195" s="328">
        <f>'d3'!J195-d3М!J190</f>
        <v>2000000</v>
      </c>
      <c r="K195" s="328">
        <f>'d3'!K195-d3М!K190</f>
        <v>2000000</v>
      </c>
      <c r="L195" s="328">
        <f>'d3'!L195-d3М!L190</f>
        <v>0</v>
      </c>
      <c r="M195" s="328">
        <f>'d3'!M195-d3М!M190</f>
        <v>0</v>
      </c>
      <c r="N195" s="328">
        <f>'d3'!N195-d3М!N190</f>
        <v>0</v>
      </c>
      <c r="O195" s="328">
        <f>'d3'!O195-d3М!O190</f>
        <v>2000000</v>
      </c>
      <c r="P195" s="328">
        <f>'d3'!P195-d3М!P190</f>
        <v>2000000</v>
      </c>
      <c r="Q195" s="20"/>
      <c r="R195" s="46"/>
    </row>
    <row r="196" spans="1:18" ht="48" hidden="1" thickTop="1" thickBot="1" x14ac:dyDescent="0.25">
      <c r="A196" s="140" t="s">
        <v>752</v>
      </c>
      <c r="B196" s="140" t="s">
        <v>694</v>
      </c>
      <c r="C196" s="140"/>
      <c r="D196" s="153" t="s">
        <v>692</v>
      </c>
      <c r="E196" s="141">
        <f>E197</f>
        <v>0</v>
      </c>
      <c r="F196" s="141">
        <f t="shared" ref="F196:P196" si="21">F197</f>
        <v>0</v>
      </c>
      <c r="G196" s="141">
        <f t="shared" si="21"/>
        <v>0</v>
      </c>
      <c r="H196" s="141">
        <f t="shared" si="21"/>
        <v>0</v>
      </c>
      <c r="I196" s="141">
        <f t="shared" si="21"/>
        <v>0</v>
      </c>
      <c r="J196" s="141">
        <f t="shared" si="21"/>
        <v>0</v>
      </c>
      <c r="K196" s="141">
        <f t="shared" si="21"/>
        <v>0</v>
      </c>
      <c r="L196" s="141">
        <f t="shared" si="21"/>
        <v>0</v>
      </c>
      <c r="M196" s="141">
        <f t="shared" si="21"/>
        <v>0</v>
      </c>
      <c r="N196" s="141">
        <f t="shared" si="21"/>
        <v>0</v>
      </c>
      <c r="O196" s="141">
        <f t="shared" si="21"/>
        <v>0</v>
      </c>
      <c r="P196" s="141">
        <f t="shared" si="21"/>
        <v>0</v>
      </c>
      <c r="Q196" s="20"/>
      <c r="R196" s="46"/>
    </row>
    <row r="197" spans="1:18" ht="138.75" hidden="1" thickTop="1" thickBot="1" x14ac:dyDescent="0.7">
      <c r="A197" s="797" t="s">
        <v>423</v>
      </c>
      <c r="B197" s="797" t="s">
        <v>338</v>
      </c>
      <c r="C197" s="797" t="s">
        <v>170</v>
      </c>
      <c r="D197" s="155" t="s">
        <v>440</v>
      </c>
      <c r="E197" s="800">
        <f t="shared" ref="E197" si="22">F197</f>
        <v>0</v>
      </c>
      <c r="F197" s="781"/>
      <c r="G197" s="781"/>
      <c r="H197" s="781"/>
      <c r="I197" s="781"/>
      <c r="J197" s="800">
        <f t="shared" ref="J197" si="23">L197+O197</f>
        <v>0</v>
      </c>
      <c r="K197" s="781"/>
      <c r="L197" s="781"/>
      <c r="M197" s="781"/>
      <c r="N197" s="781"/>
      <c r="O197" s="785">
        <f t="shared" ref="O197" si="24">K197</f>
        <v>0</v>
      </c>
      <c r="P197" s="782">
        <f t="shared" ref="P197" si="25">E197+J197</f>
        <v>0</v>
      </c>
      <c r="Q197" s="20"/>
      <c r="R197" s="50"/>
    </row>
    <row r="198" spans="1:18" ht="93" hidden="1" thickTop="1" thickBot="1" x14ac:dyDescent="0.25">
      <c r="A198" s="783"/>
      <c r="B198" s="805"/>
      <c r="C198" s="783"/>
      <c r="D198" s="156" t="s">
        <v>441</v>
      </c>
      <c r="E198" s="783"/>
      <c r="F198" s="784"/>
      <c r="G198" s="784"/>
      <c r="H198" s="784"/>
      <c r="I198" s="784"/>
      <c r="J198" s="783"/>
      <c r="K198" s="783"/>
      <c r="L198" s="784"/>
      <c r="M198" s="784"/>
      <c r="N198" s="784"/>
      <c r="O198" s="786"/>
      <c r="P198" s="787"/>
      <c r="Q198" s="20"/>
      <c r="R198" s="50"/>
    </row>
    <row r="199" spans="1:18" ht="120" customHeight="1" thickTop="1" thickBot="1" x14ac:dyDescent="0.25">
      <c r="A199" s="661">
        <v>1000000</v>
      </c>
      <c r="B199" s="661"/>
      <c r="C199" s="661"/>
      <c r="D199" s="662" t="s">
        <v>24</v>
      </c>
      <c r="E199" s="663">
        <f>E200</f>
        <v>1172254</v>
      </c>
      <c r="F199" s="664">
        <f t="shared" ref="F199:G199" si="26">F200</f>
        <v>1172254</v>
      </c>
      <c r="G199" s="664">
        <f t="shared" si="26"/>
        <v>0</v>
      </c>
      <c r="H199" s="664">
        <f>H200</f>
        <v>0</v>
      </c>
      <c r="I199" s="664">
        <f>I200</f>
        <v>0</v>
      </c>
      <c r="J199" s="663">
        <f>J200</f>
        <v>300000</v>
      </c>
      <c r="K199" s="664">
        <f>K200</f>
        <v>300000</v>
      </c>
      <c r="L199" s="664">
        <f>L200</f>
        <v>0</v>
      </c>
      <c r="M199" s="664">
        <f t="shared" ref="M199" si="27">M200</f>
        <v>0</v>
      </c>
      <c r="N199" s="664">
        <f>N200</f>
        <v>0</v>
      </c>
      <c r="O199" s="663">
        <f>O200</f>
        <v>300000</v>
      </c>
      <c r="P199" s="664">
        <f t="shared" ref="P199" si="28">P200</f>
        <v>1472254</v>
      </c>
      <c r="Q199" s="20"/>
    </row>
    <row r="200" spans="1:18" ht="120" customHeight="1" thickTop="1" thickBot="1" x14ac:dyDescent="0.25">
      <c r="A200" s="658">
        <v>1010000</v>
      </c>
      <c r="B200" s="658"/>
      <c r="C200" s="658"/>
      <c r="D200" s="659" t="s">
        <v>39</v>
      </c>
      <c r="E200" s="660">
        <f>E201+E203+E217+E211</f>
        <v>1172254</v>
      </c>
      <c r="F200" s="660">
        <f>F201+F203+F217+F211</f>
        <v>1172254</v>
      </c>
      <c r="G200" s="660">
        <f>G201+G203+G217+G211</f>
        <v>0</v>
      </c>
      <c r="H200" s="660">
        <f>H201+H203+H217+H211</f>
        <v>0</v>
      </c>
      <c r="I200" s="660">
        <f>I201+I203+I217+I211</f>
        <v>0</v>
      </c>
      <c r="J200" s="660">
        <f t="shared" ref="J200" si="29">L200+O200</f>
        <v>300000</v>
      </c>
      <c r="K200" s="660">
        <f>K201+K203+K217+K211</f>
        <v>300000</v>
      </c>
      <c r="L200" s="660">
        <f>L201+L203+L217+L211</f>
        <v>0</v>
      </c>
      <c r="M200" s="660">
        <f>M201+M203+M217+M211</f>
        <v>0</v>
      </c>
      <c r="N200" s="660">
        <f>N201+N203+N217+N211</f>
        <v>0</v>
      </c>
      <c r="O200" s="660">
        <f>O201+O203+O217+O211</f>
        <v>300000</v>
      </c>
      <c r="P200" s="660">
        <f t="shared" ref="P200" si="30">E200+J200</f>
        <v>1472254</v>
      </c>
      <c r="Q200" s="503" t="b">
        <f>P200=P202+P204+P205+P206+P210+P209+P214</f>
        <v>1</v>
      </c>
      <c r="R200" s="46"/>
    </row>
    <row r="201" spans="1:18" ht="47.25" thickTop="1" thickBot="1" x14ac:dyDescent="0.25">
      <c r="A201" s="311" t="s">
        <v>754</v>
      </c>
      <c r="B201" s="311" t="s">
        <v>708</v>
      </c>
      <c r="C201" s="311"/>
      <c r="D201" s="311" t="s">
        <v>709</v>
      </c>
      <c r="E201" s="328">
        <f>'d3'!E201-d3М!E196</f>
        <v>237772</v>
      </c>
      <c r="F201" s="328">
        <f>'d3'!F201-d3М!F196</f>
        <v>237772</v>
      </c>
      <c r="G201" s="328">
        <f>'d3'!G201-d3М!G196</f>
        <v>0</v>
      </c>
      <c r="H201" s="328">
        <f>'d3'!H201-d3М!H196</f>
        <v>0</v>
      </c>
      <c r="I201" s="328">
        <f>'d3'!I201-d3М!I196</f>
        <v>0</v>
      </c>
      <c r="J201" s="328">
        <f>'d3'!J201-d3М!J196</f>
        <v>0</v>
      </c>
      <c r="K201" s="328">
        <f>'d3'!K201-d3М!K196</f>
        <v>0</v>
      </c>
      <c r="L201" s="328">
        <f>'d3'!L201-d3М!L196</f>
        <v>0</v>
      </c>
      <c r="M201" s="328">
        <f>'d3'!M201-d3М!M196</f>
        <v>0</v>
      </c>
      <c r="N201" s="328">
        <f>'d3'!N201-d3М!N196</f>
        <v>0</v>
      </c>
      <c r="O201" s="328">
        <f>'d3'!O201-d3М!O196</f>
        <v>0</v>
      </c>
      <c r="P201" s="328">
        <f>'d3'!P201-d3М!P196</f>
        <v>237772</v>
      </c>
      <c r="Q201" s="47"/>
      <c r="R201" s="46"/>
    </row>
    <row r="202" spans="1:18" ht="47.25" thickTop="1" thickBot="1" x14ac:dyDescent="0.25">
      <c r="A202" s="103" t="s">
        <v>636</v>
      </c>
      <c r="B202" s="103" t="s">
        <v>637</v>
      </c>
      <c r="C202" s="103" t="s">
        <v>181</v>
      </c>
      <c r="D202" s="103" t="s">
        <v>1120</v>
      </c>
      <c r="E202" s="328">
        <f>'d3'!E202-d3М!E197</f>
        <v>237772</v>
      </c>
      <c r="F202" s="328">
        <f>'d3'!F202-d3М!F197</f>
        <v>237772</v>
      </c>
      <c r="G202" s="328">
        <f>'d3'!G202-d3М!G197</f>
        <v>0</v>
      </c>
      <c r="H202" s="328">
        <f>'d3'!H202-d3М!H197</f>
        <v>0</v>
      </c>
      <c r="I202" s="328">
        <f>'d3'!I202-d3М!I197</f>
        <v>0</v>
      </c>
      <c r="J202" s="328">
        <f>'d3'!J202-d3М!J197</f>
        <v>0</v>
      </c>
      <c r="K202" s="328">
        <f>'d3'!K202-d3М!K197</f>
        <v>0</v>
      </c>
      <c r="L202" s="328">
        <f>'d3'!L202-d3М!L197</f>
        <v>0</v>
      </c>
      <c r="M202" s="328">
        <f>'d3'!M202-d3М!M197</f>
        <v>0</v>
      </c>
      <c r="N202" s="328">
        <f>'d3'!N202-d3М!N197</f>
        <v>0</v>
      </c>
      <c r="O202" s="328">
        <f>'d3'!O202-d3М!O197</f>
        <v>0</v>
      </c>
      <c r="P202" s="328">
        <f>'d3'!P202-d3М!P197</f>
        <v>237772</v>
      </c>
      <c r="Q202" s="20"/>
      <c r="R202" s="46"/>
    </row>
    <row r="203" spans="1:18" s="24" customFormat="1" ht="47.25" thickTop="1" thickBot="1" x14ac:dyDescent="0.25">
      <c r="A203" s="311" t="s">
        <v>755</v>
      </c>
      <c r="B203" s="311" t="s">
        <v>756</v>
      </c>
      <c r="C203" s="311"/>
      <c r="D203" s="311" t="s">
        <v>757</v>
      </c>
      <c r="E203" s="328">
        <f>'d3'!E203-d3М!E198</f>
        <v>934482</v>
      </c>
      <c r="F203" s="328">
        <f>'d3'!F203-d3М!F198</f>
        <v>934482</v>
      </c>
      <c r="G203" s="328">
        <f>'d3'!G203-d3М!G198</f>
        <v>0</v>
      </c>
      <c r="H203" s="328">
        <f>'d3'!H203-d3М!H198</f>
        <v>0</v>
      </c>
      <c r="I203" s="328">
        <f>'d3'!I203-d3М!I198</f>
        <v>0</v>
      </c>
      <c r="J203" s="328">
        <f>'d3'!J203-d3М!J198</f>
        <v>300000</v>
      </c>
      <c r="K203" s="328">
        <f>'d3'!K203-d3М!K198</f>
        <v>300000</v>
      </c>
      <c r="L203" s="328">
        <f>'d3'!L203-d3М!L198</f>
        <v>0</v>
      </c>
      <c r="M203" s="328">
        <f>'d3'!M203-d3М!M198</f>
        <v>0</v>
      </c>
      <c r="N203" s="328">
        <f>'d3'!N203-d3М!N198</f>
        <v>0</v>
      </c>
      <c r="O203" s="328">
        <f>'d3'!O203-d3М!O198</f>
        <v>300000</v>
      </c>
      <c r="P203" s="328">
        <f>'d3'!P203-d3М!P198</f>
        <v>1234482</v>
      </c>
      <c r="Q203" s="25"/>
      <c r="R203" s="50"/>
    </row>
    <row r="204" spans="1:18" ht="47.25" thickTop="1" thickBot="1" x14ac:dyDescent="0.25">
      <c r="A204" s="103" t="s">
        <v>172</v>
      </c>
      <c r="B204" s="103" t="s">
        <v>173</v>
      </c>
      <c r="C204" s="103" t="s">
        <v>174</v>
      </c>
      <c r="D204" s="103" t="s">
        <v>175</v>
      </c>
      <c r="E204" s="328">
        <f>'d3'!E204-d3М!E199</f>
        <v>81450</v>
      </c>
      <c r="F204" s="328">
        <f>'d3'!F204-d3М!F199</f>
        <v>81450</v>
      </c>
      <c r="G204" s="328">
        <f>'d3'!G204-d3М!G199</f>
        <v>0</v>
      </c>
      <c r="H204" s="328">
        <f>'d3'!H204-d3М!H199</f>
        <v>0</v>
      </c>
      <c r="I204" s="328">
        <f>'d3'!I204-d3М!I199</f>
        <v>0</v>
      </c>
      <c r="J204" s="328">
        <f>'d3'!J204-d3М!J199</f>
        <v>300000</v>
      </c>
      <c r="K204" s="328">
        <f>'d3'!K204-d3М!K199</f>
        <v>300000</v>
      </c>
      <c r="L204" s="328">
        <f>'d3'!L204-d3М!L199</f>
        <v>0</v>
      </c>
      <c r="M204" s="328">
        <f>'d3'!M204-d3М!M199</f>
        <v>0</v>
      </c>
      <c r="N204" s="328">
        <f>'d3'!N204-d3М!N199</f>
        <v>0</v>
      </c>
      <c r="O204" s="328">
        <f>'d3'!O204-d3М!O199</f>
        <v>300000</v>
      </c>
      <c r="P204" s="328">
        <f>'d3'!P204-d3М!P199</f>
        <v>381450</v>
      </c>
      <c r="Q204" s="20"/>
      <c r="R204" s="46"/>
    </row>
    <row r="205" spans="1:18" ht="47.25" thickTop="1" thickBot="1" x14ac:dyDescent="0.25">
      <c r="A205" s="103" t="s">
        <v>176</v>
      </c>
      <c r="B205" s="103" t="s">
        <v>177</v>
      </c>
      <c r="C205" s="103" t="s">
        <v>174</v>
      </c>
      <c r="D205" s="103" t="s">
        <v>463</v>
      </c>
      <c r="E205" s="328">
        <f>'d3'!E205-d3М!E200</f>
        <v>179318</v>
      </c>
      <c r="F205" s="328">
        <f>'d3'!F205-d3М!F200</f>
        <v>179318</v>
      </c>
      <c r="G205" s="328">
        <f>'d3'!G205-d3М!G200</f>
        <v>0</v>
      </c>
      <c r="H205" s="328">
        <f>'d3'!H205-d3М!H200</f>
        <v>0</v>
      </c>
      <c r="I205" s="328">
        <f>'d3'!I205-d3М!I200</f>
        <v>0</v>
      </c>
      <c r="J205" s="328">
        <f>'d3'!J205-d3М!J200</f>
        <v>0</v>
      </c>
      <c r="K205" s="328">
        <f>'d3'!K205-d3М!K200</f>
        <v>0</v>
      </c>
      <c r="L205" s="328">
        <f>'d3'!L205-d3М!L200</f>
        <v>0</v>
      </c>
      <c r="M205" s="328">
        <f>'d3'!M205-d3М!M200</f>
        <v>0</v>
      </c>
      <c r="N205" s="328">
        <f>'d3'!N205-d3М!N200</f>
        <v>0</v>
      </c>
      <c r="O205" s="328">
        <f>'d3'!O205-d3М!O200</f>
        <v>0</v>
      </c>
      <c r="P205" s="328">
        <f>'d3'!P205-d3М!P200</f>
        <v>179318</v>
      </c>
      <c r="Q205" s="20"/>
      <c r="R205" s="46"/>
    </row>
    <row r="206" spans="1:18" ht="93" thickTop="1" thickBot="1" x14ac:dyDescent="0.25">
      <c r="A206" s="103" t="s">
        <v>178</v>
      </c>
      <c r="B206" s="103" t="s">
        <v>171</v>
      </c>
      <c r="C206" s="103" t="s">
        <v>179</v>
      </c>
      <c r="D206" s="103" t="s">
        <v>180</v>
      </c>
      <c r="E206" s="328">
        <f>'d3'!E206-d3М!E201</f>
        <v>673714</v>
      </c>
      <c r="F206" s="328">
        <f>'d3'!F206-d3М!F201</f>
        <v>673714</v>
      </c>
      <c r="G206" s="328">
        <f>'d3'!G206-d3М!G201</f>
        <v>0</v>
      </c>
      <c r="H206" s="328">
        <f>'d3'!H206-d3М!H201</f>
        <v>0</v>
      </c>
      <c r="I206" s="328">
        <f>'d3'!I206-d3М!I201</f>
        <v>0</v>
      </c>
      <c r="J206" s="328">
        <f>'d3'!J206-d3М!J201</f>
        <v>0</v>
      </c>
      <c r="K206" s="328">
        <f>'d3'!K206-d3М!K201</f>
        <v>0</v>
      </c>
      <c r="L206" s="328">
        <f>'d3'!L206-d3М!L201</f>
        <v>0</v>
      </c>
      <c r="M206" s="328">
        <f>'d3'!M206-d3М!M201</f>
        <v>0</v>
      </c>
      <c r="N206" s="328">
        <f>'d3'!N206-d3М!N201</f>
        <v>0</v>
      </c>
      <c r="O206" s="328">
        <f>'d3'!O206-d3М!O201</f>
        <v>0</v>
      </c>
      <c r="P206" s="328">
        <f>'d3'!P206-d3М!P201</f>
        <v>673714</v>
      </c>
      <c r="Q206" s="20"/>
      <c r="R206" s="46"/>
    </row>
    <row r="207" spans="1:18" ht="47.25" hidden="1" thickTop="1" thickBot="1" x14ac:dyDescent="0.25">
      <c r="A207" s="128" t="s">
        <v>1194</v>
      </c>
      <c r="B207" s="128" t="s">
        <v>1195</v>
      </c>
      <c r="C207" s="128" t="s">
        <v>1197</v>
      </c>
      <c r="D207" s="128" t="s">
        <v>1196</v>
      </c>
      <c r="E207" s="328">
        <f>'d3'!E207-d3М!E202</f>
        <v>0</v>
      </c>
      <c r="F207" s="328">
        <f>'d3'!F207-d3М!F202</f>
        <v>0</v>
      </c>
      <c r="G207" s="328">
        <f>'d3'!G207-d3М!G202</f>
        <v>0</v>
      </c>
      <c r="H207" s="328">
        <f>'d3'!H207-d3М!H202</f>
        <v>0</v>
      </c>
      <c r="I207" s="328">
        <f>'d3'!I207-d3М!I202</f>
        <v>0</v>
      </c>
      <c r="J207" s="328">
        <f>'d3'!J207-d3М!J202</f>
        <v>0</v>
      </c>
      <c r="K207" s="328">
        <f>'d3'!K207-d3М!K202</f>
        <v>0</v>
      </c>
      <c r="L207" s="328">
        <f>'d3'!L207-d3М!L202</f>
        <v>0</v>
      </c>
      <c r="M207" s="328">
        <f>'d3'!M207-d3М!M202</f>
        <v>0</v>
      </c>
      <c r="N207" s="328">
        <f>'d3'!N207-d3М!N202</f>
        <v>0</v>
      </c>
      <c r="O207" s="328">
        <f>'d3'!O207-d3М!O202</f>
        <v>0</v>
      </c>
      <c r="P207" s="328">
        <f>'d3'!P207-d3М!P202</f>
        <v>0</v>
      </c>
      <c r="Q207" s="20"/>
      <c r="R207" s="46"/>
    </row>
    <row r="208" spans="1:18" ht="47.25" thickTop="1" thickBot="1" x14ac:dyDescent="0.25">
      <c r="A208" s="329" t="s">
        <v>758</v>
      </c>
      <c r="B208" s="329" t="s">
        <v>759</v>
      </c>
      <c r="C208" s="329"/>
      <c r="D208" s="329" t="s">
        <v>760</v>
      </c>
      <c r="E208" s="328">
        <f>'d3'!E208-d3М!E203</f>
        <v>0</v>
      </c>
      <c r="F208" s="328">
        <f>'d3'!F208-d3М!F203</f>
        <v>0</v>
      </c>
      <c r="G208" s="328">
        <f>'d3'!G208-d3М!G203</f>
        <v>0</v>
      </c>
      <c r="H208" s="328">
        <f>'d3'!H208-d3М!H203</f>
        <v>0</v>
      </c>
      <c r="I208" s="328">
        <f>'d3'!I208-d3М!I203</f>
        <v>0</v>
      </c>
      <c r="J208" s="328">
        <f>'d3'!J208-d3М!J203</f>
        <v>0</v>
      </c>
      <c r="K208" s="328">
        <f>'d3'!K208-d3М!K203</f>
        <v>0</v>
      </c>
      <c r="L208" s="328">
        <f>'d3'!L208-d3М!L203</f>
        <v>0</v>
      </c>
      <c r="M208" s="328">
        <f>'d3'!M208-d3М!M203</f>
        <v>0</v>
      </c>
      <c r="N208" s="328">
        <f>'d3'!N208-d3М!N203</f>
        <v>0</v>
      </c>
      <c r="O208" s="328">
        <f>'d3'!O208-d3М!O203</f>
        <v>0</v>
      </c>
      <c r="P208" s="328">
        <f>'d3'!P208-d3М!P203</f>
        <v>0</v>
      </c>
      <c r="Q208" s="20"/>
      <c r="R208" s="46"/>
    </row>
    <row r="209" spans="1:18" ht="47.25" thickTop="1" thickBot="1" x14ac:dyDescent="0.25">
      <c r="A209" s="103" t="s">
        <v>333</v>
      </c>
      <c r="B209" s="103" t="s">
        <v>334</v>
      </c>
      <c r="C209" s="103" t="s">
        <v>182</v>
      </c>
      <c r="D209" s="103" t="s">
        <v>464</v>
      </c>
      <c r="E209" s="328">
        <f>'d3'!E209-d3М!E204</f>
        <v>0</v>
      </c>
      <c r="F209" s="328">
        <f>'d3'!F209-d3М!F204</f>
        <v>0</v>
      </c>
      <c r="G209" s="328">
        <f>'d3'!G209-d3М!G204</f>
        <v>0</v>
      </c>
      <c r="H209" s="328">
        <f>'d3'!H209-d3М!H204</f>
        <v>0</v>
      </c>
      <c r="I209" s="328">
        <f>'d3'!I209-d3М!I204</f>
        <v>0</v>
      </c>
      <c r="J209" s="328">
        <f>'d3'!J209-d3М!J204</f>
        <v>0</v>
      </c>
      <c r="K209" s="328">
        <f>'d3'!K209-d3М!K204</f>
        <v>0</v>
      </c>
      <c r="L209" s="328">
        <f>'d3'!L209-d3М!L204</f>
        <v>0</v>
      </c>
      <c r="M209" s="328">
        <f>'d3'!M209-d3М!M204</f>
        <v>0</v>
      </c>
      <c r="N209" s="328">
        <f>'d3'!N209-d3М!N204</f>
        <v>0</v>
      </c>
      <c r="O209" s="328">
        <f>'d3'!O209-d3М!O204</f>
        <v>0</v>
      </c>
      <c r="P209" s="328">
        <f>'d3'!P209-d3М!P204</f>
        <v>0</v>
      </c>
      <c r="Q209" s="20"/>
      <c r="R209" s="46"/>
    </row>
    <row r="210" spans="1:18" ht="47.25" thickTop="1" thickBot="1" x14ac:dyDescent="0.25">
      <c r="A210" s="103" t="s">
        <v>335</v>
      </c>
      <c r="B210" s="103" t="s">
        <v>336</v>
      </c>
      <c r="C210" s="103" t="s">
        <v>182</v>
      </c>
      <c r="D210" s="103" t="s">
        <v>465</v>
      </c>
      <c r="E210" s="328">
        <f>'d3'!E210-d3М!E205</f>
        <v>0</v>
      </c>
      <c r="F210" s="328">
        <f>'d3'!F210-d3М!F205</f>
        <v>0</v>
      </c>
      <c r="G210" s="328">
        <f>'d3'!G210-d3М!G205</f>
        <v>0</v>
      </c>
      <c r="H210" s="328">
        <f>'d3'!H210-d3М!H205</f>
        <v>0</v>
      </c>
      <c r="I210" s="328">
        <f>'d3'!I210-d3М!I205</f>
        <v>0</v>
      </c>
      <c r="J210" s="328">
        <f>'d3'!J210-d3М!J205</f>
        <v>0</v>
      </c>
      <c r="K210" s="328">
        <f>'d3'!K210-d3М!K205</f>
        <v>0</v>
      </c>
      <c r="L210" s="328">
        <f>'d3'!L210-d3М!L205</f>
        <v>0</v>
      </c>
      <c r="M210" s="328">
        <f>'d3'!M210-d3М!M205</f>
        <v>0</v>
      </c>
      <c r="N210" s="328">
        <f>'d3'!N210-d3М!N205</f>
        <v>0</v>
      </c>
      <c r="O210" s="328">
        <f>'d3'!O210-d3М!O205</f>
        <v>0</v>
      </c>
      <c r="P210" s="328">
        <f>'d3'!P210-d3М!P205</f>
        <v>0</v>
      </c>
      <c r="Q210" s="20"/>
      <c r="R210" s="50"/>
    </row>
    <row r="211" spans="1:18" ht="47.25" thickTop="1" thickBot="1" x14ac:dyDescent="0.25">
      <c r="A211" s="311" t="s">
        <v>915</v>
      </c>
      <c r="B211" s="311" t="s">
        <v>748</v>
      </c>
      <c r="C211" s="311"/>
      <c r="D211" s="311" t="s">
        <v>749</v>
      </c>
      <c r="E211" s="328">
        <f>'d3'!E211-d3М!E206</f>
        <v>0</v>
      </c>
      <c r="F211" s="328">
        <f>'d3'!F211-d3М!F206</f>
        <v>0</v>
      </c>
      <c r="G211" s="328">
        <f>'d3'!G211-d3М!G206</f>
        <v>0</v>
      </c>
      <c r="H211" s="328">
        <f>'d3'!H211-d3М!H206</f>
        <v>0</v>
      </c>
      <c r="I211" s="328">
        <f>'d3'!I211-d3М!I206</f>
        <v>0</v>
      </c>
      <c r="J211" s="328">
        <f>'d3'!J211-d3М!J206</f>
        <v>0</v>
      </c>
      <c r="K211" s="328">
        <f>'d3'!K211-d3М!K206</f>
        <v>0</v>
      </c>
      <c r="L211" s="328">
        <f>'d3'!L211-d3М!L206</f>
        <v>0</v>
      </c>
      <c r="M211" s="328">
        <f>'d3'!M211-d3М!M206</f>
        <v>0</v>
      </c>
      <c r="N211" s="328">
        <f>'d3'!N211-d3М!N206</f>
        <v>0</v>
      </c>
      <c r="O211" s="328">
        <f>'d3'!O211-d3М!O206</f>
        <v>0</v>
      </c>
      <c r="P211" s="328">
        <f>'d3'!P211-d3М!P206</f>
        <v>0</v>
      </c>
      <c r="Q211" s="20"/>
      <c r="R211" s="50"/>
    </row>
    <row r="212" spans="1:18" ht="47.25" thickTop="1" thickBot="1" x14ac:dyDescent="0.25">
      <c r="A212" s="313" t="s">
        <v>916</v>
      </c>
      <c r="B212" s="313" t="s">
        <v>691</v>
      </c>
      <c r="C212" s="313"/>
      <c r="D212" s="313" t="s">
        <v>689</v>
      </c>
      <c r="E212" s="328">
        <f>'d3'!E212-d3М!E207</f>
        <v>0</v>
      </c>
      <c r="F212" s="328">
        <f>'d3'!F212-d3М!F207</f>
        <v>0</v>
      </c>
      <c r="G212" s="328">
        <f>'d3'!G212-d3М!G207</f>
        <v>0</v>
      </c>
      <c r="H212" s="328">
        <f>'d3'!H212-d3М!H207</f>
        <v>0</v>
      </c>
      <c r="I212" s="328">
        <f>'d3'!I212-d3М!I207</f>
        <v>0</v>
      </c>
      <c r="J212" s="328">
        <f>'d3'!J212-d3М!J207</f>
        <v>0</v>
      </c>
      <c r="K212" s="328">
        <f>'d3'!K212-d3М!K207</f>
        <v>0</v>
      </c>
      <c r="L212" s="328">
        <f>'d3'!L212-d3М!L207</f>
        <v>0</v>
      </c>
      <c r="M212" s="328">
        <f>'d3'!M212-d3М!M207</f>
        <v>0</v>
      </c>
      <c r="N212" s="328">
        <f>'d3'!N212-d3М!N207</f>
        <v>0</v>
      </c>
      <c r="O212" s="328">
        <f>'d3'!O212-d3М!O207</f>
        <v>0</v>
      </c>
      <c r="P212" s="328">
        <f>'d3'!P212-d3М!P207</f>
        <v>0</v>
      </c>
      <c r="Q212" s="20"/>
      <c r="R212" s="50"/>
    </row>
    <row r="213" spans="1:18" ht="47.25" thickTop="1" thickBot="1" x14ac:dyDescent="0.25">
      <c r="A213" s="329" t="s">
        <v>1032</v>
      </c>
      <c r="B213" s="329" t="s">
        <v>1033</v>
      </c>
      <c r="C213" s="329"/>
      <c r="D213" s="329" t="s">
        <v>1031</v>
      </c>
      <c r="E213" s="328">
        <f>'d3'!E213-d3М!E208</f>
        <v>0</v>
      </c>
      <c r="F213" s="328">
        <f>'d3'!F213-d3М!F208</f>
        <v>0</v>
      </c>
      <c r="G213" s="328">
        <f>'d3'!G213-d3М!G208</f>
        <v>0</v>
      </c>
      <c r="H213" s="328">
        <f>'d3'!H213-d3М!H208</f>
        <v>0</v>
      </c>
      <c r="I213" s="328">
        <f>'d3'!I213-d3М!I208</f>
        <v>0</v>
      </c>
      <c r="J213" s="328">
        <f>'d3'!J213-d3М!J208</f>
        <v>0</v>
      </c>
      <c r="K213" s="328">
        <f>'d3'!K213-d3М!K208</f>
        <v>0</v>
      </c>
      <c r="L213" s="328">
        <f>'d3'!L213-d3М!L208</f>
        <v>0</v>
      </c>
      <c r="M213" s="328">
        <f>'d3'!M213-d3М!M208</f>
        <v>0</v>
      </c>
      <c r="N213" s="328">
        <f>'d3'!N213-d3М!N208</f>
        <v>0</v>
      </c>
      <c r="O213" s="328">
        <f>'d3'!O213-d3М!O208</f>
        <v>0</v>
      </c>
      <c r="P213" s="328">
        <f>'d3'!P213-d3М!P208</f>
        <v>0</v>
      </c>
      <c r="Q213" s="20"/>
      <c r="R213" s="50"/>
    </row>
    <row r="214" spans="1:18" ht="47.25" thickTop="1" thickBot="1" x14ac:dyDescent="0.25">
      <c r="A214" s="103" t="s">
        <v>1035</v>
      </c>
      <c r="B214" s="103" t="s">
        <v>1036</v>
      </c>
      <c r="C214" s="103" t="s">
        <v>213</v>
      </c>
      <c r="D214" s="103" t="s">
        <v>1034</v>
      </c>
      <c r="E214" s="328">
        <f>'d3'!E214-d3М!E209</f>
        <v>0</v>
      </c>
      <c r="F214" s="328">
        <f>'d3'!F214-d3М!F209</f>
        <v>0</v>
      </c>
      <c r="G214" s="328">
        <f>'d3'!G214-d3М!G209</f>
        <v>0</v>
      </c>
      <c r="H214" s="328">
        <f>'d3'!H214-d3М!H209</f>
        <v>0</v>
      </c>
      <c r="I214" s="328">
        <f>'d3'!I214-d3М!I209</f>
        <v>0</v>
      </c>
      <c r="J214" s="328">
        <f>'d3'!J214-d3М!J209</f>
        <v>0</v>
      </c>
      <c r="K214" s="328">
        <f>'d3'!K214-d3М!K209</f>
        <v>0</v>
      </c>
      <c r="L214" s="328">
        <f>'d3'!L214-d3М!L209</f>
        <v>0</v>
      </c>
      <c r="M214" s="328">
        <f>'d3'!M214-d3М!M209</f>
        <v>0</v>
      </c>
      <c r="N214" s="328">
        <f>'d3'!N214-d3М!N209</f>
        <v>0</v>
      </c>
      <c r="O214" s="328">
        <f>'d3'!O214-d3М!O209</f>
        <v>0</v>
      </c>
      <c r="P214" s="328">
        <f>'d3'!P214-d3М!P209</f>
        <v>0</v>
      </c>
      <c r="Q214" s="20"/>
      <c r="R214" s="50"/>
    </row>
    <row r="215" spans="1:18" ht="48" hidden="1" thickTop="1" thickBot="1" x14ac:dyDescent="0.25">
      <c r="A215" s="128" t="s">
        <v>1265</v>
      </c>
      <c r="B215" s="128" t="s">
        <v>212</v>
      </c>
      <c r="C215" s="128" t="s">
        <v>213</v>
      </c>
      <c r="D215" s="128" t="s">
        <v>41</v>
      </c>
      <c r="E215" s="127">
        <f t="shared" ref="E215:E216" si="31">F215</f>
        <v>0</v>
      </c>
      <c r="F215" s="134"/>
      <c r="G215" s="134"/>
      <c r="H215" s="134"/>
      <c r="I215" s="134"/>
      <c r="J215" s="127">
        <f>L215+O215</f>
        <v>0</v>
      </c>
      <c r="K215" s="134"/>
      <c r="L215" s="134"/>
      <c r="M215" s="134"/>
      <c r="N215" s="134"/>
      <c r="O215" s="132">
        <f>K215</f>
        <v>0</v>
      </c>
      <c r="P215" s="127">
        <f>E215+J215</f>
        <v>0</v>
      </c>
      <c r="Q215" s="20"/>
      <c r="R215" s="50"/>
    </row>
    <row r="216" spans="1:18" ht="48" hidden="1" thickTop="1" thickBot="1" x14ac:dyDescent="0.25">
      <c r="A216" s="128" t="s">
        <v>917</v>
      </c>
      <c r="B216" s="128" t="s">
        <v>197</v>
      </c>
      <c r="C216" s="128" t="s">
        <v>170</v>
      </c>
      <c r="D216" s="128" t="s">
        <v>34</v>
      </c>
      <c r="E216" s="127">
        <f t="shared" si="31"/>
        <v>0</v>
      </c>
      <c r="F216" s="134"/>
      <c r="G216" s="134"/>
      <c r="H216" s="134"/>
      <c r="I216" s="134"/>
      <c r="J216" s="127">
        <f t="shared" ref="J216" si="32">L216+O216</f>
        <v>0</v>
      </c>
      <c r="K216" s="134">
        <f>940242-455475-484767</f>
        <v>0</v>
      </c>
      <c r="L216" s="134"/>
      <c r="M216" s="134"/>
      <c r="N216" s="134"/>
      <c r="O216" s="132">
        <f t="shared" ref="O216" si="33">K216</f>
        <v>0</v>
      </c>
      <c r="P216" s="127">
        <f t="shared" ref="P216" si="34">E216+J216</f>
        <v>0</v>
      </c>
      <c r="Q216" s="20"/>
      <c r="R216" s="46"/>
    </row>
    <row r="217" spans="1:18" ht="47.25" hidden="1" thickTop="1" thickBot="1" x14ac:dyDescent="0.25">
      <c r="A217" s="146" t="s">
        <v>761</v>
      </c>
      <c r="B217" s="146" t="s">
        <v>702</v>
      </c>
      <c r="C217" s="146"/>
      <c r="D217" s="146" t="s">
        <v>703</v>
      </c>
      <c r="E217" s="42">
        <f>E218</f>
        <v>0</v>
      </c>
      <c r="F217" s="42">
        <f t="shared" ref="F217:P218" si="35">F218</f>
        <v>0</v>
      </c>
      <c r="G217" s="42">
        <f t="shared" si="35"/>
        <v>0</v>
      </c>
      <c r="H217" s="42">
        <f t="shared" si="35"/>
        <v>0</v>
      </c>
      <c r="I217" s="42">
        <f t="shared" si="35"/>
        <v>0</v>
      </c>
      <c r="J217" s="42">
        <f t="shared" si="35"/>
        <v>0</v>
      </c>
      <c r="K217" s="42">
        <f t="shared" si="35"/>
        <v>0</v>
      </c>
      <c r="L217" s="42">
        <f t="shared" si="35"/>
        <v>0</v>
      </c>
      <c r="M217" s="42">
        <f t="shared" si="35"/>
        <v>0</v>
      </c>
      <c r="N217" s="42">
        <f t="shared" si="35"/>
        <v>0</v>
      </c>
      <c r="O217" s="42">
        <f t="shared" si="35"/>
        <v>0</v>
      </c>
      <c r="P217" s="42">
        <f t="shared" si="35"/>
        <v>0</v>
      </c>
      <c r="Q217" s="20"/>
      <c r="R217" s="50"/>
    </row>
    <row r="218" spans="1:18" ht="91.5" hidden="1" thickTop="1" thickBot="1" x14ac:dyDescent="0.25">
      <c r="A218" s="147" t="s">
        <v>762</v>
      </c>
      <c r="B218" s="147" t="s">
        <v>705</v>
      </c>
      <c r="C218" s="147"/>
      <c r="D218" s="147" t="s">
        <v>706</v>
      </c>
      <c r="E218" s="148">
        <f>E219</f>
        <v>0</v>
      </c>
      <c r="F218" s="148">
        <f t="shared" si="35"/>
        <v>0</v>
      </c>
      <c r="G218" s="148">
        <f t="shared" si="35"/>
        <v>0</v>
      </c>
      <c r="H218" s="148">
        <f t="shared" si="35"/>
        <v>0</v>
      </c>
      <c r="I218" s="148">
        <f t="shared" si="35"/>
        <v>0</v>
      </c>
      <c r="J218" s="148">
        <f t="shared" si="35"/>
        <v>0</v>
      </c>
      <c r="K218" s="148">
        <f t="shared" si="35"/>
        <v>0</v>
      </c>
      <c r="L218" s="148">
        <f t="shared" si="35"/>
        <v>0</v>
      </c>
      <c r="M218" s="148">
        <f t="shared" si="35"/>
        <v>0</v>
      </c>
      <c r="N218" s="148">
        <f t="shared" si="35"/>
        <v>0</v>
      </c>
      <c r="O218" s="148">
        <f t="shared" si="35"/>
        <v>0</v>
      </c>
      <c r="P218" s="148">
        <f t="shared" si="35"/>
        <v>0</v>
      </c>
      <c r="Q218" s="20"/>
      <c r="R218" s="50"/>
    </row>
    <row r="219" spans="1:18" ht="48" hidden="1" thickTop="1" thickBot="1" x14ac:dyDescent="0.25">
      <c r="A219" s="41" t="s">
        <v>586</v>
      </c>
      <c r="B219" s="41" t="s">
        <v>363</v>
      </c>
      <c r="C219" s="41" t="s">
        <v>43</v>
      </c>
      <c r="D219" s="41" t="s">
        <v>364</v>
      </c>
      <c r="E219" s="42">
        <f t="shared" ref="E219" si="36">F219</f>
        <v>0</v>
      </c>
      <c r="F219" s="43">
        <v>0</v>
      </c>
      <c r="G219" s="43"/>
      <c r="H219" s="43"/>
      <c r="I219" s="43"/>
      <c r="J219" s="42">
        <f>L219+O219</f>
        <v>0</v>
      </c>
      <c r="K219" s="43"/>
      <c r="L219" s="43"/>
      <c r="M219" s="43"/>
      <c r="N219" s="43"/>
      <c r="O219" s="44">
        <f>K219</f>
        <v>0</v>
      </c>
      <c r="P219" s="42">
        <f>E219+J219</f>
        <v>0</v>
      </c>
      <c r="Q219" s="20"/>
      <c r="R219" s="50"/>
    </row>
    <row r="220" spans="1:18" ht="120" customHeight="1" thickTop="1" thickBot="1" x14ac:dyDescent="0.25">
      <c r="A220" s="661" t="s">
        <v>22</v>
      </c>
      <c r="B220" s="661"/>
      <c r="C220" s="661"/>
      <c r="D220" s="662" t="s">
        <v>23</v>
      </c>
      <c r="E220" s="663">
        <f>E221</f>
        <v>3201809</v>
      </c>
      <c r="F220" s="664">
        <f t="shared" ref="F220:G220" si="37">F221</f>
        <v>3201809</v>
      </c>
      <c r="G220" s="664">
        <f t="shared" si="37"/>
        <v>0</v>
      </c>
      <c r="H220" s="664">
        <f>H221</f>
        <v>0</v>
      </c>
      <c r="I220" s="664">
        <f t="shared" ref="I220" si="38">I221</f>
        <v>0</v>
      </c>
      <c r="J220" s="663">
        <f>J221</f>
        <v>1880865</v>
      </c>
      <c r="K220" s="664">
        <f>K221</f>
        <v>1880865</v>
      </c>
      <c r="L220" s="664">
        <f>L221</f>
        <v>0</v>
      </c>
      <c r="M220" s="664">
        <f t="shared" ref="M220" si="39">M221</f>
        <v>0</v>
      </c>
      <c r="N220" s="664">
        <f>N221</f>
        <v>0</v>
      </c>
      <c r="O220" s="663">
        <f>O221</f>
        <v>1880865</v>
      </c>
      <c r="P220" s="664">
        <f t="shared" ref="P220" si="40">P221</f>
        <v>5082674</v>
      </c>
      <c r="Q220" s="20"/>
    </row>
    <row r="221" spans="1:18" ht="120" customHeight="1" thickTop="1" thickBot="1" x14ac:dyDescent="0.25">
      <c r="A221" s="658" t="s">
        <v>21</v>
      </c>
      <c r="B221" s="658"/>
      <c r="C221" s="658"/>
      <c r="D221" s="659" t="s">
        <v>35</v>
      </c>
      <c r="E221" s="660">
        <f>E222+E228+E243+E246+E253</f>
        <v>3201809</v>
      </c>
      <c r="F221" s="660">
        <f t="shared" ref="F221:I221" si="41">F222+F228+F243+F246+F253</f>
        <v>3201809</v>
      </c>
      <c r="G221" s="660">
        <f t="shared" si="41"/>
        <v>0</v>
      </c>
      <c r="H221" s="660">
        <f t="shared" si="41"/>
        <v>0</v>
      </c>
      <c r="I221" s="660">
        <f t="shared" si="41"/>
        <v>0</v>
      </c>
      <c r="J221" s="660">
        <f>L221+O221</f>
        <v>1880865</v>
      </c>
      <c r="K221" s="660">
        <f t="shared" ref="K221:O221" si="42">K222+K228+K243+K246+K253</f>
        <v>1880865</v>
      </c>
      <c r="L221" s="660">
        <f t="shared" si="42"/>
        <v>0</v>
      </c>
      <c r="M221" s="660">
        <f t="shared" si="42"/>
        <v>0</v>
      </c>
      <c r="N221" s="660">
        <f t="shared" si="42"/>
        <v>0</v>
      </c>
      <c r="O221" s="660">
        <f t="shared" si="42"/>
        <v>1880865</v>
      </c>
      <c r="P221" s="660">
        <f>E221+J221</f>
        <v>5082674</v>
      </c>
      <c r="Q221" s="503" t="b">
        <f>P221=P226+P227+P230+P231+P233+P235+P236+P240+P241+P242+P238</f>
        <v>1</v>
      </c>
      <c r="R221" s="46"/>
    </row>
    <row r="222" spans="1:18" ht="47.25" thickTop="1" thickBot="1" x14ac:dyDescent="0.25">
      <c r="A222" s="311" t="s">
        <v>763</v>
      </c>
      <c r="B222" s="311" t="s">
        <v>711</v>
      </c>
      <c r="C222" s="311"/>
      <c r="D222" s="311" t="s">
        <v>712</v>
      </c>
      <c r="E222" s="328">
        <f>'d3'!E222-d3М!E217</f>
        <v>140000</v>
      </c>
      <c r="F222" s="328">
        <f>'d3'!F222-d3М!F217</f>
        <v>140000</v>
      </c>
      <c r="G222" s="328">
        <f>'d3'!G222-d3М!G217</f>
        <v>0</v>
      </c>
      <c r="H222" s="328">
        <f>'d3'!H222-d3М!H217</f>
        <v>0</v>
      </c>
      <c r="I222" s="328">
        <f>'d3'!I222-d3М!I217</f>
        <v>0</v>
      </c>
      <c r="J222" s="328">
        <f>'d3'!J222-d3М!J217</f>
        <v>133719</v>
      </c>
      <c r="K222" s="328">
        <f>'d3'!K222-d3М!K217</f>
        <v>133719</v>
      </c>
      <c r="L222" s="328">
        <f>'d3'!L222-d3М!L217</f>
        <v>0</v>
      </c>
      <c r="M222" s="328">
        <f>'d3'!M222-d3М!M217</f>
        <v>0</v>
      </c>
      <c r="N222" s="328">
        <f>'d3'!N222-d3М!N217</f>
        <v>0</v>
      </c>
      <c r="O222" s="328">
        <f>'d3'!O222-d3М!O217</f>
        <v>133719</v>
      </c>
      <c r="P222" s="328">
        <f>'d3'!P222-d3М!P217</f>
        <v>273719</v>
      </c>
      <c r="Q222" s="47"/>
      <c r="R222" s="46"/>
    </row>
    <row r="223" spans="1:18" s="33" customFormat="1" ht="48" hidden="1" thickTop="1" thickBot="1" x14ac:dyDescent="0.25">
      <c r="A223" s="329" t="s">
        <v>764</v>
      </c>
      <c r="B223" s="329" t="s">
        <v>765</v>
      </c>
      <c r="C223" s="329"/>
      <c r="D223" s="329" t="s">
        <v>766</v>
      </c>
      <c r="E223" s="328">
        <f>'d3'!E223-d3М!E218</f>
        <v>0</v>
      </c>
      <c r="F223" s="328">
        <f>'d3'!F223-d3М!F218</f>
        <v>0</v>
      </c>
      <c r="G223" s="328">
        <f>'d3'!G223-d3М!G218</f>
        <v>0</v>
      </c>
      <c r="H223" s="328">
        <f>'d3'!H223-d3М!H218</f>
        <v>0</v>
      </c>
      <c r="I223" s="328">
        <f>'d3'!I223-d3М!I218</f>
        <v>0</v>
      </c>
      <c r="J223" s="328">
        <f>'d3'!J223-d3М!J218</f>
        <v>0</v>
      </c>
      <c r="K223" s="328">
        <f>'d3'!K223-d3М!K218</f>
        <v>0</v>
      </c>
      <c r="L223" s="328">
        <f>'d3'!L223-d3М!L218</f>
        <v>0</v>
      </c>
      <c r="M223" s="328">
        <f>'d3'!M223-d3М!M218</f>
        <v>0</v>
      </c>
      <c r="N223" s="328">
        <f>'d3'!N223-d3М!N218</f>
        <v>0</v>
      </c>
      <c r="O223" s="328">
        <f>'d3'!O223-d3М!O218</f>
        <v>0</v>
      </c>
      <c r="P223" s="328">
        <f>'d3'!P223-d3М!P218</f>
        <v>0</v>
      </c>
      <c r="Q223" s="157"/>
      <c r="R223" s="52"/>
    </row>
    <row r="224" spans="1:18" ht="47.25" hidden="1" thickTop="1" thickBot="1" x14ac:dyDescent="0.25">
      <c r="A224" s="103" t="s">
        <v>183</v>
      </c>
      <c r="B224" s="103" t="s">
        <v>184</v>
      </c>
      <c r="C224" s="103" t="s">
        <v>185</v>
      </c>
      <c r="D224" s="103" t="s">
        <v>638</v>
      </c>
      <c r="E224" s="328">
        <f>'d3'!E224-d3М!E219</f>
        <v>0</v>
      </c>
      <c r="F224" s="328">
        <f>'d3'!F224-d3М!F219</f>
        <v>0</v>
      </c>
      <c r="G224" s="328">
        <f>'d3'!G224-d3М!G219</f>
        <v>0</v>
      </c>
      <c r="H224" s="328">
        <f>'d3'!H224-d3М!H219</f>
        <v>0</v>
      </c>
      <c r="I224" s="328">
        <f>'d3'!I224-d3М!I219</f>
        <v>0</v>
      </c>
      <c r="J224" s="328">
        <f>'d3'!J224-d3М!J219</f>
        <v>0</v>
      </c>
      <c r="K224" s="328">
        <f>'d3'!K224-d3М!K219</f>
        <v>0</v>
      </c>
      <c r="L224" s="328">
        <f>'d3'!L224-d3М!L219</f>
        <v>0</v>
      </c>
      <c r="M224" s="328">
        <f>'d3'!M224-d3М!M219</f>
        <v>0</v>
      </c>
      <c r="N224" s="328">
        <f>'d3'!N224-d3М!N219</f>
        <v>0</v>
      </c>
      <c r="O224" s="328">
        <f>'d3'!O224-d3М!O219</f>
        <v>0</v>
      </c>
      <c r="P224" s="328">
        <f>'d3'!P224-d3М!P219</f>
        <v>0</v>
      </c>
      <c r="Q224" s="50"/>
      <c r="R224" s="50"/>
    </row>
    <row r="225" spans="1:18" s="33" customFormat="1" ht="93" thickTop="1" thickBot="1" x14ac:dyDescent="0.25">
      <c r="A225" s="329" t="s">
        <v>767</v>
      </c>
      <c r="B225" s="329" t="s">
        <v>768</v>
      </c>
      <c r="C225" s="329"/>
      <c r="D225" s="329" t="s">
        <v>1554</v>
      </c>
      <c r="E225" s="328">
        <f>'d3'!E225-d3М!E220</f>
        <v>140000</v>
      </c>
      <c r="F225" s="328">
        <f>'d3'!F225-d3М!F220</f>
        <v>140000</v>
      </c>
      <c r="G225" s="328">
        <f>'d3'!G225-d3М!G220</f>
        <v>0</v>
      </c>
      <c r="H225" s="328">
        <f>'d3'!H225-d3М!H220</f>
        <v>0</v>
      </c>
      <c r="I225" s="328">
        <f>'d3'!I225-d3М!I220</f>
        <v>0</v>
      </c>
      <c r="J225" s="328">
        <f>'d3'!J225-d3М!J220</f>
        <v>133719</v>
      </c>
      <c r="K225" s="328">
        <f>'d3'!K225-d3М!K220</f>
        <v>133719</v>
      </c>
      <c r="L225" s="328">
        <f>'d3'!L225-d3М!L220</f>
        <v>0</v>
      </c>
      <c r="M225" s="328">
        <f>'d3'!M225-d3М!M220</f>
        <v>0</v>
      </c>
      <c r="N225" s="328">
        <f>'d3'!N225-d3М!N220</f>
        <v>0</v>
      </c>
      <c r="O225" s="328">
        <f>'d3'!O225-d3М!O220</f>
        <v>133719</v>
      </c>
      <c r="P225" s="328">
        <f>'d3'!P225-d3М!P220</f>
        <v>273719</v>
      </c>
      <c r="Q225" s="51"/>
      <c r="R225" s="51"/>
    </row>
    <row r="226" spans="1:18" ht="47.25" thickTop="1" thickBot="1" x14ac:dyDescent="0.25">
      <c r="A226" s="103" t="s">
        <v>189</v>
      </c>
      <c r="B226" s="103" t="s">
        <v>190</v>
      </c>
      <c r="C226" s="103" t="s">
        <v>185</v>
      </c>
      <c r="D226" s="103" t="s">
        <v>10</v>
      </c>
      <c r="E226" s="328">
        <f>'d3'!E226-d3М!E221</f>
        <v>0</v>
      </c>
      <c r="F226" s="328">
        <f>'d3'!F226-d3М!F221</f>
        <v>0</v>
      </c>
      <c r="G226" s="328">
        <f>'d3'!G226-d3М!G221</f>
        <v>0</v>
      </c>
      <c r="H226" s="328">
        <f>'d3'!H226-d3М!H221</f>
        <v>0</v>
      </c>
      <c r="I226" s="328">
        <f>'d3'!I226-d3М!I221</f>
        <v>0</v>
      </c>
      <c r="J226" s="328">
        <f>'d3'!J226-d3М!J221</f>
        <v>133719</v>
      </c>
      <c r="K226" s="328">
        <f>'d3'!K226-d3М!K221</f>
        <v>133719</v>
      </c>
      <c r="L226" s="328">
        <f>'d3'!L226-d3М!L221</f>
        <v>0</v>
      </c>
      <c r="M226" s="328">
        <f>'d3'!M226-d3М!M221</f>
        <v>0</v>
      </c>
      <c r="N226" s="328">
        <f>'d3'!N226-d3М!N221</f>
        <v>0</v>
      </c>
      <c r="O226" s="328">
        <f>'d3'!O226-d3М!O221</f>
        <v>133719</v>
      </c>
      <c r="P226" s="328">
        <f>'d3'!P226-d3М!P221</f>
        <v>133719</v>
      </c>
      <c r="Q226" s="20"/>
      <c r="R226" s="46"/>
    </row>
    <row r="227" spans="1:18" ht="47.25" thickTop="1" thickBot="1" x14ac:dyDescent="0.25">
      <c r="A227" s="103" t="s">
        <v>351</v>
      </c>
      <c r="B227" s="103" t="s">
        <v>352</v>
      </c>
      <c r="C227" s="103" t="s">
        <v>185</v>
      </c>
      <c r="D227" s="103" t="s">
        <v>353</v>
      </c>
      <c r="E227" s="328">
        <f>'d3'!E227-d3М!E222</f>
        <v>140000</v>
      </c>
      <c r="F227" s="328">
        <f>'d3'!F227-d3М!F222</f>
        <v>140000</v>
      </c>
      <c r="G227" s="328">
        <f>'d3'!G227-d3М!G222</f>
        <v>0</v>
      </c>
      <c r="H227" s="328">
        <f>'d3'!H227-d3М!H222</f>
        <v>0</v>
      </c>
      <c r="I227" s="328">
        <f>'d3'!I227-d3М!I222</f>
        <v>0</v>
      </c>
      <c r="J227" s="328">
        <f>'d3'!J227-d3М!J222</f>
        <v>0</v>
      </c>
      <c r="K227" s="328">
        <f>'d3'!K227-d3М!K222</f>
        <v>0</v>
      </c>
      <c r="L227" s="328">
        <f>'d3'!L227-d3М!L222</f>
        <v>0</v>
      </c>
      <c r="M227" s="328">
        <f>'d3'!M227-d3М!M222</f>
        <v>0</v>
      </c>
      <c r="N227" s="328">
        <f>'d3'!N227-d3М!N222</f>
        <v>0</v>
      </c>
      <c r="O227" s="328">
        <f>'d3'!O227-d3М!O222</f>
        <v>0</v>
      </c>
      <c r="P227" s="328">
        <f>'d3'!P227-d3М!P222</f>
        <v>140000</v>
      </c>
      <c r="Q227" s="20"/>
      <c r="R227" s="46"/>
    </row>
    <row r="228" spans="1:18" ht="47.25" thickTop="1" thickBot="1" x14ac:dyDescent="0.25">
      <c r="A228" s="311" t="s">
        <v>769</v>
      </c>
      <c r="B228" s="311" t="s">
        <v>770</v>
      </c>
      <c r="C228" s="103"/>
      <c r="D228" s="311" t="s">
        <v>771</v>
      </c>
      <c r="E228" s="328">
        <f>'d3'!E228-d3М!E223</f>
        <v>3061809</v>
      </c>
      <c r="F228" s="328">
        <f>'d3'!F228-d3М!F223</f>
        <v>3061809</v>
      </c>
      <c r="G228" s="328">
        <f>'d3'!G228-d3М!G223</f>
        <v>0</v>
      </c>
      <c r="H228" s="328">
        <f>'d3'!H228-d3М!H223</f>
        <v>0</v>
      </c>
      <c r="I228" s="328">
        <f>'d3'!I228-d3М!I223</f>
        <v>0</v>
      </c>
      <c r="J228" s="328">
        <f>'d3'!J228-d3М!J223</f>
        <v>1747146</v>
      </c>
      <c r="K228" s="328">
        <f>'d3'!K228-d3М!K223</f>
        <v>1747146</v>
      </c>
      <c r="L228" s="328">
        <f>'d3'!L228-d3М!L223</f>
        <v>0</v>
      </c>
      <c r="M228" s="328">
        <f>'d3'!M228-d3М!M223</f>
        <v>0</v>
      </c>
      <c r="N228" s="328">
        <f>'d3'!N228-d3М!N223</f>
        <v>0</v>
      </c>
      <c r="O228" s="328">
        <f>'d3'!O228-d3М!O223</f>
        <v>1747146</v>
      </c>
      <c r="P228" s="328">
        <f>'d3'!P228-d3М!P223</f>
        <v>4808955</v>
      </c>
      <c r="Q228" s="20"/>
      <c r="R228" s="46"/>
    </row>
    <row r="229" spans="1:18" s="33" customFormat="1" ht="48" thickTop="1" thickBot="1" x14ac:dyDescent="0.25">
      <c r="A229" s="329" t="s">
        <v>772</v>
      </c>
      <c r="B229" s="329" t="s">
        <v>773</v>
      </c>
      <c r="C229" s="329"/>
      <c r="D229" s="329" t="s">
        <v>774</v>
      </c>
      <c r="E229" s="328">
        <f>'d3'!E229-d3М!E224</f>
        <v>2550000</v>
      </c>
      <c r="F229" s="328">
        <f>'d3'!F229-d3М!F224</f>
        <v>2550000</v>
      </c>
      <c r="G229" s="328">
        <f>'d3'!G229-d3М!G224</f>
        <v>0</v>
      </c>
      <c r="H229" s="328">
        <f>'d3'!H229-d3М!H224</f>
        <v>0</v>
      </c>
      <c r="I229" s="328">
        <f>'d3'!I229-d3М!I224</f>
        <v>0</v>
      </c>
      <c r="J229" s="328">
        <f>'d3'!J229-d3М!J224</f>
        <v>0</v>
      </c>
      <c r="K229" s="328">
        <f>'d3'!K229-d3М!K224</f>
        <v>0</v>
      </c>
      <c r="L229" s="328">
        <f>'d3'!L229-d3М!L224</f>
        <v>0</v>
      </c>
      <c r="M229" s="328">
        <f>'d3'!M229-d3М!M224</f>
        <v>0</v>
      </c>
      <c r="N229" s="328">
        <f>'d3'!N229-d3М!N224</f>
        <v>0</v>
      </c>
      <c r="O229" s="328">
        <f>'d3'!O229-d3М!O224</f>
        <v>0</v>
      </c>
      <c r="P229" s="328">
        <f>'d3'!P229-d3М!P224</f>
        <v>2550000</v>
      </c>
      <c r="Q229" s="36"/>
      <c r="R229" s="52"/>
    </row>
    <row r="230" spans="1:18" ht="47.25" thickTop="1" thickBot="1" x14ac:dyDescent="0.25">
      <c r="A230" s="103" t="s">
        <v>44</v>
      </c>
      <c r="B230" s="103" t="s">
        <v>186</v>
      </c>
      <c r="C230" s="103" t="s">
        <v>195</v>
      </c>
      <c r="D230" s="103" t="s">
        <v>45</v>
      </c>
      <c r="E230" s="328">
        <f>'d3'!E230-d3М!E225</f>
        <v>2100000</v>
      </c>
      <c r="F230" s="328">
        <f>'d3'!F230-d3М!F225</f>
        <v>2100000</v>
      </c>
      <c r="G230" s="328">
        <f>'d3'!G230-d3М!G225</f>
        <v>0</v>
      </c>
      <c r="H230" s="328">
        <f>'d3'!H230-d3М!H225</f>
        <v>0</v>
      </c>
      <c r="I230" s="328">
        <f>'d3'!I230-d3М!I225</f>
        <v>0</v>
      </c>
      <c r="J230" s="328">
        <f>'d3'!J230-d3М!J225</f>
        <v>0</v>
      </c>
      <c r="K230" s="328">
        <f>'d3'!K230-d3М!K225</f>
        <v>0</v>
      </c>
      <c r="L230" s="328">
        <f>'d3'!L230-d3М!L225</f>
        <v>0</v>
      </c>
      <c r="M230" s="328">
        <f>'d3'!M230-d3М!M225</f>
        <v>0</v>
      </c>
      <c r="N230" s="328">
        <f>'d3'!N230-d3М!N225</f>
        <v>0</v>
      </c>
      <c r="O230" s="328">
        <f>'d3'!O230-d3М!O225</f>
        <v>0</v>
      </c>
      <c r="P230" s="328">
        <f>'d3'!P230-d3М!P225</f>
        <v>2100000</v>
      </c>
      <c r="Q230" s="20"/>
      <c r="R230" s="46"/>
    </row>
    <row r="231" spans="1:18" ht="93" thickTop="1" thickBot="1" x14ac:dyDescent="0.25">
      <c r="A231" s="103" t="s">
        <v>46</v>
      </c>
      <c r="B231" s="103" t="s">
        <v>187</v>
      </c>
      <c r="C231" s="103" t="s">
        <v>195</v>
      </c>
      <c r="D231" s="103" t="s">
        <v>4</v>
      </c>
      <c r="E231" s="328">
        <f>'d3'!E231-d3М!E226</f>
        <v>450000</v>
      </c>
      <c r="F231" s="328">
        <f>'d3'!F231-d3М!F226</f>
        <v>450000</v>
      </c>
      <c r="G231" s="328">
        <f>'d3'!G231-d3М!G226</f>
        <v>0</v>
      </c>
      <c r="H231" s="328">
        <f>'d3'!H231-d3М!H226</f>
        <v>0</v>
      </c>
      <c r="I231" s="328">
        <f>'d3'!I231-d3М!I226</f>
        <v>0</v>
      </c>
      <c r="J231" s="328">
        <f>'d3'!J231-d3М!J226</f>
        <v>0</v>
      </c>
      <c r="K231" s="328">
        <f>'d3'!K231-d3М!K226</f>
        <v>0</v>
      </c>
      <c r="L231" s="328">
        <f>'d3'!L231-d3М!L226</f>
        <v>0</v>
      </c>
      <c r="M231" s="328">
        <f>'d3'!M231-d3М!M226</f>
        <v>0</v>
      </c>
      <c r="N231" s="328">
        <f>'d3'!N231-d3М!N226</f>
        <v>0</v>
      </c>
      <c r="O231" s="328">
        <f>'d3'!O231-d3М!O226</f>
        <v>0</v>
      </c>
      <c r="P231" s="328">
        <f>'d3'!P231-d3М!P226</f>
        <v>450000</v>
      </c>
      <c r="Q231" s="20"/>
      <c r="R231" s="46"/>
    </row>
    <row r="232" spans="1:18" s="33" customFormat="1" ht="93" thickTop="1" thickBot="1" x14ac:dyDescent="0.25">
      <c r="A232" s="329" t="s">
        <v>775</v>
      </c>
      <c r="B232" s="329" t="s">
        <v>776</v>
      </c>
      <c r="C232" s="329"/>
      <c r="D232" s="329" t="s">
        <v>777</v>
      </c>
      <c r="E232" s="328">
        <f>'d3'!E232-d3М!E227</f>
        <v>0</v>
      </c>
      <c r="F232" s="328">
        <f>'d3'!F232-d3М!F227</f>
        <v>0</v>
      </c>
      <c r="G232" s="328">
        <f>'d3'!G232-d3М!G227</f>
        <v>0</v>
      </c>
      <c r="H232" s="328">
        <f>'d3'!H232-d3М!H227</f>
        <v>0</v>
      </c>
      <c r="I232" s="328">
        <f>'d3'!I232-d3М!I227</f>
        <v>0</v>
      </c>
      <c r="J232" s="328">
        <f>'d3'!J232-d3М!J227</f>
        <v>0</v>
      </c>
      <c r="K232" s="328">
        <f>'d3'!K232-d3М!K227</f>
        <v>0</v>
      </c>
      <c r="L232" s="328">
        <f>'d3'!L232-d3М!L227</f>
        <v>0</v>
      </c>
      <c r="M232" s="328">
        <f>'d3'!M232-d3М!M227</f>
        <v>0</v>
      </c>
      <c r="N232" s="328">
        <f>'d3'!N232-d3М!N227</f>
        <v>0</v>
      </c>
      <c r="O232" s="328">
        <f>'d3'!O232-d3М!O227</f>
        <v>0</v>
      </c>
      <c r="P232" s="328">
        <f>'d3'!P232-d3М!P227</f>
        <v>0</v>
      </c>
      <c r="Q232" s="36"/>
      <c r="R232" s="53"/>
    </row>
    <row r="233" spans="1:18" ht="93" thickTop="1" thickBot="1" x14ac:dyDescent="0.25">
      <c r="A233" s="103" t="s">
        <v>47</v>
      </c>
      <c r="B233" s="103" t="s">
        <v>188</v>
      </c>
      <c r="C233" s="103" t="s">
        <v>195</v>
      </c>
      <c r="D233" s="103" t="s">
        <v>349</v>
      </c>
      <c r="E233" s="328">
        <f>'d3'!E233-d3М!E228</f>
        <v>0</v>
      </c>
      <c r="F233" s="328">
        <f>'d3'!F233-d3М!F228</f>
        <v>0</v>
      </c>
      <c r="G233" s="328">
        <f>'d3'!G233-d3М!G228</f>
        <v>0</v>
      </c>
      <c r="H233" s="328">
        <f>'d3'!H233-d3М!H228</f>
        <v>0</v>
      </c>
      <c r="I233" s="328">
        <f>'d3'!I233-d3М!I228</f>
        <v>0</v>
      </c>
      <c r="J233" s="328">
        <f>'d3'!J233-d3М!J228</f>
        <v>0</v>
      </c>
      <c r="K233" s="328">
        <f>'d3'!K233-d3М!K228</f>
        <v>0</v>
      </c>
      <c r="L233" s="328">
        <f>'d3'!L233-d3М!L228</f>
        <v>0</v>
      </c>
      <c r="M233" s="328">
        <f>'d3'!M233-d3М!M228</f>
        <v>0</v>
      </c>
      <c r="N233" s="328">
        <f>'d3'!N233-d3М!N228</f>
        <v>0</v>
      </c>
      <c r="O233" s="328">
        <f>'d3'!O233-d3М!O228</f>
        <v>0</v>
      </c>
      <c r="P233" s="328">
        <f>'d3'!P233-d3М!P228</f>
        <v>0</v>
      </c>
      <c r="Q233" s="20"/>
      <c r="R233" s="46"/>
    </row>
    <row r="234" spans="1:18" ht="47.25" thickTop="1" thickBot="1" x14ac:dyDescent="0.25">
      <c r="A234" s="329" t="s">
        <v>778</v>
      </c>
      <c r="B234" s="329" t="s">
        <v>779</v>
      </c>
      <c r="C234" s="329"/>
      <c r="D234" s="329" t="s">
        <v>780</v>
      </c>
      <c r="E234" s="328">
        <f>'d3'!E234-d3М!E229</f>
        <v>571809</v>
      </c>
      <c r="F234" s="328">
        <f>'d3'!F234-d3М!F229</f>
        <v>571809</v>
      </c>
      <c r="G234" s="328">
        <f>'d3'!G234-d3М!G229</f>
        <v>0</v>
      </c>
      <c r="H234" s="328">
        <f>'d3'!H234-d3М!H229</f>
        <v>0</v>
      </c>
      <c r="I234" s="328">
        <f>'d3'!I234-d3М!I229</f>
        <v>0</v>
      </c>
      <c r="J234" s="328">
        <f>'d3'!J234-d3М!J229</f>
        <v>1747146</v>
      </c>
      <c r="K234" s="328">
        <f>'d3'!K234-d3М!K229</f>
        <v>1747146</v>
      </c>
      <c r="L234" s="328">
        <f>'d3'!L234-d3М!L229</f>
        <v>0</v>
      </c>
      <c r="M234" s="328">
        <f>'d3'!M234-d3М!M229</f>
        <v>0</v>
      </c>
      <c r="N234" s="328">
        <f>'d3'!N234-d3М!N229</f>
        <v>0</v>
      </c>
      <c r="O234" s="328">
        <f>'d3'!O234-d3М!O229</f>
        <v>1747146</v>
      </c>
      <c r="P234" s="328">
        <f>'d3'!P234-d3М!P229</f>
        <v>2318955</v>
      </c>
      <c r="Q234" s="20"/>
      <c r="R234" s="46"/>
    </row>
    <row r="235" spans="1:18" ht="93" thickTop="1" thickBot="1" x14ac:dyDescent="0.25">
      <c r="A235" s="103" t="s">
        <v>28</v>
      </c>
      <c r="B235" s="103" t="s">
        <v>192</v>
      </c>
      <c r="C235" s="103" t="s">
        <v>195</v>
      </c>
      <c r="D235" s="103" t="s">
        <v>48</v>
      </c>
      <c r="E235" s="328">
        <f>'d3'!E235-d3М!E230</f>
        <v>571809</v>
      </c>
      <c r="F235" s="328">
        <f>'d3'!F235-d3М!F230</f>
        <v>571809</v>
      </c>
      <c r="G235" s="328">
        <f>'d3'!G235-d3М!G230</f>
        <v>0</v>
      </c>
      <c r="H235" s="328">
        <f>'d3'!H235-d3М!H230</f>
        <v>0</v>
      </c>
      <c r="I235" s="328">
        <f>'d3'!I235-d3М!I230</f>
        <v>0</v>
      </c>
      <c r="J235" s="328">
        <f>'d3'!J235-d3М!J230</f>
        <v>1747146</v>
      </c>
      <c r="K235" s="328">
        <f>'d3'!K235-d3М!K230</f>
        <v>1747146</v>
      </c>
      <c r="L235" s="328">
        <f>'d3'!L235-d3М!L230</f>
        <v>0</v>
      </c>
      <c r="M235" s="328">
        <f>'d3'!M235-d3М!M230</f>
        <v>0</v>
      </c>
      <c r="N235" s="328">
        <f>'d3'!N235-d3М!N230</f>
        <v>0</v>
      </c>
      <c r="O235" s="328">
        <f>'d3'!O235-d3М!O230</f>
        <v>1747146</v>
      </c>
      <c r="P235" s="328">
        <f>'d3'!P235-d3М!P230</f>
        <v>2318955</v>
      </c>
      <c r="Q235" s="20"/>
      <c r="R235" s="46"/>
    </row>
    <row r="236" spans="1:18" ht="93" thickTop="1" thickBot="1" x14ac:dyDescent="0.25">
      <c r="A236" s="103" t="s">
        <v>29</v>
      </c>
      <c r="B236" s="103" t="s">
        <v>193</v>
      </c>
      <c r="C236" s="103" t="s">
        <v>195</v>
      </c>
      <c r="D236" s="103" t="s">
        <v>49</v>
      </c>
      <c r="E236" s="328">
        <f>'d3'!E236-d3М!E231</f>
        <v>0</v>
      </c>
      <c r="F236" s="328">
        <f>'d3'!F236-d3М!F231</f>
        <v>0</v>
      </c>
      <c r="G236" s="328">
        <f>'d3'!G236-d3М!G231</f>
        <v>0</v>
      </c>
      <c r="H236" s="328">
        <f>'d3'!H236-d3М!H231</f>
        <v>0</v>
      </c>
      <c r="I236" s="328">
        <f>'d3'!I236-d3М!I231</f>
        <v>0</v>
      </c>
      <c r="J236" s="328">
        <f>'d3'!J236-d3М!J231</f>
        <v>0</v>
      </c>
      <c r="K236" s="328">
        <f>'d3'!K236-d3М!K231</f>
        <v>0</v>
      </c>
      <c r="L236" s="328">
        <f>'d3'!L236-d3М!L231</f>
        <v>0</v>
      </c>
      <c r="M236" s="328">
        <f>'d3'!M236-d3М!M231</f>
        <v>0</v>
      </c>
      <c r="N236" s="328">
        <f>'d3'!N236-d3М!N231</f>
        <v>0</v>
      </c>
      <c r="O236" s="328">
        <f>'d3'!O236-d3М!O231</f>
        <v>0</v>
      </c>
      <c r="P236" s="328">
        <f>'d3'!P236-d3М!P231</f>
        <v>0</v>
      </c>
      <c r="Q236" s="20"/>
      <c r="R236" s="46"/>
    </row>
    <row r="237" spans="1:18" ht="69.75" customHeight="1" thickTop="1" thickBot="1" x14ac:dyDescent="0.25">
      <c r="A237" s="673" t="s">
        <v>1378</v>
      </c>
      <c r="B237" s="669" t="s">
        <v>816</v>
      </c>
      <c r="C237" s="669"/>
      <c r="D237" s="669" t="s">
        <v>817</v>
      </c>
      <c r="E237" s="328">
        <f>'d3'!E237-d3М!E232</f>
        <v>0</v>
      </c>
      <c r="F237" s="328">
        <f>'d3'!F237-d3М!F232</f>
        <v>0</v>
      </c>
      <c r="G237" s="328">
        <f>'d3'!G237-d3М!G232</f>
        <v>0</v>
      </c>
      <c r="H237" s="328">
        <f>'d3'!H237-d3М!H232</f>
        <v>0</v>
      </c>
      <c r="I237" s="328">
        <f>'d3'!I237-d3М!I232</f>
        <v>0</v>
      </c>
      <c r="J237" s="328">
        <f>'d3'!J237-d3М!J232</f>
        <v>0</v>
      </c>
      <c r="K237" s="328">
        <f>'d3'!K237-d3М!K232</f>
        <v>0</v>
      </c>
      <c r="L237" s="328">
        <f>'d3'!L237-d3М!L232</f>
        <v>0</v>
      </c>
      <c r="M237" s="328">
        <f>'d3'!M237-d3М!M232</f>
        <v>0</v>
      </c>
      <c r="N237" s="328">
        <f>'d3'!N237-d3М!N232</f>
        <v>0</v>
      </c>
      <c r="O237" s="328">
        <f>'d3'!O237-d3М!O232</f>
        <v>0</v>
      </c>
      <c r="P237" s="328">
        <f>'d3'!P237-d3М!P232</f>
        <v>0</v>
      </c>
      <c r="Q237" s="20"/>
      <c r="R237" s="46"/>
    </row>
    <row r="238" spans="1:18" ht="93" thickTop="1" thickBot="1" x14ac:dyDescent="0.25">
      <c r="A238" s="665" t="s">
        <v>1379</v>
      </c>
      <c r="B238" s="665" t="s">
        <v>1380</v>
      </c>
      <c r="C238" s="665" t="s">
        <v>195</v>
      </c>
      <c r="D238" s="665" t="s">
        <v>1381</v>
      </c>
      <c r="E238" s="328">
        <f>'d3'!E238-d3М!E233</f>
        <v>0</v>
      </c>
      <c r="F238" s="328">
        <f>'d3'!F238-d3М!F233</f>
        <v>0</v>
      </c>
      <c r="G238" s="328">
        <f>'d3'!G238-d3М!G233</f>
        <v>0</v>
      </c>
      <c r="H238" s="328">
        <f>'d3'!H238-d3М!H233</f>
        <v>0</v>
      </c>
      <c r="I238" s="328">
        <f>'d3'!I238-d3М!I233</f>
        <v>0</v>
      </c>
      <c r="J238" s="328">
        <f>'d3'!J238-d3М!J233</f>
        <v>0</v>
      </c>
      <c r="K238" s="328">
        <f>'d3'!K238-d3М!K233</f>
        <v>0</v>
      </c>
      <c r="L238" s="328">
        <f>'d3'!L238-d3М!L233</f>
        <v>0</v>
      </c>
      <c r="M238" s="328">
        <f>'d3'!M238-d3М!M233</f>
        <v>0</v>
      </c>
      <c r="N238" s="328">
        <f>'d3'!N238-d3М!N233</f>
        <v>0</v>
      </c>
      <c r="O238" s="328">
        <f>'d3'!O238-d3М!O233</f>
        <v>0</v>
      </c>
      <c r="P238" s="328">
        <f>'d3'!P238-d3М!P233</f>
        <v>0</v>
      </c>
      <c r="Q238" s="20"/>
      <c r="R238" s="46"/>
    </row>
    <row r="239" spans="1:18" ht="47.25" thickTop="1" thickBot="1" x14ac:dyDescent="0.25">
      <c r="A239" s="589" t="s">
        <v>781</v>
      </c>
      <c r="B239" s="329" t="s">
        <v>782</v>
      </c>
      <c r="C239" s="329"/>
      <c r="D239" s="329" t="s">
        <v>783</v>
      </c>
      <c r="E239" s="328">
        <f>'d3'!E239-d3М!E234</f>
        <v>-60000</v>
      </c>
      <c r="F239" s="328">
        <f>'d3'!F239-d3М!F234</f>
        <v>-60000</v>
      </c>
      <c r="G239" s="328">
        <f>'d3'!G239-d3М!G234</f>
        <v>0</v>
      </c>
      <c r="H239" s="328">
        <f>'d3'!H239-d3М!H234</f>
        <v>0</v>
      </c>
      <c r="I239" s="328">
        <f>'d3'!I239-d3М!I234</f>
        <v>0</v>
      </c>
      <c r="J239" s="328">
        <f>'d3'!J239-d3М!J234</f>
        <v>0</v>
      </c>
      <c r="K239" s="328">
        <f>'d3'!K239-d3М!K234</f>
        <v>0</v>
      </c>
      <c r="L239" s="328">
        <f>'d3'!L239-d3М!L234</f>
        <v>0</v>
      </c>
      <c r="M239" s="328">
        <f>'d3'!M239-d3М!M234</f>
        <v>0</v>
      </c>
      <c r="N239" s="328">
        <f>'d3'!N239-d3М!N234</f>
        <v>0</v>
      </c>
      <c r="O239" s="328">
        <f>'d3'!O239-d3М!O234</f>
        <v>0</v>
      </c>
      <c r="P239" s="328">
        <f>'d3'!P239-d3М!P234</f>
        <v>-60000</v>
      </c>
      <c r="Q239" s="20"/>
      <c r="R239" s="46"/>
    </row>
    <row r="240" spans="1:18" ht="93" thickTop="1" thickBot="1" x14ac:dyDescent="0.25">
      <c r="A240" s="590" t="s">
        <v>30</v>
      </c>
      <c r="B240" s="590" t="s">
        <v>194</v>
      </c>
      <c r="C240" s="590" t="s">
        <v>195</v>
      </c>
      <c r="D240" s="103" t="s">
        <v>31</v>
      </c>
      <c r="E240" s="328">
        <f>'d3'!E240-d3М!E235</f>
        <v>0</v>
      </c>
      <c r="F240" s="328">
        <f>'d3'!F240-d3М!F235</f>
        <v>0</v>
      </c>
      <c r="G240" s="328">
        <f>'d3'!G240-d3М!G235</f>
        <v>0</v>
      </c>
      <c r="H240" s="328">
        <f>'d3'!H240-d3М!H235</f>
        <v>0</v>
      </c>
      <c r="I240" s="328">
        <f>'d3'!I240-d3М!I235</f>
        <v>0</v>
      </c>
      <c r="J240" s="328">
        <f>'d3'!J240-d3М!J235</f>
        <v>0</v>
      </c>
      <c r="K240" s="328">
        <f>'d3'!K240-d3М!K235</f>
        <v>0</v>
      </c>
      <c r="L240" s="328">
        <f>'d3'!L240-d3М!L235</f>
        <v>0</v>
      </c>
      <c r="M240" s="328">
        <f>'d3'!M240-d3М!M235</f>
        <v>0</v>
      </c>
      <c r="N240" s="328">
        <f>'d3'!N240-d3М!N235</f>
        <v>0</v>
      </c>
      <c r="O240" s="328">
        <f>'d3'!O240-d3М!O235</f>
        <v>0</v>
      </c>
      <c r="P240" s="328">
        <f>'d3'!P240-d3М!P235</f>
        <v>0</v>
      </c>
      <c r="Q240" s="20"/>
      <c r="R240" s="46"/>
    </row>
    <row r="241" spans="1:18" ht="93" thickTop="1" thickBot="1" x14ac:dyDescent="0.25">
      <c r="A241" s="590" t="s">
        <v>512</v>
      </c>
      <c r="B241" s="590" t="s">
        <v>510</v>
      </c>
      <c r="C241" s="590" t="s">
        <v>195</v>
      </c>
      <c r="D241" s="103" t="s">
        <v>511</v>
      </c>
      <c r="E241" s="328">
        <f>'d3'!E241-d3М!E236</f>
        <v>-60000</v>
      </c>
      <c r="F241" s="328">
        <f>'d3'!F241-d3М!F236</f>
        <v>-60000</v>
      </c>
      <c r="G241" s="328">
        <f>'d3'!G241-d3М!G236</f>
        <v>0</v>
      </c>
      <c r="H241" s="328">
        <f>'d3'!H241-d3М!H236</f>
        <v>0</v>
      </c>
      <c r="I241" s="328">
        <f>'d3'!I241-d3М!I236</f>
        <v>0</v>
      </c>
      <c r="J241" s="328">
        <f>'d3'!J241-d3М!J236</f>
        <v>0</v>
      </c>
      <c r="K241" s="328">
        <f>'d3'!K241-d3М!K236</f>
        <v>0</v>
      </c>
      <c r="L241" s="328">
        <f>'d3'!L241-d3М!L236</f>
        <v>0</v>
      </c>
      <c r="M241" s="328">
        <f>'d3'!M241-d3М!M236</f>
        <v>0</v>
      </c>
      <c r="N241" s="328">
        <f>'d3'!N241-d3М!N236</f>
        <v>0</v>
      </c>
      <c r="O241" s="328">
        <f>'d3'!O241-d3М!O236</f>
        <v>0</v>
      </c>
      <c r="P241" s="328">
        <f>'d3'!P241-d3М!P236</f>
        <v>-60000</v>
      </c>
      <c r="Q241" s="20"/>
      <c r="R241" s="46"/>
    </row>
    <row r="242" spans="1:18" ht="47.25" thickTop="1" thickBot="1" x14ac:dyDescent="0.25">
      <c r="A242" s="590" t="s">
        <v>32</v>
      </c>
      <c r="B242" s="590" t="s">
        <v>196</v>
      </c>
      <c r="C242" s="590" t="s">
        <v>195</v>
      </c>
      <c r="D242" s="103" t="s">
        <v>33</v>
      </c>
      <c r="E242" s="328">
        <f>'d3'!E242-d3М!E237</f>
        <v>0</v>
      </c>
      <c r="F242" s="328">
        <f>'d3'!F242-d3М!F237</f>
        <v>0</v>
      </c>
      <c r="G242" s="328">
        <f>'d3'!G242-d3М!G237</f>
        <v>0</v>
      </c>
      <c r="H242" s="328">
        <f>'d3'!H242-d3М!H237</f>
        <v>0</v>
      </c>
      <c r="I242" s="328">
        <f>'d3'!I242-d3М!I237</f>
        <v>0</v>
      </c>
      <c r="J242" s="328">
        <f>'d3'!J242-d3М!J237</f>
        <v>0</v>
      </c>
      <c r="K242" s="328">
        <f>'d3'!K242-d3М!K237</f>
        <v>0</v>
      </c>
      <c r="L242" s="328">
        <f>'d3'!L242-d3М!L237</f>
        <v>0</v>
      </c>
      <c r="M242" s="328">
        <f>'d3'!M242-d3М!M237</f>
        <v>0</v>
      </c>
      <c r="N242" s="328">
        <f>'d3'!N242-d3М!N237</f>
        <v>0</v>
      </c>
      <c r="O242" s="328">
        <f>'d3'!O242-d3М!O237</f>
        <v>0</v>
      </c>
      <c r="P242" s="328">
        <f>'d3'!P242-d3М!P237</f>
        <v>0</v>
      </c>
      <c r="Q242" s="20"/>
      <c r="R242" s="46"/>
    </row>
    <row r="243" spans="1:18" ht="47.25" hidden="1" thickTop="1" thickBot="1" x14ac:dyDescent="0.25">
      <c r="A243" s="125" t="s">
        <v>784</v>
      </c>
      <c r="B243" s="125" t="s">
        <v>742</v>
      </c>
      <c r="C243" s="125"/>
      <c r="D243" s="408" t="s">
        <v>743</v>
      </c>
      <c r="E243" s="152">
        <f>E244</f>
        <v>0</v>
      </c>
      <c r="F243" s="152">
        <f t="shared" ref="F243:P244" si="43">F244</f>
        <v>0</v>
      </c>
      <c r="G243" s="152">
        <f t="shared" si="43"/>
        <v>0</v>
      </c>
      <c r="H243" s="152">
        <f t="shared" si="43"/>
        <v>0</v>
      </c>
      <c r="I243" s="152">
        <f t="shared" si="43"/>
        <v>0</v>
      </c>
      <c r="J243" s="152">
        <f t="shared" si="43"/>
        <v>0</v>
      </c>
      <c r="K243" s="152">
        <f t="shared" si="43"/>
        <v>0</v>
      </c>
      <c r="L243" s="152">
        <f t="shared" si="43"/>
        <v>0</v>
      </c>
      <c r="M243" s="152">
        <f t="shared" si="43"/>
        <v>0</v>
      </c>
      <c r="N243" s="152">
        <f t="shared" si="43"/>
        <v>0</v>
      </c>
      <c r="O243" s="152">
        <f t="shared" si="43"/>
        <v>0</v>
      </c>
      <c r="P243" s="152">
        <f t="shared" si="43"/>
        <v>0</v>
      </c>
      <c r="Q243" s="20"/>
      <c r="R243" s="46"/>
    </row>
    <row r="244" spans="1:18" ht="48" hidden="1" thickTop="1" thickBot="1" x14ac:dyDescent="0.25">
      <c r="A244" s="409" t="s">
        <v>785</v>
      </c>
      <c r="B244" s="409" t="s">
        <v>745</v>
      </c>
      <c r="C244" s="409"/>
      <c r="D244" s="140" t="s">
        <v>746</v>
      </c>
      <c r="E244" s="158">
        <f>E245</f>
        <v>0</v>
      </c>
      <c r="F244" s="158">
        <f t="shared" si="43"/>
        <v>0</v>
      </c>
      <c r="G244" s="158">
        <f t="shared" si="43"/>
        <v>0</v>
      </c>
      <c r="H244" s="158">
        <f t="shared" si="43"/>
        <v>0</v>
      </c>
      <c r="I244" s="158">
        <f t="shared" si="43"/>
        <v>0</v>
      </c>
      <c r="J244" s="158">
        <f t="shared" si="43"/>
        <v>0</v>
      </c>
      <c r="K244" s="158">
        <f t="shared" si="43"/>
        <v>0</v>
      </c>
      <c r="L244" s="158">
        <f t="shared" si="43"/>
        <v>0</v>
      </c>
      <c r="M244" s="158">
        <f t="shared" si="43"/>
        <v>0</v>
      </c>
      <c r="N244" s="158">
        <f t="shared" si="43"/>
        <v>0</v>
      </c>
      <c r="O244" s="158">
        <f t="shared" si="43"/>
        <v>0</v>
      </c>
      <c r="P244" s="158">
        <f t="shared" si="43"/>
        <v>0</v>
      </c>
      <c r="Q244" s="20"/>
      <c r="R244" s="46"/>
    </row>
    <row r="245" spans="1:18" ht="93" hidden="1" thickTop="1" thickBot="1" x14ac:dyDescent="0.25">
      <c r="A245" s="410" t="s">
        <v>342</v>
      </c>
      <c r="B245" s="410" t="s">
        <v>341</v>
      </c>
      <c r="C245" s="410" t="s">
        <v>340</v>
      </c>
      <c r="D245" s="128" t="s">
        <v>639</v>
      </c>
      <c r="E245" s="152">
        <f>F245</f>
        <v>0</v>
      </c>
      <c r="F245" s="129"/>
      <c r="G245" s="134"/>
      <c r="H245" s="134"/>
      <c r="I245" s="134"/>
      <c r="J245" s="127">
        <f t="shared" ref="J245:J252" si="44">L245+O245</f>
        <v>0</v>
      </c>
      <c r="K245" s="134"/>
      <c r="L245" s="134"/>
      <c r="M245" s="134"/>
      <c r="N245" s="134"/>
      <c r="O245" s="132">
        <f t="shared" ref="O245:O252" si="45">K245</f>
        <v>0</v>
      </c>
      <c r="P245" s="127">
        <f t="shared" ref="P245:P252" si="46">E245+J245</f>
        <v>0</v>
      </c>
      <c r="Q245" s="20"/>
      <c r="R245" s="50"/>
    </row>
    <row r="246" spans="1:18" ht="47.25" hidden="1" thickTop="1" thickBot="1" x14ac:dyDescent="0.25">
      <c r="A246" s="125" t="s">
        <v>786</v>
      </c>
      <c r="B246" s="125" t="s">
        <v>748</v>
      </c>
      <c r="C246" s="125"/>
      <c r="D246" s="125" t="s">
        <v>749</v>
      </c>
      <c r="E246" s="152">
        <f>E250+E247</f>
        <v>0</v>
      </c>
      <c r="F246" s="152">
        <f t="shared" ref="F246:P246" si="47">F250+F247</f>
        <v>0</v>
      </c>
      <c r="G246" s="152">
        <f t="shared" si="47"/>
        <v>0</v>
      </c>
      <c r="H246" s="152">
        <f t="shared" si="47"/>
        <v>0</v>
      </c>
      <c r="I246" s="152">
        <f t="shared" si="47"/>
        <v>0</v>
      </c>
      <c r="J246" s="152">
        <f t="shared" si="47"/>
        <v>0</v>
      </c>
      <c r="K246" s="152">
        <f t="shared" si="47"/>
        <v>0</v>
      </c>
      <c r="L246" s="152">
        <f t="shared" si="47"/>
        <v>0</v>
      </c>
      <c r="M246" s="152">
        <f t="shared" si="47"/>
        <v>0</v>
      </c>
      <c r="N246" s="152">
        <f t="shared" si="47"/>
        <v>0</v>
      </c>
      <c r="O246" s="152">
        <f t="shared" si="47"/>
        <v>0</v>
      </c>
      <c r="P246" s="152">
        <f t="shared" si="47"/>
        <v>0</v>
      </c>
      <c r="Q246" s="20"/>
      <c r="R246" s="50"/>
    </row>
    <row r="247" spans="1:18" ht="47.25" hidden="1" thickTop="1" thickBot="1" x14ac:dyDescent="0.25">
      <c r="A247" s="136" t="s">
        <v>1099</v>
      </c>
      <c r="B247" s="136" t="s">
        <v>803</v>
      </c>
      <c r="C247" s="136"/>
      <c r="D247" s="136" t="s">
        <v>804</v>
      </c>
      <c r="E247" s="137">
        <f>E248</f>
        <v>0</v>
      </c>
      <c r="F247" s="137">
        <f t="shared" ref="F247:P248" si="48">F248</f>
        <v>0</v>
      </c>
      <c r="G247" s="137">
        <f t="shared" si="48"/>
        <v>0</v>
      </c>
      <c r="H247" s="137">
        <f t="shared" si="48"/>
        <v>0</v>
      </c>
      <c r="I247" s="137">
        <f t="shared" si="48"/>
        <v>0</v>
      </c>
      <c r="J247" s="137">
        <f t="shared" si="48"/>
        <v>0</v>
      </c>
      <c r="K247" s="137">
        <f t="shared" si="48"/>
        <v>0</v>
      </c>
      <c r="L247" s="137">
        <f t="shared" si="48"/>
        <v>0</v>
      </c>
      <c r="M247" s="137">
        <f t="shared" si="48"/>
        <v>0</v>
      </c>
      <c r="N247" s="137">
        <f t="shared" si="48"/>
        <v>0</v>
      </c>
      <c r="O247" s="137">
        <f t="shared" si="48"/>
        <v>0</v>
      </c>
      <c r="P247" s="137">
        <f t="shared" si="48"/>
        <v>0</v>
      </c>
      <c r="Q247" s="20"/>
      <c r="R247" s="50"/>
    </row>
    <row r="248" spans="1:18" ht="54" hidden="1" thickTop="1" thickBot="1" x14ac:dyDescent="0.25">
      <c r="A248" s="140" t="s">
        <v>1100</v>
      </c>
      <c r="B248" s="140" t="s">
        <v>821</v>
      </c>
      <c r="C248" s="140"/>
      <c r="D248" s="140" t="s">
        <v>1491</v>
      </c>
      <c r="E248" s="141">
        <f>E249</f>
        <v>0</v>
      </c>
      <c r="F248" s="141">
        <f t="shared" si="48"/>
        <v>0</v>
      </c>
      <c r="G248" s="141">
        <f t="shared" si="48"/>
        <v>0</v>
      </c>
      <c r="H248" s="141">
        <f t="shared" si="48"/>
        <v>0</v>
      </c>
      <c r="I248" s="141">
        <f t="shared" si="48"/>
        <v>0</v>
      </c>
      <c r="J248" s="141">
        <f t="shared" si="48"/>
        <v>0</v>
      </c>
      <c r="K248" s="141">
        <f t="shared" si="48"/>
        <v>0</v>
      </c>
      <c r="L248" s="141">
        <f t="shared" si="48"/>
        <v>0</v>
      </c>
      <c r="M248" s="141">
        <f t="shared" si="48"/>
        <v>0</v>
      </c>
      <c r="N248" s="141">
        <f t="shared" si="48"/>
        <v>0</v>
      </c>
      <c r="O248" s="141">
        <f t="shared" si="48"/>
        <v>0</v>
      </c>
      <c r="P248" s="141">
        <f t="shared" si="48"/>
        <v>0</v>
      </c>
      <c r="Q248" s="20"/>
      <c r="R248" s="50"/>
    </row>
    <row r="249" spans="1:18" ht="54" hidden="1" thickTop="1" thickBot="1" x14ac:dyDescent="0.25">
      <c r="A249" s="128" t="s">
        <v>1101</v>
      </c>
      <c r="B249" s="128" t="s">
        <v>313</v>
      </c>
      <c r="C249" s="128" t="s">
        <v>304</v>
      </c>
      <c r="D249" s="128" t="s">
        <v>1237</v>
      </c>
      <c r="E249" s="127">
        <f t="shared" ref="E249" si="49">F249</f>
        <v>0</v>
      </c>
      <c r="F249" s="134"/>
      <c r="G249" s="134"/>
      <c r="H249" s="134"/>
      <c r="I249" s="134"/>
      <c r="J249" s="127">
        <f t="shared" ref="J249" si="50">L249+O249</f>
        <v>0</v>
      </c>
      <c r="K249" s="134">
        <f>49500-49500</f>
        <v>0</v>
      </c>
      <c r="L249" s="134"/>
      <c r="M249" s="134"/>
      <c r="N249" s="134"/>
      <c r="O249" s="132">
        <f t="shared" ref="O249" si="51">K249</f>
        <v>0</v>
      </c>
      <c r="P249" s="127">
        <f>E249+J249</f>
        <v>0</v>
      </c>
      <c r="Q249" s="20"/>
      <c r="R249" s="50"/>
    </row>
    <row r="250" spans="1:18" ht="47.25" hidden="1" thickTop="1" thickBot="1" x14ac:dyDescent="0.25">
      <c r="A250" s="136" t="s">
        <v>787</v>
      </c>
      <c r="B250" s="136" t="s">
        <v>691</v>
      </c>
      <c r="C250" s="136"/>
      <c r="D250" s="136" t="s">
        <v>689</v>
      </c>
      <c r="E250" s="159">
        <f>E252+E251</f>
        <v>0</v>
      </c>
      <c r="F250" s="159">
        <f t="shared" ref="F250:H250" si="52">F252+F251</f>
        <v>0</v>
      </c>
      <c r="G250" s="159">
        <f t="shared" si="52"/>
        <v>0</v>
      </c>
      <c r="H250" s="159">
        <f t="shared" si="52"/>
        <v>0</v>
      </c>
      <c r="I250" s="159">
        <f>I252+I251</f>
        <v>0</v>
      </c>
      <c r="J250" s="159">
        <f>J252+J251</f>
        <v>0</v>
      </c>
      <c r="K250" s="159">
        <f>K252+K251</f>
        <v>0</v>
      </c>
      <c r="L250" s="159">
        <f t="shared" ref="L250:O250" si="53">L252+L251</f>
        <v>0</v>
      </c>
      <c r="M250" s="159">
        <f t="shared" si="53"/>
        <v>0</v>
      </c>
      <c r="N250" s="159">
        <f t="shared" si="53"/>
        <v>0</v>
      </c>
      <c r="O250" s="159">
        <f t="shared" si="53"/>
        <v>0</v>
      </c>
      <c r="P250" s="159">
        <f>P252+P251</f>
        <v>0</v>
      </c>
      <c r="Q250" s="20"/>
      <c r="R250" s="50"/>
    </row>
    <row r="251" spans="1:18" ht="48" hidden="1" thickTop="1" thickBot="1" x14ac:dyDescent="0.25">
      <c r="A251" s="410" t="s">
        <v>1336</v>
      </c>
      <c r="B251" s="410" t="s">
        <v>212</v>
      </c>
      <c r="C251" s="410"/>
      <c r="D251" s="128" t="s">
        <v>41</v>
      </c>
      <c r="E251" s="152">
        <f>F251</f>
        <v>0</v>
      </c>
      <c r="F251" s="129"/>
      <c r="G251" s="134"/>
      <c r="H251" s="134"/>
      <c r="I251" s="134"/>
      <c r="J251" s="127">
        <f t="shared" ref="J251" si="54">L251+O251</f>
        <v>0</v>
      </c>
      <c r="K251" s="134"/>
      <c r="L251" s="134"/>
      <c r="M251" s="134"/>
      <c r="N251" s="134"/>
      <c r="O251" s="132">
        <f t="shared" ref="O251" si="55">K251</f>
        <v>0</v>
      </c>
      <c r="P251" s="127">
        <f t="shared" ref="P251" si="56">E251+J251</f>
        <v>0</v>
      </c>
      <c r="Q251" s="20"/>
      <c r="R251" s="50"/>
    </row>
    <row r="252" spans="1:18" ht="48" hidden="1" thickTop="1" thickBot="1" x14ac:dyDescent="0.25">
      <c r="A252" s="128" t="s">
        <v>607</v>
      </c>
      <c r="B252" s="128" t="s">
        <v>197</v>
      </c>
      <c r="C252" s="128" t="s">
        <v>170</v>
      </c>
      <c r="D252" s="128" t="s">
        <v>34</v>
      </c>
      <c r="E252" s="127">
        <f t="shared" ref="E252" si="57">F252</f>
        <v>0</v>
      </c>
      <c r="F252" s="134"/>
      <c r="G252" s="134"/>
      <c r="H252" s="134"/>
      <c r="I252" s="134"/>
      <c r="J252" s="127">
        <f t="shared" si="44"/>
        <v>0</v>
      </c>
      <c r="K252" s="134"/>
      <c r="L252" s="134"/>
      <c r="M252" s="134"/>
      <c r="N252" s="134"/>
      <c r="O252" s="132">
        <f t="shared" si="45"/>
        <v>0</v>
      </c>
      <c r="P252" s="127">
        <f t="shared" si="46"/>
        <v>0</v>
      </c>
      <c r="Q252" s="20"/>
      <c r="R252" s="46"/>
    </row>
    <row r="253" spans="1:18" ht="47.25" hidden="1" thickTop="1" thickBot="1" x14ac:dyDescent="0.25">
      <c r="A253" s="146" t="s">
        <v>1107</v>
      </c>
      <c r="B253" s="146" t="s">
        <v>702</v>
      </c>
      <c r="C253" s="146"/>
      <c r="D253" s="146" t="s">
        <v>703</v>
      </c>
      <c r="E253" s="42">
        <f>E254</f>
        <v>0</v>
      </c>
      <c r="F253" s="42">
        <f t="shared" ref="F253:P254" si="58">F254</f>
        <v>0</v>
      </c>
      <c r="G253" s="42">
        <f t="shared" si="58"/>
        <v>0</v>
      </c>
      <c r="H253" s="42">
        <f t="shared" si="58"/>
        <v>0</v>
      </c>
      <c r="I253" s="42">
        <f t="shared" si="58"/>
        <v>0</v>
      </c>
      <c r="J253" s="42">
        <f t="shared" si="58"/>
        <v>0</v>
      </c>
      <c r="K253" s="42">
        <f t="shared" si="58"/>
        <v>0</v>
      </c>
      <c r="L253" s="42">
        <f t="shared" si="58"/>
        <v>0</v>
      </c>
      <c r="M253" s="42">
        <f t="shared" si="58"/>
        <v>0</v>
      </c>
      <c r="N253" s="42">
        <f t="shared" si="58"/>
        <v>0</v>
      </c>
      <c r="O253" s="42">
        <f t="shared" si="58"/>
        <v>0</v>
      </c>
      <c r="P253" s="42">
        <f t="shared" si="58"/>
        <v>0</v>
      </c>
      <c r="Q253" s="20"/>
      <c r="R253" s="46"/>
    </row>
    <row r="254" spans="1:18" ht="91.5" hidden="1" thickTop="1" thickBot="1" x14ac:dyDescent="0.25">
      <c r="A254" s="147" t="s">
        <v>1108</v>
      </c>
      <c r="B254" s="147" t="s">
        <v>705</v>
      </c>
      <c r="C254" s="147"/>
      <c r="D254" s="147" t="s">
        <v>706</v>
      </c>
      <c r="E254" s="148">
        <f>E255</f>
        <v>0</v>
      </c>
      <c r="F254" s="148">
        <f t="shared" si="58"/>
        <v>0</v>
      </c>
      <c r="G254" s="148">
        <f t="shared" si="58"/>
        <v>0</v>
      </c>
      <c r="H254" s="148">
        <f t="shared" si="58"/>
        <v>0</v>
      </c>
      <c r="I254" s="148">
        <f t="shared" si="58"/>
        <v>0</v>
      </c>
      <c r="J254" s="148">
        <f t="shared" si="58"/>
        <v>0</v>
      </c>
      <c r="K254" s="148">
        <f t="shared" si="58"/>
        <v>0</v>
      </c>
      <c r="L254" s="148">
        <f t="shared" si="58"/>
        <v>0</v>
      </c>
      <c r="M254" s="148">
        <f t="shared" si="58"/>
        <v>0</v>
      </c>
      <c r="N254" s="148">
        <f t="shared" si="58"/>
        <v>0</v>
      </c>
      <c r="O254" s="148">
        <f t="shared" si="58"/>
        <v>0</v>
      </c>
      <c r="P254" s="148">
        <f t="shared" si="58"/>
        <v>0</v>
      </c>
      <c r="Q254" s="20"/>
      <c r="R254" s="46"/>
    </row>
    <row r="255" spans="1:18" ht="48" hidden="1" thickTop="1" thickBot="1" x14ac:dyDescent="0.25">
      <c r="A255" s="41" t="s">
        <v>1109</v>
      </c>
      <c r="B255" s="41" t="s">
        <v>363</v>
      </c>
      <c r="C255" s="41" t="s">
        <v>43</v>
      </c>
      <c r="D255" s="41" t="s">
        <v>364</v>
      </c>
      <c r="E255" s="42">
        <f t="shared" ref="E255" si="59">F255</f>
        <v>0</v>
      </c>
      <c r="F255" s="43">
        <v>0</v>
      </c>
      <c r="G255" s="43"/>
      <c r="H255" s="43"/>
      <c r="I255" s="43"/>
      <c r="J255" s="42">
        <f>L255+O255</f>
        <v>0</v>
      </c>
      <c r="K255" s="43">
        <v>0</v>
      </c>
      <c r="L255" s="43"/>
      <c r="M255" s="43"/>
      <c r="N255" s="43"/>
      <c r="O255" s="44">
        <f>K255</f>
        <v>0</v>
      </c>
      <c r="P255" s="42">
        <f>E255+J255</f>
        <v>0</v>
      </c>
      <c r="Q255" s="20"/>
      <c r="R255" s="46"/>
    </row>
    <row r="256" spans="1:18" ht="120" customHeight="1" thickTop="1" thickBot="1" x14ac:dyDescent="0.25">
      <c r="A256" s="661" t="s">
        <v>158</v>
      </c>
      <c r="B256" s="661"/>
      <c r="C256" s="661"/>
      <c r="D256" s="662" t="s">
        <v>561</v>
      </c>
      <c r="E256" s="663">
        <f>E257</f>
        <v>4348887</v>
      </c>
      <c r="F256" s="664">
        <f t="shared" ref="F256:G256" si="60">F257</f>
        <v>4348887</v>
      </c>
      <c r="G256" s="664">
        <f t="shared" si="60"/>
        <v>0</v>
      </c>
      <c r="H256" s="664">
        <f>H257</f>
        <v>0</v>
      </c>
      <c r="I256" s="664">
        <f t="shared" ref="I256" si="61">I257</f>
        <v>0</v>
      </c>
      <c r="J256" s="663">
        <f>J257</f>
        <v>4779413</v>
      </c>
      <c r="K256" s="664">
        <f>K257</f>
        <v>4779413</v>
      </c>
      <c r="L256" s="664">
        <f>L257</f>
        <v>0</v>
      </c>
      <c r="M256" s="664">
        <f t="shared" ref="M256" si="62">M257</f>
        <v>0</v>
      </c>
      <c r="N256" s="664">
        <f>N257</f>
        <v>0</v>
      </c>
      <c r="O256" s="663">
        <f>O257</f>
        <v>4779413</v>
      </c>
      <c r="P256" s="664">
        <f>P257</f>
        <v>9128300</v>
      </c>
      <c r="Q256" s="20"/>
      <c r="R256" s="50"/>
    </row>
    <row r="257" spans="1:18" ht="120" customHeight="1" thickTop="1" thickBot="1" x14ac:dyDescent="0.25">
      <c r="A257" s="658" t="s">
        <v>159</v>
      </c>
      <c r="B257" s="658"/>
      <c r="C257" s="658"/>
      <c r="D257" s="659" t="s">
        <v>562</v>
      </c>
      <c r="E257" s="660">
        <f>E258+E262+E270+E279</f>
        <v>4348887</v>
      </c>
      <c r="F257" s="660">
        <f>F258+F262+F270+F279</f>
        <v>4348887</v>
      </c>
      <c r="G257" s="660">
        <f>G258+G262+G270+G279</f>
        <v>0</v>
      </c>
      <c r="H257" s="660">
        <f>H258+H262+H270+H279</f>
        <v>0</v>
      </c>
      <c r="I257" s="660">
        <f>I258+I262+I270+I279</f>
        <v>0</v>
      </c>
      <c r="J257" s="660">
        <f t="shared" ref="J257" si="63">L257+O257</f>
        <v>4779413</v>
      </c>
      <c r="K257" s="660">
        <f>K258+K262+K270+K279</f>
        <v>4779413</v>
      </c>
      <c r="L257" s="660">
        <f>L258+L262+L270+L279</f>
        <v>0</v>
      </c>
      <c r="M257" s="660">
        <f>M258+M262+M270+M279</f>
        <v>0</v>
      </c>
      <c r="N257" s="660">
        <f>N258+N262+N270+N279</f>
        <v>0</v>
      </c>
      <c r="O257" s="660">
        <f>O258+O262+O270+O279</f>
        <v>4779413</v>
      </c>
      <c r="P257" s="660">
        <f>E257+J257</f>
        <v>9128300</v>
      </c>
      <c r="Q257" s="503" t="b">
        <f>P257=P259+P264+P265+P267+P268+P269+P272+P274+P275+P281</f>
        <v>1</v>
      </c>
      <c r="R257" s="54"/>
    </row>
    <row r="258" spans="1:18" ht="47.25" thickTop="1" thickBot="1" x14ac:dyDescent="0.25">
      <c r="A258" s="311" t="s">
        <v>788</v>
      </c>
      <c r="B258" s="311" t="s">
        <v>684</v>
      </c>
      <c r="C258" s="311"/>
      <c r="D258" s="311" t="s">
        <v>685</v>
      </c>
      <c r="E258" s="328">
        <f>'d3'!E258-d3М!E253</f>
        <v>0</v>
      </c>
      <c r="F258" s="328">
        <f>'d3'!F258-d3М!F253</f>
        <v>0</v>
      </c>
      <c r="G258" s="328">
        <f>'d3'!G258-d3М!G253</f>
        <v>0</v>
      </c>
      <c r="H258" s="328">
        <f>'d3'!H258-d3М!H253</f>
        <v>0</v>
      </c>
      <c r="I258" s="328">
        <f>'d3'!I258-d3М!I253</f>
        <v>0</v>
      </c>
      <c r="J258" s="328">
        <f>'d3'!J258-d3М!J253</f>
        <v>0</v>
      </c>
      <c r="K258" s="328">
        <f>'d3'!K258-d3М!K253</f>
        <v>0</v>
      </c>
      <c r="L258" s="328">
        <f>'d3'!L258-d3М!L253</f>
        <v>0</v>
      </c>
      <c r="M258" s="328">
        <f>'d3'!M258-d3М!M253</f>
        <v>0</v>
      </c>
      <c r="N258" s="328">
        <f>'d3'!N258-d3М!N253</f>
        <v>0</v>
      </c>
      <c r="O258" s="328">
        <f>'d3'!O258-d3М!O253</f>
        <v>0</v>
      </c>
      <c r="P258" s="328">
        <f>'d3'!P258-d3М!P253</f>
        <v>0</v>
      </c>
      <c r="Q258" s="47"/>
      <c r="R258" s="54"/>
    </row>
    <row r="259" spans="1:18" ht="93" thickTop="1" thickBot="1" x14ac:dyDescent="0.25">
      <c r="A259" s="103" t="s">
        <v>421</v>
      </c>
      <c r="B259" s="103" t="s">
        <v>236</v>
      </c>
      <c r="C259" s="103" t="s">
        <v>234</v>
      </c>
      <c r="D259" s="103" t="s">
        <v>235</v>
      </c>
      <c r="E259" s="328">
        <f>'d3'!E259-d3М!E254</f>
        <v>0</v>
      </c>
      <c r="F259" s="328">
        <f>'d3'!F259-d3М!F254</f>
        <v>0</v>
      </c>
      <c r="G259" s="328">
        <f>'d3'!G259-d3М!G254</f>
        <v>0</v>
      </c>
      <c r="H259" s="328">
        <f>'d3'!H259-d3М!H254</f>
        <v>0</v>
      </c>
      <c r="I259" s="328">
        <f>'d3'!I259-d3М!I254</f>
        <v>0</v>
      </c>
      <c r="J259" s="328">
        <f>'d3'!J259-d3М!J254</f>
        <v>0</v>
      </c>
      <c r="K259" s="328">
        <f>'d3'!K259-d3М!K254</f>
        <v>0</v>
      </c>
      <c r="L259" s="328">
        <f>'d3'!L259-d3М!L254</f>
        <v>0</v>
      </c>
      <c r="M259" s="328">
        <f>'d3'!M259-d3М!M254</f>
        <v>0</v>
      </c>
      <c r="N259" s="328">
        <f>'d3'!N259-d3М!N254</f>
        <v>0</v>
      </c>
      <c r="O259" s="328">
        <f>'d3'!O259-d3М!O254</f>
        <v>0</v>
      </c>
      <c r="P259" s="328">
        <f>'d3'!P259-d3М!P254</f>
        <v>0</v>
      </c>
      <c r="Q259" s="20"/>
      <c r="R259" s="54"/>
    </row>
    <row r="260" spans="1:18" ht="93" hidden="1" thickTop="1" thickBot="1" x14ac:dyDescent="0.25">
      <c r="A260" s="128" t="s">
        <v>627</v>
      </c>
      <c r="B260" s="128" t="s">
        <v>362</v>
      </c>
      <c r="C260" s="128" t="s">
        <v>625</v>
      </c>
      <c r="D260" s="128" t="s">
        <v>626</v>
      </c>
      <c r="E260" s="328">
        <f>'d3'!E260-d3М!E255</f>
        <v>0</v>
      </c>
      <c r="F260" s="328">
        <f>'d3'!F260-d3М!F255</f>
        <v>0</v>
      </c>
      <c r="G260" s="328">
        <f>'d3'!G260-d3М!G255</f>
        <v>0</v>
      </c>
      <c r="H260" s="328">
        <f>'d3'!H260-d3М!H255</f>
        <v>0</v>
      </c>
      <c r="I260" s="328">
        <f>'d3'!I260-d3М!I255</f>
        <v>0</v>
      </c>
      <c r="J260" s="328">
        <f>'d3'!J260-d3М!J255</f>
        <v>0</v>
      </c>
      <c r="K260" s="328">
        <f>'d3'!K260-d3М!K255</f>
        <v>0</v>
      </c>
      <c r="L260" s="328">
        <f>'d3'!L260-d3М!L255</f>
        <v>0</v>
      </c>
      <c r="M260" s="328">
        <f>'d3'!M260-d3М!M255</f>
        <v>0</v>
      </c>
      <c r="N260" s="328">
        <f>'d3'!N260-d3М!N255</f>
        <v>0</v>
      </c>
      <c r="O260" s="328">
        <f>'d3'!O260-d3М!O255</f>
        <v>0</v>
      </c>
      <c r="P260" s="328">
        <f>'d3'!P260-d3М!P255</f>
        <v>0</v>
      </c>
      <c r="Q260" s="20"/>
      <c r="R260" s="54"/>
    </row>
    <row r="261" spans="1:18" ht="47.25" hidden="1" thickTop="1" thickBot="1" x14ac:dyDescent="0.25">
      <c r="A261" s="128" t="s">
        <v>1143</v>
      </c>
      <c r="B261" s="128" t="s">
        <v>43</v>
      </c>
      <c r="C261" s="128" t="s">
        <v>42</v>
      </c>
      <c r="D261" s="128" t="s">
        <v>248</v>
      </c>
      <c r="E261" s="328">
        <f>'d3'!E261-d3М!E256</f>
        <v>0</v>
      </c>
      <c r="F261" s="328">
        <f>'d3'!F261-d3М!F256</f>
        <v>0</v>
      </c>
      <c r="G261" s="328">
        <f>'d3'!G261-d3М!G256</f>
        <v>0</v>
      </c>
      <c r="H261" s="328">
        <f>'d3'!H261-d3М!H256</f>
        <v>0</v>
      </c>
      <c r="I261" s="328">
        <f>'d3'!I261-d3М!I256</f>
        <v>0</v>
      </c>
      <c r="J261" s="328">
        <f>'d3'!J261-d3М!J256</f>
        <v>0</v>
      </c>
      <c r="K261" s="328">
        <f>'d3'!K261-d3М!K256</f>
        <v>0</v>
      </c>
      <c r="L261" s="328">
        <f>'d3'!L261-d3М!L256</f>
        <v>0</v>
      </c>
      <c r="M261" s="328">
        <f>'d3'!M261-d3М!M256</f>
        <v>0</v>
      </c>
      <c r="N261" s="328">
        <f>'d3'!N261-d3М!N256</f>
        <v>0</v>
      </c>
      <c r="O261" s="328">
        <f>'d3'!O261-d3М!O256</f>
        <v>0</v>
      </c>
      <c r="P261" s="328">
        <f>'d3'!P261-d3М!P256</f>
        <v>0</v>
      </c>
      <c r="Q261" s="20"/>
      <c r="R261" s="54"/>
    </row>
    <row r="262" spans="1:18" ht="47.25" thickTop="1" thickBot="1" x14ac:dyDescent="0.25">
      <c r="A262" s="311" t="s">
        <v>789</v>
      </c>
      <c r="B262" s="311" t="s">
        <v>742</v>
      </c>
      <c r="C262" s="311"/>
      <c r="D262" s="347" t="s">
        <v>743</v>
      </c>
      <c r="E262" s="328">
        <f>'d3'!E262-d3М!E257</f>
        <v>4271400</v>
      </c>
      <c r="F262" s="328">
        <f>'d3'!F262-d3М!F257</f>
        <v>4271400</v>
      </c>
      <c r="G262" s="328">
        <f>'d3'!G262-d3М!G257</f>
        <v>0</v>
      </c>
      <c r="H262" s="328">
        <f>'d3'!H262-d3М!H257</f>
        <v>0</v>
      </c>
      <c r="I262" s="328">
        <f>'d3'!I262-d3М!I257</f>
        <v>0</v>
      </c>
      <c r="J262" s="328">
        <f>'d3'!J262-d3М!J257</f>
        <v>3479413</v>
      </c>
      <c r="K262" s="328">
        <f>'d3'!K262-d3М!K257</f>
        <v>3479413</v>
      </c>
      <c r="L262" s="328">
        <f>'d3'!L262-d3М!L257</f>
        <v>0</v>
      </c>
      <c r="M262" s="328">
        <f>'d3'!M262-d3М!M257</f>
        <v>0</v>
      </c>
      <c r="N262" s="328">
        <f>'d3'!N262-d3М!N257</f>
        <v>0</v>
      </c>
      <c r="O262" s="328">
        <f>'d3'!O262-d3М!O257</f>
        <v>3479413</v>
      </c>
      <c r="P262" s="328">
        <f>'d3'!P262-d3М!P257</f>
        <v>7750813</v>
      </c>
      <c r="Q262" s="20"/>
      <c r="R262" s="54"/>
    </row>
    <row r="263" spans="1:18" s="33" customFormat="1" ht="93" thickTop="1" thickBot="1" x14ac:dyDescent="0.25">
      <c r="A263" s="329" t="s">
        <v>790</v>
      </c>
      <c r="B263" s="329" t="s">
        <v>791</v>
      </c>
      <c r="C263" s="329"/>
      <c r="D263" s="329" t="s">
        <v>792</v>
      </c>
      <c r="E263" s="328">
        <f>'d3'!E263-d3М!E258</f>
        <v>3431400</v>
      </c>
      <c r="F263" s="328">
        <f>'d3'!F263-d3М!F258</f>
        <v>3431400</v>
      </c>
      <c r="G263" s="328">
        <f>'d3'!G263-d3М!G258</f>
        <v>0</v>
      </c>
      <c r="H263" s="328">
        <f>'d3'!H263-d3М!H258</f>
        <v>0</v>
      </c>
      <c r="I263" s="328">
        <f>'d3'!I263-d3М!I258</f>
        <v>0</v>
      </c>
      <c r="J263" s="328">
        <f>'d3'!J263-d3М!J258</f>
        <v>3479413</v>
      </c>
      <c r="K263" s="328">
        <f>'d3'!K263-d3М!K258</f>
        <v>3479413</v>
      </c>
      <c r="L263" s="328">
        <f>'d3'!L263-d3М!L258</f>
        <v>0</v>
      </c>
      <c r="M263" s="328">
        <f>'d3'!M263-d3М!M258</f>
        <v>0</v>
      </c>
      <c r="N263" s="328">
        <f>'d3'!N263-d3М!N258</f>
        <v>0</v>
      </c>
      <c r="O263" s="328">
        <f>'d3'!O263-d3М!O258</f>
        <v>3479413</v>
      </c>
      <c r="P263" s="328">
        <f>'d3'!P263-d3М!P258</f>
        <v>6910813</v>
      </c>
      <c r="Q263" s="36"/>
      <c r="R263" s="54"/>
    </row>
    <row r="264" spans="1:18" ht="47.25" thickTop="1" thickBot="1" x14ac:dyDescent="0.25">
      <c r="A264" s="103" t="s">
        <v>280</v>
      </c>
      <c r="B264" s="103" t="s">
        <v>281</v>
      </c>
      <c r="C264" s="103" t="s">
        <v>340</v>
      </c>
      <c r="D264" s="103" t="s">
        <v>282</v>
      </c>
      <c r="E264" s="328">
        <f>'d3'!E264-d3М!E259</f>
        <v>3431400</v>
      </c>
      <c r="F264" s="328">
        <f>'d3'!F264-d3М!F259</f>
        <v>3431400</v>
      </c>
      <c r="G264" s="328">
        <f>'d3'!G264-d3М!G259</f>
        <v>0</v>
      </c>
      <c r="H264" s="328">
        <f>'d3'!H264-d3М!H259</f>
        <v>0</v>
      </c>
      <c r="I264" s="328">
        <f>'d3'!I264-d3М!I259</f>
        <v>0</v>
      </c>
      <c r="J264" s="328">
        <f>'d3'!J264-d3М!J259</f>
        <v>2479413</v>
      </c>
      <c r="K264" s="328">
        <f>'d3'!K264-d3М!K259</f>
        <v>2479413</v>
      </c>
      <c r="L264" s="328">
        <f>'d3'!L264-d3М!L259</f>
        <v>0</v>
      </c>
      <c r="M264" s="328">
        <f>'d3'!M264-d3М!M259</f>
        <v>0</v>
      </c>
      <c r="N264" s="328">
        <f>'d3'!N264-d3М!N259</f>
        <v>0</v>
      </c>
      <c r="O264" s="328">
        <f>'d3'!O264-d3М!O259</f>
        <v>2479413</v>
      </c>
      <c r="P264" s="328">
        <f>'d3'!P264-d3М!P259</f>
        <v>5910813</v>
      </c>
      <c r="Q264" s="20"/>
      <c r="R264" s="54"/>
    </row>
    <row r="265" spans="1:18" ht="47.25" thickTop="1" thickBot="1" x14ac:dyDescent="0.25">
      <c r="A265" s="103" t="s">
        <v>301</v>
      </c>
      <c r="B265" s="103" t="s">
        <v>302</v>
      </c>
      <c r="C265" s="103" t="s">
        <v>283</v>
      </c>
      <c r="D265" s="103" t="s">
        <v>303</v>
      </c>
      <c r="E265" s="328">
        <f>'d3'!E265-d3М!E260</f>
        <v>0</v>
      </c>
      <c r="F265" s="328">
        <f>'d3'!F265-d3М!F260</f>
        <v>0</v>
      </c>
      <c r="G265" s="328">
        <f>'d3'!G265-d3М!G260</f>
        <v>0</v>
      </c>
      <c r="H265" s="328">
        <f>'d3'!H265-d3М!H260</f>
        <v>0</v>
      </c>
      <c r="I265" s="328">
        <f>'d3'!I265-d3М!I260</f>
        <v>0</v>
      </c>
      <c r="J265" s="328">
        <f>'d3'!J265-d3М!J260</f>
        <v>1000000</v>
      </c>
      <c r="K265" s="328">
        <f>'d3'!K265-d3М!K260</f>
        <v>1000000</v>
      </c>
      <c r="L265" s="328">
        <f>'d3'!L265-d3М!L260</f>
        <v>0</v>
      </c>
      <c r="M265" s="328">
        <f>'d3'!M265-d3М!M260</f>
        <v>0</v>
      </c>
      <c r="N265" s="328">
        <f>'d3'!N265-d3М!N260</f>
        <v>0</v>
      </c>
      <c r="O265" s="328">
        <f>'d3'!O265-d3М!O260</f>
        <v>1000000</v>
      </c>
      <c r="P265" s="328">
        <f>'d3'!P265-d3М!P260</f>
        <v>1000000</v>
      </c>
      <c r="Q265" s="20"/>
      <c r="R265" s="54"/>
    </row>
    <row r="266" spans="1:18" ht="93" hidden="1" thickTop="1" thickBot="1" x14ac:dyDescent="0.25">
      <c r="A266" s="128" t="s">
        <v>284</v>
      </c>
      <c r="B266" s="128" t="s">
        <v>285</v>
      </c>
      <c r="C266" s="128" t="s">
        <v>283</v>
      </c>
      <c r="D266" s="128" t="s">
        <v>466</v>
      </c>
      <c r="E266" s="328">
        <f>'d3'!E266-d3М!E261</f>
        <v>0</v>
      </c>
      <c r="F266" s="328">
        <f>'d3'!F266-d3М!F261</f>
        <v>0</v>
      </c>
      <c r="G266" s="328">
        <f>'d3'!G266-d3М!G261</f>
        <v>0</v>
      </c>
      <c r="H266" s="328">
        <f>'d3'!H266-d3М!H261</f>
        <v>0</v>
      </c>
      <c r="I266" s="328">
        <f>'d3'!I266-d3М!I261</f>
        <v>0</v>
      </c>
      <c r="J266" s="328">
        <f>'d3'!J266-d3М!J261</f>
        <v>0</v>
      </c>
      <c r="K266" s="328">
        <f>'d3'!K266-d3М!K261</f>
        <v>0</v>
      </c>
      <c r="L266" s="328">
        <f>'d3'!L266-d3М!L261</f>
        <v>0</v>
      </c>
      <c r="M266" s="328">
        <f>'d3'!M266-d3М!M261</f>
        <v>0</v>
      </c>
      <c r="N266" s="328">
        <f>'d3'!N266-d3М!N261</f>
        <v>0</v>
      </c>
      <c r="O266" s="328">
        <f>'d3'!O266-d3М!O261</f>
        <v>0</v>
      </c>
      <c r="P266" s="328">
        <f>'d3'!P266-d3М!P261</f>
        <v>0</v>
      </c>
      <c r="Q266" s="20"/>
      <c r="R266" s="54"/>
    </row>
    <row r="267" spans="1:18" ht="93" thickTop="1" thickBot="1" x14ac:dyDescent="0.25">
      <c r="A267" s="103" t="s">
        <v>929</v>
      </c>
      <c r="B267" s="103" t="s">
        <v>297</v>
      </c>
      <c r="C267" s="103" t="s">
        <v>283</v>
      </c>
      <c r="D267" s="103" t="s">
        <v>298</v>
      </c>
      <c r="E267" s="328">
        <f>'d3'!E267-d3М!E262</f>
        <v>840000</v>
      </c>
      <c r="F267" s="328">
        <f>'d3'!F267-d3М!F262</f>
        <v>840000</v>
      </c>
      <c r="G267" s="328">
        <f>'d3'!G267-d3М!G262</f>
        <v>0</v>
      </c>
      <c r="H267" s="328">
        <f>'d3'!H267-d3М!H262</f>
        <v>0</v>
      </c>
      <c r="I267" s="328">
        <f>'d3'!I267-d3М!I262</f>
        <v>0</v>
      </c>
      <c r="J267" s="328">
        <f>'d3'!J267-d3М!J262</f>
        <v>0</v>
      </c>
      <c r="K267" s="328">
        <f>'d3'!K267-d3М!K262</f>
        <v>0</v>
      </c>
      <c r="L267" s="328">
        <f>'d3'!L267-d3М!L262</f>
        <v>0</v>
      </c>
      <c r="M267" s="328">
        <f>'d3'!M267-d3М!M262</f>
        <v>0</v>
      </c>
      <c r="N267" s="328">
        <f>'d3'!N267-d3М!N262</f>
        <v>0</v>
      </c>
      <c r="O267" s="328">
        <f>'d3'!O267-d3М!O262</f>
        <v>0</v>
      </c>
      <c r="P267" s="328">
        <f>'d3'!P267-d3М!P262</f>
        <v>840000</v>
      </c>
      <c r="Q267" s="20"/>
      <c r="R267" s="54"/>
    </row>
    <row r="268" spans="1:18" ht="47.25" thickTop="1" thickBot="1" x14ac:dyDescent="0.25">
      <c r="A268" s="103" t="s">
        <v>288</v>
      </c>
      <c r="B268" s="103" t="s">
        <v>289</v>
      </c>
      <c r="C268" s="103" t="s">
        <v>283</v>
      </c>
      <c r="D268" s="103" t="s">
        <v>290</v>
      </c>
      <c r="E268" s="328">
        <f>'d3'!E268-d3М!E263</f>
        <v>0</v>
      </c>
      <c r="F268" s="328">
        <f>'d3'!F268-d3М!F263</f>
        <v>0</v>
      </c>
      <c r="G268" s="328">
        <f>'d3'!G268-d3М!G263</f>
        <v>0</v>
      </c>
      <c r="H268" s="328">
        <f>'d3'!H268-d3М!H263</f>
        <v>0</v>
      </c>
      <c r="I268" s="328">
        <f>'d3'!I268-d3М!I263</f>
        <v>0</v>
      </c>
      <c r="J268" s="328">
        <f>'d3'!J268-d3М!J263</f>
        <v>0</v>
      </c>
      <c r="K268" s="328">
        <f>'d3'!K268-d3М!K263</f>
        <v>0</v>
      </c>
      <c r="L268" s="328">
        <f>'d3'!L268-d3М!L263</f>
        <v>0</v>
      </c>
      <c r="M268" s="328">
        <f>'d3'!M268-d3М!M263</f>
        <v>0</v>
      </c>
      <c r="N268" s="328">
        <f>'d3'!N268-d3М!N263</f>
        <v>0</v>
      </c>
      <c r="O268" s="328">
        <f>'d3'!O268-d3М!O263</f>
        <v>0</v>
      </c>
      <c r="P268" s="328">
        <f>'d3'!P268-d3М!P263</f>
        <v>0</v>
      </c>
      <c r="Q268" s="20"/>
      <c r="R268" s="50"/>
    </row>
    <row r="269" spans="1:18" ht="47.25" thickTop="1" thickBot="1" x14ac:dyDescent="0.25">
      <c r="A269" s="103" t="s">
        <v>1261</v>
      </c>
      <c r="B269" s="103" t="s">
        <v>1149</v>
      </c>
      <c r="C269" s="103" t="s">
        <v>1150</v>
      </c>
      <c r="D269" s="103" t="s">
        <v>1147</v>
      </c>
      <c r="E269" s="328">
        <f>'d3'!E269-d3М!E264</f>
        <v>0</v>
      </c>
      <c r="F269" s="328">
        <f>'d3'!F269-d3М!F264</f>
        <v>0</v>
      </c>
      <c r="G269" s="328">
        <f>'d3'!G269-d3М!G264</f>
        <v>0</v>
      </c>
      <c r="H269" s="328">
        <f>'d3'!H269-d3М!H264</f>
        <v>0</v>
      </c>
      <c r="I269" s="328">
        <f>'d3'!I269-d3М!I264</f>
        <v>0</v>
      </c>
      <c r="J269" s="328">
        <f>'d3'!J269-d3М!J264</f>
        <v>0</v>
      </c>
      <c r="K269" s="328">
        <f>'d3'!K269-d3М!K264</f>
        <v>0</v>
      </c>
      <c r="L269" s="328">
        <f>'d3'!L269-d3М!L264</f>
        <v>0</v>
      </c>
      <c r="M269" s="328">
        <f>'d3'!M269-d3М!M264</f>
        <v>0</v>
      </c>
      <c r="N269" s="328">
        <f>'d3'!N269-d3М!N264</f>
        <v>0</v>
      </c>
      <c r="O269" s="328">
        <f>'d3'!O269-d3М!O264</f>
        <v>0</v>
      </c>
      <c r="P269" s="328">
        <f>'d3'!P269-d3М!P264</f>
        <v>0</v>
      </c>
      <c r="Q269" s="20"/>
      <c r="R269" s="50"/>
    </row>
    <row r="270" spans="1:18" ht="47.25" thickTop="1" thickBot="1" x14ac:dyDescent="0.25">
      <c r="A270" s="311" t="s">
        <v>793</v>
      </c>
      <c r="B270" s="311" t="s">
        <v>748</v>
      </c>
      <c r="C270" s="311"/>
      <c r="D270" s="311" t="s">
        <v>794</v>
      </c>
      <c r="E270" s="328">
        <f>'d3'!E270-d3М!E265</f>
        <v>0</v>
      </c>
      <c r="F270" s="328">
        <f>'d3'!F270-d3М!F265</f>
        <v>0</v>
      </c>
      <c r="G270" s="328">
        <f>'d3'!G270-d3М!G265</f>
        <v>0</v>
      </c>
      <c r="H270" s="328">
        <f>'d3'!H270-d3М!H265</f>
        <v>0</v>
      </c>
      <c r="I270" s="328">
        <f>'d3'!I270-d3М!I265</f>
        <v>0</v>
      </c>
      <c r="J270" s="328">
        <f>'d3'!J270-d3М!J265</f>
        <v>1300000</v>
      </c>
      <c r="K270" s="328">
        <f>'d3'!K270-d3М!K265</f>
        <v>1300000</v>
      </c>
      <c r="L270" s="328">
        <f>'d3'!L270-d3М!L265</f>
        <v>0</v>
      </c>
      <c r="M270" s="328">
        <f>'d3'!M270-d3М!M265</f>
        <v>0</v>
      </c>
      <c r="N270" s="328">
        <f>'d3'!N270-d3М!N265</f>
        <v>0</v>
      </c>
      <c r="O270" s="328">
        <f>'d3'!O270-d3М!O265</f>
        <v>1300000</v>
      </c>
      <c r="P270" s="328">
        <f>'d3'!P270-d3М!P265</f>
        <v>1300000</v>
      </c>
      <c r="Q270" s="20"/>
      <c r="R270" s="50"/>
    </row>
    <row r="271" spans="1:18" ht="47.25" thickTop="1" thickBot="1" x14ac:dyDescent="0.25">
      <c r="A271" s="313" t="s">
        <v>1145</v>
      </c>
      <c r="B271" s="313" t="s">
        <v>803</v>
      </c>
      <c r="C271" s="313"/>
      <c r="D271" s="313" t="s">
        <v>804</v>
      </c>
      <c r="E271" s="328">
        <f>'d3'!E271-d3М!E266</f>
        <v>0</v>
      </c>
      <c r="F271" s="328">
        <f>'d3'!F271-d3М!F266</f>
        <v>0</v>
      </c>
      <c r="G271" s="328">
        <f>'d3'!G271-d3М!G266</f>
        <v>0</v>
      </c>
      <c r="H271" s="328">
        <f>'d3'!H271-d3М!H266</f>
        <v>0</v>
      </c>
      <c r="I271" s="328">
        <f>'d3'!I271-d3М!I266</f>
        <v>0</v>
      </c>
      <c r="J271" s="328">
        <f>'d3'!J271-d3М!J266</f>
        <v>0</v>
      </c>
      <c r="K271" s="328">
        <f>'d3'!K271-d3М!K266</f>
        <v>0</v>
      </c>
      <c r="L271" s="328">
        <f>'d3'!L271-d3М!L266</f>
        <v>0</v>
      </c>
      <c r="M271" s="328">
        <f>'d3'!M271-d3М!M266</f>
        <v>0</v>
      </c>
      <c r="N271" s="328">
        <f>'d3'!N271-d3М!N266</f>
        <v>0</v>
      </c>
      <c r="O271" s="328">
        <f>'d3'!O271-d3М!O266</f>
        <v>0</v>
      </c>
      <c r="P271" s="328">
        <f>'d3'!P271-d3М!P266</f>
        <v>0</v>
      </c>
      <c r="Q271" s="20"/>
      <c r="R271" s="50"/>
    </row>
    <row r="272" spans="1:18" ht="54" thickTop="1" thickBot="1" x14ac:dyDescent="0.25">
      <c r="A272" s="103" t="s">
        <v>1146</v>
      </c>
      <c r="B272" s="103" t="s">
        <v>305</v>
      </c>
      <c r="C272" s="103" t="s">
        <v>304</v>
      </c>
      <c r="D272" s="103" t="s">
        <v>1502</v>
      </c>
      <c r="E272" s="328">
        <f>'d3'!E272-d3М!E267</f>
        <v>0</v>
      </c>
      <c r="F272" s="328">
        <f>'d3'!F272-d3М!F267</f>
        <v>0</v>
      </c>
      <c r="G272" s="328">
        <f>'d3'!G272-d3М!G267</f>
        <v>0</v>
      </c>
      <c r="H272" s="328">
        <f>'d3'!H272-d3М!H267</f>
        <v>0</v>
      </c>
      <c r="I272" s="328">
        <f>'d3'!I272-d3М!I267</f>
        <v>0</v>
      </c>
      <c r="J272" s="328">
        <f>'d3'!J272-d3М!J267</f>
        <v>0</v>
      </c>
      <c r="K272" s="328">
        <f>'d3'!K272-d3М!K267</f>
        <v>0</v>
      </c>
      <c r="L272" s="328">
        <f>'d3'!L272-d3М!L267</f>
        <v>0</v>
      </c>
      <c r="M272" s="328">
        <f>'d3'!M272-d3М!M267</f>
        <v>0</v>
      </c>
      <c r="N272" s="328">
        <f>'d3'!N272-d3М!N267</f>
        <v>0</v>
      </c>
      <c r="O272" s="328">
        <f>'d3'!O272-d3М!O267</f>
        <v>0</v>
      </c>
      <c r="P272" s="328">
        <f>'d3'!P272-d3М!P267</f>
        <v>0</v>
      </c>
      <c r="Q272" s="20"/>
      <c r="R272" s="50"/>
    </row>
    <row r="273" spans="1:18" ht="47.25" thickTop="1" thickBot="1" x14ac:dyDescent="0.25">
      <c r="A273" s="313" t="s">
        <v>795</v>
      </c>
      <c r="B273" s="313" t="s">
        <v>691</v>
      </c>
      <c r="C273" s="313"/>
      <c r="D273" s="313" t="s">
        <v>689</v>
      </c>
      <c r="E273" s="328">
        <f>'d3'!E273-d3М!E268</f>
        <v>0</v>
      </c>
      <c r="F273" s="328">
        <f>'d3'!F273-d3М!F268</f>
        <v>0</v>
      </c>
      <c r="G273" s="328">
        <f>'d3'!G273-d3М!G268</f>
        <v>0</v>
      </c>
      <c r="H273" s="328">
        <f>'d3'!H273-d3М!H268</f>
        <v>0</v>
      </c>
      <c r="I273" s="328">
        <f>'d3'!I273-d3М!I268</f>
        <v>0</v>
      </c>
      <c r="J273" s="328">
        <f>'d3'!J273-d3М!J268</f>
        <v>1300000</v>
      </c>
      <c r="K273" s="328">
        <f>'d3'!K273-d3М!K268</f>
        <v>1300000</v>
      </c>
      <c r="L273" s="328">
        <f>'d3'!L273-d3М!L268</f>
        <v>0</v>
      </c>
      <c r="M273" s="328">
        <f>'d3'!M273-d3М!M268</f>
        <v>0</v>
      </c>
      <c r="N273" s="328">
        <f>'d3'!N273-d3М!N268</f>
        <v>0</v>
      </c>
      <c r="O273" s="328">
        <f>'d3'!O273-d3М!O268</f>
        <v>1300000</v>
      </c>
      <c r="P273" s="328">
        <f>'d3'!P273-d3М!P268</f>
        <v>1300000</v>
      </c>
      <c r="Q273" s="20"/>
      <c r="R273" s="50"/>
    </row>
    <row r="274" spans="1:18" ht="47.25" thickTop="1" thickBot="1" x14ac:dyDescent="0.25">
      <c r="A274" s="103" t="s">
        <v>296</v>
      </c>
      <c r="B274" s="103" t="s">
        <v>212</v>
      </c>
      <c r="C274" s="103" t="s">
        <v>213</v>
      </c>
      <c r="D274" s="103" t="s">
        <v>41</v>
      </c>
      <c r="E274" s="328">
        <f>'d3'!E274-d3М!E269</f>
        <v>0</v>
      </c>
      <c r="F274" s="328">
        <f>'d3'!F274-d3М!F269</f>
        <v>0</v>
      </c>
      <c r="G274" s="328">
        <f>'d3'!G274-d3М!G269</f>
        <v>0</v>
      </c>
      <c r="H274" s="328">
        <f>'d3'!H274-d3М!H269</f>
        <v>0</v>
      </c>
      <c r="I274" s="328">
        <f>'d3'!I274-d3М!I269</f>
        <v>0</v>
      </c>
      <c r="J274" s="328">
        <f>'d3'!J274-d3М!J269</f>
        <v>0</v>
      </c>
      <c r="K274" s="328">
        <f>'d3'!K274-d3М!K269</f>
        <v>0</v>
      </c>
      <c r="L274" s="328">
        <f>'d3'!L274-d3М!L269</f>
        <v>0</v>
      </c>
      <c r="M274" s="328">
        <f>'d3'!M274-d3М!M269</f>
        <v>0</v>
      </c>
      <c r="N274" s="328">
        <f>'d3'!N274-d3М!N269</f>
        <v>0</v>
      </c>
      <c r="O274" s="328">
        <f>'d3'!O274-d3М!O269</f>
        <v>0</v>
      </c>
      <c r="P274" s="328">
        <f>'d3'!P274-d3М!P269</f>
        <v>0</v>
      </c>
      <c r="Q274" s="20"/>
      <c r="R274" s="54"/>
    </row>
    <row r="275" spans="1:18" ht="47.25" thickTop="1" thickBot="1" x14ac:dyDescent="0.25">
      <c r="A275" s="103" t="s">
        <v>918</v>
      </c>
      <c r="B275" s="103" t="s">
        <v>197</v>
      </c>
      <c r="C275" s="103" t="s">
        <v>170</v>
      </c>
      <c r="D275" s="103" t="s">
        <v>34</v>
      </c>
      <c r="E275" s="328">
        <f>'d3'!E275-d3М!E270</f>
        <v>0</v>
      </c>
      <c r="F275" s="328">
        <f>'d3'!F275-d3М!F270</f>
        <v>0</v>
      </c>
      <c r="G275" s="328">
        <f>'d3'!G275-d3М!G270</f>
        <v>0</v>
      </c>
      <c r="H275" s="328">
        <f>'d3'!H275-d3М!H270</f>
        <v>0</v>
      </c>
      <c r="I275" s="328">
        <f>'d3'!I275-d3М!I270</f>
        <v>0</v>
      </c>
      <c r="J275" s="328">
        <f>'d3'!J275-d3М!J270</f>
        <v>1300000</v>
      </c>
      <c r="K275" s="328">
        <f>'d3'!K275-d3М!K270</f>
        <v>1300000</v>
      </c>
      <c r="L275" s="328">
        <f>'d3'!L275-d3М!L270</f>
        <v>0</v>
      </c>
      <c r="M275" s="328">
        <f>'d3'!M275-d3М!M270</f>
        <v>0</v>
      </c>
      <c r="N275" s="328">
        <f>'d3'!N275-d3М!N270</f>
        <v>0</v>
      </c>
      <c r="O275" s="328">
        <f>'d3'!O275-d3М!O270</f>
        <v>1300000</v>
      </c>
      <c r="P275" s="328">
        <f>'d3'!P275-d3М!P270</f>
        <v>1300000</v>
      </c>
      <c r="Q275" s="20"/>
      <c r="R275" s="54"/>
    </row>
    <row r="276" spans="1:18" ht="48" hidden="1" customHeight="1" thickTop="1" thickBot="1" x14ac:dyDescent="0.25">
      <c r="A276" s="140" t="s">
        <v>796</v>
      </c>
      <c r="B276" s="140" t="s">
        <v>694</v>
      </c>
      <c r="C276" s="140"/>
      <c r="D276" s="140" t="s">
        <v>797</v>
      </c>
      <c r="E276" s="328">
        <f>'d3'!E276-d3М!E271</f>
        <v>0</v>
      </c>
      <c r="F276" s="328">
        <f>'d3'!F276-d3М!F271</f>
        <v>0</v>
      </c>
      <c r="G276" s="328">
        <f>'d3'!G276-d3М!G271</f>
        <v>0</v>
      </c>
      <c r="H276" s="328">
        <f>'d3'!H276-d3М!H271</f>
        <v>0</v>
      </c>
      <c r="I276" s="328">
        <f>'d3'!I276-d3М!I271</f>
        <v>0</v>
      </c>
      <c r="J276" s="328">
        <f>'d3'!J276-d3М!J271</f>
        <v>0</v>
      </c>
      <c r="K276" s="328">
        <f>'d3'!K276-d3М!K271</f>
        <v>0</v>
      </c>
      <c r="L276" s="328">
        <f>'d3'!L276-d3М!L271</f>
        <v>0</v>
      </c>
      <c r="M276" s="328">
        <f>'d3'!M276-d3М!M271</f>
        <v>0</v>
      </c>
      <c r="N276" s="328">
        <f>'d3'!N276-d3М!N271</f>
        <v>0</v>
      </c>
      <c r="O276" s="328">
        <f>'d3'!O276-d3М!O271</f>
        <v>0</v>
      </c>
      <c r="P276" s="328">
        <f>'d3'!P276-d3М!P271</f>
        <v>0</v>
      </c>
      <c r="Q276" s="20"/>
      <c r="R276" s="50"/>
    </row>
    <row r="277" spans="1:18" ht="214.5" hidden="1" customHeight="1" thickTop="1" thickBot="1" x14ac:dyDescent="0.7">
      <c r="A277" s="797" t="s">
        <v>424</v>
      </c>
      <c r="B277" s="797" t="s">
        <v>338</v>
      </c>
      <c r="C277" s="797" t="s">
        <v>170</v>
      </c>
      <c r="D277" s="155" t="s">
        <v>440</v>
      </c>
      <c r="E277" s="328">
        <f>'d3'!E277-d3М!E272</f>
        <v>0</v>
      </c>
      <c r="F277" s="328">
        <f>'d3'!F277-d3М!F272</f>
        <v>0</v>
      </c>
      <c r="G277" s="328">
        <f>'d3'!G277-d3М!G272</f>
        <v>0</v>
      </c>
      <c r="H277" s="328">
        <f>'d3'!H277-d3М!H272</f>
        <v>0</v>
      </c>
      <c r="I277" s="328">
        <f>'d3'!I277-d3М!I272</f>
        <v>0</v>
      </c>
      <c r="J277" s="328">
        <f>'d3'!J277-d3М!J272</f>
        <v>0</v>
      </c>
      <c r="K277" s="328">
        <f>'d3'!K277-d3М!K272</f>
        <v>0</v>
      </c>
      <c r="L277" s="328">
        <f>'d3'!L277-d3М!L272</f>
        <v>0</v>
      </c>
      <c r="M277" s="328">
        <f>'d3'!M277-d3М!M272</f>
        <v>0</v>
      </c>
      <c r="N277" s="328">
        <f>'d3'!N277-d3М!N272</f>
        <v>0</v>
      </c>
      <c r="O277" s="328">
        <f>'d3'!O277-d3М!O272</f>
        <v>0</v>
      </c>
      <c r="P277" s="328">
        <f>'d3'!P277-d3М!P272</f>
        <v>0</v>
      </c>
      <c r="Q277" s="20"/>
      <c r="R277" s="50"/>
    </row>
    <row r="278" spans="1:18" ht="93" hidden="1" customHeight="1" thickTop="1" thickBot="1" x14ac:dyDescent="0.25">
      <c r="A278" s="797"/>
      <c r="B278" s="797"/>
      <c r="C278" s="797"/>
      <c r="D278" s="156" t="s">
        <v>441</v>
      </c>
      <c r="E278" s="328">
        <f>'d3'!E278-d3М!E273</f>
        <v>0</v>
      </c>
      <c r="F278" s="328">
        <f>'d3'!F278-d3М!F273</f>
        <v>0</v>
      </c>
      <c r="G278" s="328">
        <f>'d3'!G278-d3М!G273</f>
        <v>0</v>
      </c>
      <c r="H278" s="328">
        <f>'d3'!H278-d3М!H273</f>
        <v>0</v>
      </c>
      <c r="I278" s="328">
        <f>'d3'!I278-d3М!I273</f>
        <v>0</v>
      </c>
      <c r="J278" s="328">
        <f>'d3'!J278-d3М!J273</f>
        <v>0</v>
      </c>
      <c r="K278" s="328">
        <f>'d3'!K278-d3М!K273</f>
        <v>0</v>
      </c>
      <c r="L278" s="328">
        <f>'d3'!L278-d3М!L273</f>
        <v>0</v>
      </c>
      <c r="M278" s="328">
        <f>'d3'!M278-d3М!M273</f>
        <v>0</v>
      </c>
      <c r="N278" s="328">
        <f>'d3'!N278-d3М!N273</f>
        <v>0</v>
      </c>
      <c r="O278" s="328">
        <f>'d3'!O278-d3М!O273</f>
        <v>0</v>
      </c>
      <c r="P278" s="328">
        <f>'d3'!P278-d3М!P273</f>
        <v>0</v>
      </c>
      <c r="Q278" s="20"/>
      <c r="R278" s="50"/>
    </row>
    <row r="279" spans="1:18" ht="47.25" thickTop="1" thickBot="1" x14ac:dyDescent="0.25">
      <c r="A279" s="311" t="s">
        <v>1230</v>
      </c>
      <c r="B279" s="311" t="s">
        <v>696</v>
      </c>
      <c r="C279" s="311"/>
      <c r="D279" s="311" t="s">
        <v>697</v>
      </c>
      <c r="E279" s="328">
        <f>'d3'!E279-d3М!E274</f>
        <v>77487</v>
      </c>
      <c r="F279" s="328">
        <f>'d3'!F279-d3М!F274</f>
        <v>77487</v>
      </c>
      <c r="G279" s="328">
        <f>'d3'!G279-d3М!G274</f>
        <v>0</v>
      </c>
      <c r="H279" s="328">
        <f>'d3'!H279-d3М!H274</f>
        <v>0</v>
      </c>
      <c r="I279" s="328">
        <f>'d3'!I279-d3М!I274</f>
        <v>0</v>
      </c>
      <c r="J279" s="328">
        <f>'d3'!J279-d3М!J274</f>
        <v>0</v>
      </c>
      <c r="K279" s="328">
        <f>'d3'!K279-d3М!K274</f>
        <v>0</v>
      </c>
      <c r="L279" s="328">
        <f>'d3'!L279-d3М!L274</f>
        <v>0</v>
      </c>
      <c r="M279" s="328">
        <f>'d3'!M279-d3М!M274</f>
        <v>0</v>
      </c>
      <c r="N279" s="328">
        <f>'d3'!N279-d3М!N274</f>
        <v>0</v>
      </c>
      <c r="O279" s="328">
        <f>'d3'!O279-d3М!O274</f>
        <v>0</v>
      </c>
      <c r="P279" s="328">
        <f>'d3'!P279-d3М!P274</f>
        <v>77487</v>
      </c>
      <c r="Q279" s="20"/>
      <c r="R279" s="50"/>
    </row>
    <row r="280" spans="1:18" ht="47.25" thickTop="1" thickBot="1" x14ac:dyDescent="0.25">
      <c r="A280" s="313" t="s">
        <v>1500</v>
      </c>
      <c r="B280" s="313" t="s">
        <v>812</v>
      </c>
      <c r="C280" s="313"/>
      <c r="D280" s="356" t="s">
        <v>1281</v>
      </c>
      <c r="E280" s="328">
        <f>'d3'!E280-d3М!E275</f>
        <v>77487</v>
      </c>
      <c r="F280" s="328">
        <f>'d3'!F280-d3М!F275</f>
        <v>77487</v>
      </c>
      <c r="G280" s="328">
        <f>'d3'!G280-d3М!G275</f>
        <v>0</v>
      </c>
      <c r="H280" s="328">
        <f>'d3'!H280-d3М!H275</f>
        <v>0</v>
      </c>
      <c r="I280" s="328">
        <f>'d3'!I280-d3М!I275</f>
        <v>0</v>
      </c>
      <c r="J280" s="328">
        <f>'d3'!J280-d3М!J275</f>
        <v>0</v>
      </c>
      <c r="K280" s="328">
        <f>'d3'!K280-d3М!K275</f>
        <v>0</v>
      </c>
      <c r="L280" s="328">
        <f>'d3'!L280-d3М!L275</f>
        <v>0</v>
      </c>
      <c r="M280" s="328">
        <f>'d3'!M280-d3М!M275</f>
        <v>0</v>
      </c>
      <c r="N280" s="328">
        <f>'d3'!N280-d3М!N275</f>
        <v>0</v>
      </c>
      <c r="O280" s="328">
        <f>'d3'!O280-d3М!O275</f>
        <v>0</v>
      </c>
      <c r="P280" s="328">
        <f>'d3'!P280-d3М!P275</f>
        <v>77487</v>
      </c>
      <c r="Q280" s="20"/>
      <c r="R280" s="50"/>
    </row>
    <row r="281" spans="1:18" ht="93" thickTop="1" thickBot="1" x14ac:dyDescent="0.25">
      <c r="A281" s="103" t="s">
        <v>1501</v>
      </c>
      <c r="B281" s="103" t="s">
        <v>518</v>
      </c>
      <c r="C281" s="103" t="s">
        <v>251</v>
      </c>
      <c r="D281" s="103" t="s">
        <v>519</v>
      </c>
      <c r="E281" s="328">
        <f>'d3'!E281-d3М!E276</f>
        <v>77487</v>
      </c>
      <c r="F281" s="328">
        <f>'d3'!F281-d3М!F276</f>
        <v>77487</v>
      </c>
      <c r="G281" s="328">
        <f>'d3'!G281-d3М!G276</f>
        <v>0</v>
      </c>
      <c r="H281" s="328">
        <f>'d3'!H281-d3М!H276</f>
        <v>0</v>
      </c>
      <c r="I281" s="328">
        <f>'d3'!I281-d3М!I276</f>
        <v>0</v>
      </c>
      <c r="J281" s="328">
        <f>'d3'!J281-d3М!J276</f>
        <v>0</v>
      </c>
      <c r="K281" s="328">
        <f>'d3'!K281-d3М!K276</f>
        <v>0</v>
      </c>
      <c r="L281" s="328">
        <f>'d3'!L281-d3М!L276</f>
        <v>0</v>
      </c>
      <c r="M281" s="328">
        <f>'d3'!M281-d3М!M276</f>
        <v>0</v>
      </c>
      <c r="N281" s="328">
        <f>'d3'!N281-d3М!N276</f>
        <v>0</v>
      </c>
      <c r="O281" s="328">
        <f>'d3'!O281-d3М!O276</f>
        <v>0</v>
      </c>
      <c r="P281" s="328">
        <f>'d3'!P281-d3М!P276</f>
        <v>77487</v>
      </c>
      <c r="Q281" s="20"/>
      <c r="R281" s="50"/>
    </row>
    <row r="282" spans="1:18" ht="47.25" hidden="1" thickTop="1" thickBot="1" x14ac:dyDescent="0.25">
      <c r="A282" s="136" t="s">
        <v>1231</v>
      </c>
      <c r="B282" s="136" t="s">
        <v>1186</v>
      </c>
      <c r="C282" s="136"/>
      <c r="D282" s="136" t="s">
        <v>1184</v>
      </c>
      <c r="E282" s="137">
        <f t="shared" ref="E282:P282" si="64">SUM(E283:E283)</f>
        <v>0</v>
      </c>
      <c r="F282" s="137">
        <f t="shared" si="64"/>
        <v>0</v>
      </c>
      <c r="G282" s="137">
        <f t="shared" si="64"/>
        <v>0</v>
      </c>
      <c r="H282" s="137">
        <f t="shared" si="64"/>
        <v>0</v>
      </c>
      <c r="I282" s="137">
        <f t="shared" si="64"/>
        <v>0</v>
      </c>
      <c r="J282" s="137">
        <f t="shared" si="64"/>
        <v>0</v>
      </c>
      <c r="K282" s="137">
        <f t="shared" si="64"/>
        <v>0</v>
      </c>
      <c r="L282" s="137">
        <f t="shared" si="64"/>
        <v>0</v>
      </c>
      <c r="M282" s="137">
        <f t="shared" si="64"/>
        <v>0</v>
      </c>
      <c r="N282" s="137">
        <f t="shared" si="64"/>
        <v>0</v>
      </c>
      <c r="O282" s="137">
        <f t="shared" si="64"/>
        <v>0</v>
      </c>
      <c r="P282" s="137">
        <f t="shared" si="64"/>
        <v>0</v>
      </c>
      <c r="Q282" s="20"/>
      <c r="R282" s="50"/>
    </row>
    <row r="283" spans="1:18" ht="48" hidden="1" thickTop="1" thickBot="1" x14ac:dyDescent="0.25">
      <c r="A283" s="128" t="s">
        <v>1232</v>
      </c>
      <c r="B283" s="128" t="s">
        <v>1213</v>
      </c>
      <c r="C283" s="128" t="s">
        <v>1188</v>
      </c>
      <c r="D283" s="128" t="s">
        <v>1214</v>
      </c>
      <c r="E283" s="127">
        <f>F283</f>
        <v>0</v>
      </c>
      <c r="F283" s="134"/>
      <c r="G283" s="134"/>
      <c r="H283" s="134"/>
      <c r="I283" s="134"/>
      <c r="J283" s="127">
        <f>L283+O283</f>
        <v>0</v>
      </c>
      <c r="K283" s="134"/>
      <c r="L283" s="134"/>
      <c r="M283" s="134"/>
      <c r="N283" s="134"/>
      <c r="O283" s="132">
        <f>K283</f>
        <v>0</v>
      </c>
      <c r="P283" s="127">
        <f>E283+J283</f>
        <v>0</v>
      </c>
      <c r="Q283" s="20"/>
      <c r="R283" s="50"/>
    </row>
    <row r="284" spans="1:18" ht="120" customHeight="1" thickTop="1" thickBot="1" x14ac:dyDescent="0.25">
      <c r="A284" s="661" t="s">
        <v>540</v>
      </c>
      <c r="B284" s="661"/>
      <c r="C284" s="661"/>
      <c r="D284" s="662" t="s">
        <v>559</v>
      </c>
      <c r="E284" s="663">
        <f>E285</f>
        <v>16482778</v>
      </c>
      <c r="F284" s="664">
        <f t="shared" ref="F284:G284" si="65">F285</f>
        <v>16482778</v>
      </c>
      <c r="G284" s="664">
        <f t="shared" si="65"/>
        <v>0</v>
      </c>
      <c r="H284" s="664">
        <f>H285</f>
        <v>0</v>
      </c>
      <c r="I284" s="664">
        <f t="shared" ref="I284" si="66">I285</f>
        <v>0</v>
      </c>
      <c r="J284" s="663">
        <f>J285</f>
        <v>4830744</v>
      </c>
      <c r="K284" s="664">
        <f>K285</f>
        <v>4830744</v>
      </c>
      <c r="L284" s="664">
        <f>L285</f>
        <v>0</v>
      </c>
      <c r="M284" s="664">
        <f t="shared" ref="M284" si="67">M285</f>
        <v>0</v>
      </c>
      <c r="N284" s="664">
        <f>N285</f>
        <v>0</v>
      </c>
      <c r="O284" s="663">
        <f>O285</f>
        <v>4830744</v>
      </c>
      <c r="P284" s="664">
        <f>P285</f>
        <v>21313522</v>
      </c>
      <c r="Q284" s="20"/>
      <c r="R284" s="50"/>
    </row>
    <row r="285" spans="1:18" ht="120" customHeight="1" thickTop="1" thickBot="1" x14ac:dyDescent="0.25">
      <c r="A285" s="658" t="s">
        <v>541</v>
      </c>
      <c r="B285" s="658"/>
      <c r="C285" s="658"/>
      <c r="D285" s="659" t="s">
        <v>560</v>
      </c>
      <c r="E285" s="660">
        <f>E286+E290+E298+E311+E316</f>
        <v>16482778</v>
      </c>
      <c r="F285" s="660">
        <f>F286+F290+F298+F311+F316</f>
        <v>16482778</v>
      </c>
      <c r="G285" s="660">
        <f>G286+G290+G298+G311+G316</f>
        <v>0</v>
      </c>
      <c r="H285" s="660">
        <f>H286+H290+H298+H311+H316</f>
        <v>0</v>
      </c>
      <c r="I285" s="660">
        <f>I286+I290+I298+I311+I316</f>
        <v>0</v>
      </c>
      <c r="J285" s="660">
        <f t="shared" ref="J285" si="68">L285+O285</f>
        <v>4830744</v>
      </c>
      <c r="K285" s="660">
        <f>K286+K290+K298+K311+K316</f>
        <v>4830744</v>
      </c>
      <c r="L285" s="660">
        <f>L286+L290+L298+L311+L316</f>
        <v>0</v>
      </c>
      <c r="M285" s="660">
        <f>M286+M290+M298+M311+M316</f>
        <v>0</v>
      </c>
      <c r="N285" s="660">
        <f>N286+N290+N298+N311+N316</f>
        <v>0</v>
      </c>
      <c r="O285" s="660">
        <f>O286+O290+O298+O311+O316</f>
        <v>4830744</v>
      </c>
      <c r="P285" s="660">
        <f>E285+J285</f>
        <v>21313522</v>
      </c>
      <c r="Q285" s="503" t="b">
        <f>P285=P287+P292+P293+P295+P296+P297+P300+P303+P305+P306+P313+P314</f>
        <v>1</v>
      </c>
      <c r="R285" s="45"/>
    </row>
    <row r="286" spans="1:18" ht="47.25" thickTop="1" thickBot="1" x14ac:dyDescent="0.25">
      <c r="A286" s="311" t="s">
        <v>798</v>
      </c>
      <c r="B286" s="311" t="s">
        <v>684</v>
      </c>
      <c r="C286" s="311"/>
      <c r="D286" s="311" t="s">
        <v>685</v>
      </c>
      <c r="E286" s="328">
        <f>'d3'!E286-d3М!E281</f>
        <v>0</v>
      </c>
      <c r="F286" s="328">
        <f>'d3'!F286-d3М!F281</f>
        <v>0</v>
      </c>
      <c r="G286" s="328">
        <f>'d3'!G286-d3М!G281</f>
        <v>0</v>
      </c>
      <c r="H286" s="328">
        <f>'d3'!H286-d3М!H281</f>
        <v>0</v>
      </c>
      <c r="I286" s="328">
        <f>'d3'!I286-d3М!I281</f>
        <v>0</v>
      </c>
      <c r="J286" s="328">
        <f>'d3'!J286-d3М!J281</f>
        <v>0</v>
      </c>
      <c r="K286" s="328">
        <f>'d3'!K286-d3М!K281</f>
        <v>0</v>
      </c>
      <c r="L286" s="328">
        <f>'d3'!L286-d3М!L281</f>
        <v>0</v>
      </c>
      <c r="M286" s="328">
        <f>'d3'!M286-d3М!M281</f>
        <v>0</v>
      </c>
      <c r="N286" s="328">
        <f>'d3'!N286-d3М!N281</f>
        <v>0</v>
      </c>
      <c r="O286" s="328">
        <f>'d3'!O286-d3М!O281</f>
        <v>0</v>
      </c>
      <c r="P286" s="328">
        <f>'d3'!P286-d3М!P281</f>
        <v>0</v>
      </c>
      <c r="Q286" s="47"/>
      <c r="R286" s="45"/>
    </row>
    <row r="287" spans="1:18" ht="93" thickTop="1" thickBot="1" x14ac:dyDescent="0.25">
      <c r="A287" s="103" t="s">
        <v>542</v>
      </c>
      <c r="B287" s="103" t="s">
        <v>236</v>
      </c>
      <c r="C287" s="103" t="s">
        <v>234</v>
      </c>
      <c r="D287" s="103" t="s">
        <v>235</v>
      </c>
      <c r="E287" s="328">
        <f>'d3'!E287-d3М!E282</f>
        <v>0</v>
      </c>
      <c r="F287" s="328">
        <f>'d3'!F287-d3М!F282</f>
        <v>0</v>
      </c>
      <c r="G287" s="328">
        <f>'d3'!G287-d3М!G282</f>
        <v>0</v>
      </c>
      <c r="H287" s="328">
        <f>'d3'!H287-d3М!H282</f>
        <v>0</v>
      </c>
      <c r="I287" s="328">
        <f>'d3'!I287-d3М!I282</f>
        <v>0</v>
      </c>
      <c r="J287" s="328">
        <f>'d3'!J287-d3М!J282</f>
        <v>0</v>
      </c>
      <c r="K287" s="328">
        <f>'d3'!K287-d3М!K282</f>
        <v>0</v>
      </c>
      <c r="L287" s="328">
        <f>'d3'!L287-d3М!L282</f>
        <v>0</v>
      </c>
      <c r="M287" s="328">
        <f>'d3'!M287-d3М!M282</f>
        <v>0</v>
      </c>
      <c r="N287" s="328">
        <f>'d3'!N287-d3М!N282</f>
        <v>0</v>
      </c>
      <c r="O287" s="328">
        <f>'d3'!O287-d3М!O282</f>
        <v>0</v>
      </c>
      <c r="P287" s="328">
        <f>'d3'!P287-d3М!P282</f>
        <v>0</v>
      </c>
      <c r="Q287" s="20"/>
      <c r="R287" s="45"/>
    </row>
    <row r="288" spans="1:18" ht="93" hidden="1" thickTop="1" thickBot="1" x14ac:dyDescent="0.25">
      <c r="A288" s="128" t="s">
        <v>629</v>
      </c>
      <c r="B288" s="128" t="s">
        <v>362</v>
      </c>
      <c r="C288" s="128" t="s">
        <v>625</v>
      </c>
      <c r="D288" s="128" t="s">
        <v>626</v>
      </c>
      <c r="E288" s="328">
        <f>'d3'!E288-d3М!E283</f>
        <v>0</v>
      </c>
      <c r="F288" s="328">
        <f>'d3'!F288-d3М!F283</f>
        <v>0</v>
      </c>
      <c r="G288" s="328">
        <f>'d3'!G288-d3М!G283</f>
        <v>0</v>
      </c>
      <c r="H288" s="328">
        <f>'d3'!H288-d3М!H283</f>
        <v>0</v>
      </c>
      <c r="I288" s="328">
        <f>'d3'!I288-d3М!I283</f>
        <v>0</v>
      </c>
      <c r="J288" s="328">
        <f>'d3'!J288-d3М!J283</f>
        <v>0</v>
      </c>
      <c r="K288" s="328">
        <f>'d3'!K288-d3М!K283</f>
        <v>0</v>
      </c>
      <c r="L288" s="328">
        <f>'d3'!L288-d3М!L283</f>
        <v>0</v>
      </c>
      <c r="M288" s="328">
        <f>'d3'!M288-d3М!M283</f>
        <v>0</v>
      </c>
      <c r="N288" s="328">
        <f>'d3'!N288-d3М!N283</f>
        <v>0</v>
      </c>
      <c r="O288" s="328">
        <f>'d3'!O288-d3М!O283</f>
        <v>0</v>
      </c>
      <c r="P288" s="328">
        <f>'d3'!P288-d3М!P283</f>
        <v>0</v>
      </c>
      <c r="Q288" s="20"/>
      <c r="R288" s="45"/>
    </row>
    <row r="289" spans="1:18" ht="47.25" hidden="1" thickTop="1" thickBot="1" x14ac:dyDescent="0.25">
      <c r="A289" s="128" t="s">
        <v>543</v>
      </c>
      <c r="B289" s="128" t="s">
        <v>43</v>
      </c>
      <c r="C289" s="128" t="s">
        <v>42</v>
      </c>
      <c r="D289" s="128" t="s">
        <v>248</v>
      </c>
      <c r="E289" s="328">
        <f>'d3'!E289-d3М!E284</f>
        <v>0</v>
      </c>
      <c r="F289" s="328">
        <f>'d3'!F289-d3М!F284</f>
        <v>0</v>
      </c>
      <c r="G289" s="328">
        <f>'d3'!G289-d3М!G284</f>
        <v>0</v>
      </c>
      <c r="H289" s="328">
        <f>'d3'!H289-d3М!H284</f>
        <v>0</v>
      </c>
      <c r="I289" s="328">
        <f>'d3'!I289-d3М!I284</f>
        <v>0</v>
      </c>
      <c r="J289" s="328">
        <f>'d3'!J289-d3М!J284</f>
        <v>0</v>
      </c>
      <c r="K289" s="328">
        <f>'d3'!K289-d3М!K284</f>
        <v>0</v>
      </c>
      <c r="L289" s="328">
        <f>'d3'!L289-d3М!L284</f>
        <v>0</v>
      </c>
      <c r="M289" s="328">
        <f>'d3'!M289-d3М!M284</f>
        <v>0</v>
      </c>
      <c r="N289" s="328">
        <f>'d3'!N289-d3М!N284</f>
        <v>0</v>
      </c>
      <c r="O289" s="328">
        <f>'d3'!O289-d3М!O284</f>
        <v>0</v>
      </c>
      <c r="P289" s="328">
        <f>'d3'!P289-d3М!P284</f>
        <v>0</v>
      </c>
      <c r="Q289" s="20"/>
      <c r="R289" s="50"/>
    </row>
    <row r="290" spans="1:18" ht="47.25" thickTop="1" thickBot="1" x14ac:dyDescent="0.25">
      <c r="A290" s="311" t="s">
        <v>799</v>
      </c>
      <c r="B290" s="311" t="s">
        <v>742</v>
      </c>
      <c r="C290" s="311"/>
      <c r="D290" s="347" t="s">
        <v>743</v>
      </c>
      <c r="E290" s="328">
        <f>'d3'!E290-d3М!E285</f>
        <v>28482778</v>
      </c>
      <c r="F290" s="328">
        <f>'d3'!F290-d3М!F285</f>
        <v>28482778</v>
      </c>
      <c r="G290" s="328">
        <f>'d3'!G290-d3М!G285</f>
        <v>0</v>
      </c>
      <c r="H290" s="328">
        <f>'d3'!H290-d3М!H285</f>
        <v>0</v>
      </c>
      <c r="I290" s="328">
        <f>'d3'!I290-d3М!I285</f>
        <v>0</v>
      </c>
      <c r="J290" s="328">
        <f>'d3'!J290-d3М!J285</f>
        <v>0</v>
      </c>
      <c r="K290" s="328">
        <f>'d3'!K290-d3М!K285</f>
        <v>0</v>
      </c>
      <c r="L290" s="328">
        <f>'d3'!L290-d3М!L285</f>
        <v>0</v>
      </c>
      <c r="M290" s="328">
        <f>'d3'!M290-d3М!M285</f>
        <v>0</v>
      </c>
      <c r="N290" s="328">
        <f>'d3'!N290-d3М!N285</f>
        <v>0</v>
      </c>
      <c r="O290" s="328">
        <f>'d3'!O290-d3М!O285</f>
        <v>0</v>
      </c>
      <c r="P290" s="328">
        <f>'d3'!P290-d3М!P285</f>
        <v>28482778</v>
      </c>
      <c r="Q290" s="20"/>
      <c r="R290" s="50"/>
    </row>
    <row r="291" spans="1:18" ht="93" thickTop="1" thickBot="1" x14ac:dyDescent="0.25">
      <c r="A291" s="329" t="s">
        <v>800</v>
      </c>
      <c r="B291" s="329" t="s">
        <v>791</v>
      </c>
      <c r="C291" s="329"/>
      <c r="D291" s="329" t="s">
        <v>792</v>
      </c>
      <c r="E291" s="328">
        <f>'d3'!E291-d3М!E286</f>
        <v>10000000</v>
      </c>
      <c r="F291" s="328">
        <f>'d3'!F291-d3М!F286</f>
        <v>10000000</v>
      </c>
      <c r="G291" s="328">
        <f>'d3'!G291-d3М!G286</f>
        <v>0</v>
      </c>
      <c r="H291" s="328">
        <f>'d3'!H291-d3М!H286</f>
        <v>0</v>
      </c>
      <c r="I291" s="328">
        <f>'d3'!I291-d3М!I286</f>
        <v>0</v>
      </c>
      <c r="J291" s="328">
        <f>'d3'!J291-d3М!J286</f>
        <v>0</v>
      </c>
      <c r="K291" s="328">
        <f>'d3'!K291-d3М!K286</f>
        <v>0</v>
      </c>
      <c r="L291" s="328">
        <f>'d3'!L291-d3М!L286</f>
        <v>0</v>
      </c>
      <c r="M291" s="328">
        <f>'d3'!M291-d3М!M286</f>
        <v>0</v>
      </c>
      <c r="N291" s="328">
        <f>'d3'!N291-d3М!N286</f>
        <v>0</v>
      </c>
      <c r="O291" s="328">
        <f>'d3'!O291-d3М!O286</f>
        <v>0</v>
      </c>
      <c r="P291" s="328">
        <f>'d3'!P291-d3М!P286</f>
        <v>10000000</v>
      </c>
      <c r="Q291" s="20"/>
      <c r="R291" s="50"/>
    </row>
    <row r="292" spans="1:18" ht="93" thickTop="1" thickBot="1" x14ac:dyDescent="0.25">
      <c r="A292" s="103" t="s">
        <v>544</v>
      </c>
      <c r="B292" s="103" t="s">
        <v>376</v>
      </c>
      <c r="C292" s="103" t="s">
        <v>283</v>
      </c>
      <c r="D292" s="103" t="s">
        <v>377</v>
      </c>
      <c r="E292" s="328">
        <f>'d3'!E292-d3М!E287</f>
        <v>10000000</v>
      </c>
      <c r="F292" s="328">
        <f>'d3'!F292-d3М!F287</f>
        <v>10000000</v>
      </c>
      <c r="G292" s="328">
        <f>'d3'!G292-d3М!G287</f>
        <v>0</v>
      </c>
      <c r="H292" s="328">
        <f>'d3'!H292-d3М!H287</f>
        <v>0</v>
      </c>
      <c r="I292" s="328">
        <f>'d3'!I292-d3М!I287</f>
        <v>0</v>
      </c>
      <c r="J292" s="328">
        <f>'d3'!J292-d3М!J287</f>
        <v>0</v>
      </c>
      <c r="K292" s="328">
        <f>'d3'!K292-d3М!K287</f>
        <v>0</v>
      </c>
      <c r="L292" s="328">
        <f>'d3'!L292-d3М!L287</f>
        <v>0</v>
      </c>
      <c r="M292" s="328">
        <f>'d3'!M292-d3М!M287</f>
        <v>0</v>
      </c>
      <c r="N292" s="328">
        <f>'d3'!N292-d3М!N287</f>
        <v>0</v>
      </c>
      <c r="O292" s="328">
        <f>'d3'!O292-d3М!O287</f>
        <v>0</v>
      </c>
      <c r="P292" s="328">
        <f>'d3'!P292-d3М!P287</f>
        <v>10000000</v>
      </c>
      <c r="Q292" s="20"/>
      <c r="R292" s="50"/>
    </row>
    <row r="293" spans="1:18" ht="47.25" thickTop="1" thickBot="1" x14ac:dyDescent="0.25">
      <c r="A293" s="103" t="s">
        <v>545</v>
      </c>
      <c r="B293" s="103" t="s">
        <v>286</v>
      </c>
      <c r="C293" s="103" t="s">
        <v>283</v>
      </c>
      <c r="D293" s="103" t="s">
        <v>287</v>
      </c>
      <c r="E293" s="328">
        <f>'d3'!E293-d3М!E288</f>
        <v>0</v>
      </c>
      <c r="F293" s="328">
        <f>'d3'!F293-d3М!F288</f>
        <v>0</v>
      </c>
      <c r="G293" s="328">
        <f>'d3'!G293-d3М!G288</f>
        <v>0</v>
      </c>
      <c r="H293" s="328">
        <f>'d3'!H293-d3М!H288</f>
        <v>0</v>
      </c>
      <c r="I293" s="328">
        <f>'d3'!I293-d3М!I288</f>
        <v>0</v>
      </c>
      <c r="J293" s="328">
        <f>'d3'!J293-d3М!J288</f>
        <v>0</v>
      </c>
      <c r="K293" s="328">
        <f>'d3'!K293-d3М!K288</f>
        <v>0</v>
      </c>
      <c r="L293" s="328">
        <f>'d3'!L293-d3М!L288</f>
        <v>0</v>
      </c>
      <c r="M293" s="328">
        <f>'d3'!M293-d3М!M288</f>
        <v>0</v>
      </c>
      <c r="N293" s="328">
        <f>'d3'!N293-d3М!N288</f>
        <v>0</v>
      </c>
      <c r="O293" s="328">
        <f>'d3'!O293-d3М!O288</f>
        <v>0</v>
      </c>
      <c r="P293" s="328">
        <f>'d3'!P293-d3М!P288</f>
        <v>0</v>
      </c>
      <c r="Q293" s="20"/>
      <c r="R293" s="50"/>
    </row>
    <row r="294" spans="1:18" ht="93" hidden="1" thickTop="1" thickBot="1" x14ac:dyDescent="0.25">
      <c r="A294" s="128" t="s">
        <v>1410</v>
      </c>
      <c r="B294" s="128" t="s">
        <v>1411</v>
      </c>
      <c r="C294" s="128" t="s">
        <v>283</v>
      </c>
      <c r="D294" s="128" t="s">
        <v>1412</v>
      </c>
      <c r="E294" s="328">
        <f>'d3'!E294-d3М!E289</f>
        <v>0</v>
      </c>
      <c r="F294" s="328">
        <f>'d3'!F294-d3М!F289</f>
        <v>0</v>
      </c>
      <c r="G294" s="328">
        <f>'d3'!G294-d3М!G289</f>
        <v>0</v>
      </c>
      <c r="H294" s="328">
        <f>'d3'!H294-d3М!H289</f>
        <v>0</v>
      </c>
      <c r="I294" s="328">
        <f>'d3'!I294-d3М!I289</f>
        <v>0</v>
      </c>
      <c r="J294" s="328">
        <f>'d3'!J294-d3М!J289</f>
        <v>0</v>
      </c>
      <c r="K294" s="328">
        <f>'d3'!K294-d3М!K289</f>
        <v>0</v>
      </c>
      <c r="L294" s="328">
        <f>'d3'!L294-d3М!L289</f>
        <v>0</v>
      </c>
      <c r="M294" s="328">
        <f>'d3'!M294-d3М!M289</f>
        <v>0</v>
      </c>
      <c r="N294" s="328">
        <f>'d3'!N294-d3М!N289</f>
        <v>0</v>
      </c>
      <c r="O294" s="328">
        <f>'d3'!O294-d3М!O289</f>
        <v>0</v>
      </c>
      <c r="P294" s="328">
        <f>'d3'!P294-d3М!P289</f>
        <v>0</v>
      </c>
      <c r="Q294" s="20"/>
      <c r="R294" s="50"/>
    </row>
    <row r="295" spans="1:18" ht="93" thickTop="1" thickBot="1" x14ac:dyDescent="0.25">
      <c r="A295" s="103" t="s">
        <v>546</v>
      </c>
      <c r="B295" s="103" t="s">
        <v>297</v>
      </c>
      <c r="C295" s="103" t="s">
        <v>283</v>
      </c>
      <c r="D295" s="103" t="s">
        <v>298</v>
      </c>
      <c r="E295" s="328">
        <f>'d3'!E295-d3М!E290</f>
        <v>1987600</v>
      </c>
      <c r="F295" s="328">
        <f>'d3'!F295-d3М!F290</f>
        <v>1987600</v>
      </c>
      <c r="G295" s="328">
        <f>'d3'!G295-d3М!G290</f>
        <v>0</v>
      </c>
      <c r="H295" s="328">
        <f>'d3'!H295-d3М!H290</f>
        <v>0</v>
      </c>
      <c r="I295" s="328">
        <f>'d3'!I295-d3М!I290</f>
        <v>0</v>
      </c>
      <c r="J295" s="328">
        <f>'d3'!J295-d3М!J290</f>
        <v>0</v>
      </c>
      <c r="K295" s="328">
        <f>'d3'!K295-d3М!K290</f>
        <v>0</v>
      </c>
      <c r="L295" s="328">
        <f>'d3'!L295-d3М!L290</f>
        <v>0</v>
      </c>
      <c r="M295" s="328">
        <f>'d3'!M295-d3М!M290</f>
        <v>0</v>
      </c>
      <c r="N295" s="328">
        <f>'d3'!N295-d3М!N290</f>
        <v>0</v>
      </c>
      <c r="O295" s="328">
        <f>'d3'!O295-d3М!O290</f>
        <v>0</v>
      </c>
      <c r="P295" s="328">
        <f>'d3'!P295-d3М!P290</f>
        <v>1987600</v>
      </c>
      <c r="Q295" s="20"/>
      <c r="R295" s="50"/>
    </row>
    <row r="296" spans="1:18" ht="47.25" thickTop="1" thickBot="1" x14ac:dyDescent="0.25">
      <c r="A296" s="103" t="s">
        <v>547</v>
      </c>
      <c r="B296" s="103" t="s">
        <v>289</v>
      </c>
      <c r="C296" s="103" t="s">
        <v>283</v>
      </c>
      <c r="D296" s="103" t="s">
        <v>290</v>
      </c>
      <c r="E296" s="328">
        <f>'d3'!E296-d3М!E291</f>
        <v>16495178</v>
      </c>
      <c r="F296" s="328">
        <f>'d3'!F296-d3М!F291</f>
        <v>16495178</v>
      </c>
      <c r="G296" s="328">
        <f>'d3'!G296-d3М!G291</f>
        <v>0</v>
      </c>
      <c r="H296" s="328">
        <f>'d3'!H296-d3М!H291</f>
        <v>0</v>
      </c>
      <c r="I296" s="328">
        <f>'d3'!I296-d3М!I291</f>
        <v>0</v>
      </c>
      <c r="J296" s="328">
        <f>'d3'!J296-d3М!J291</f>
        <v>0</v>
      </c>
      <c r="K296" s="328">
        <f>'d3'!K296-d3М!K291</f>
        <v>0</v>
      </c>
      <c r="L296" s="328">
        <f>'d3'!L296-d3М!L291</f>
        <v>0</v>
      </c>
      <c r="M296" s="328">
        <f>'d3'!M296-d3М!M291</f>
        <v>0</v>
      </c>
      <c r="N296" s="328">
        <f>'d3'!N296-d3М!N291</f>
        <v>0</v>
      </c>
      <c r="O296" s="328">
        <f>'d3'!O296-d3М!O291</f>
        <v>0</v>
      </c>
      <c r="P296" s="328">
        <f>'d3'!P296-d3М!P291</f>
        <v>16495178</v>
      </c>
      <c r="Q296" s="20"/>
      <c r="R296" s="45"/>
    </row>
    <row r="297" spans="1:18" ht="47.25" thickTop="1" thickBot="1" x14ac:dyDescent="0.25">
      <c r="A297" s="103" t="s">
        <v>1148</v>
      </c>
      <c r="B297" s="103" t="s">
        <v>1149</v>
      </c>
      <c r="C297" s="103" t="s">
        <v>1150</v>
      </c>
      <c r="D297" s="103" t="s">
        <v>1147</v>
      </c>
      <c r="E297" s="328">
        <f>'d3'!E297-d3М!E292</f>
        <v>0</v>
      </c>
      <c r="F297" s="328">
        <f>'d3'!F297-d3М!F292</f>
        <v>0</v>
      </c>
      <c r="G297" s="328">
        <f>'d3'!G297-d3М!G292</f>
        <v>0</v>
      </c>
      <c r="H297" s="328">
        <f>'d3'!H297-d3М!H292</f>
        <v>0</v>
      </c>
      <c r="I297" s="328">
        <f>'d3'!I297-d3М!I292</f>
        <v>0</v>
      </c>
      <c r="J297" s="328">
        <f>'d3'!J297-d3М!J292</f>
        <v>0</v>
      </c>
      <c r="K297" s="328">
        <f>'d3'!K297-d3М!K292</f>
        <v>0</v>
      </c>
      <c r="L297" s="328">
        <f>'d3'!L297-d3М!L292</f>
        <v>0</v>
      </c>
      <c r="M297" s="328">
        <f>'d3'!M297-d3М!M292</f>
        <v>0</v>
      </c>
      <c r="N297" s="328">
        <f>'d3'!N297-d3М!N292</f>
        <v>0</v>
      </c>
      <c r="O297" s="328">
        <f>'d3'!O297-d3М!O292</f>
        <v>0</v>
      </c>
      <c r="P297" s="328">
        <f>'d3'!P297-d3М!P292</f>
        <v>0</v>
      </c>
      <c r="Q297" s="20"/>
      <c r="R297" s="45"/>
    </row>
    <row r="298" spans="1:18" ht="47.25" thickTop="1" thickBot="1" x14ac:dyDescent="0.25">
      <c r="A298" s="311" t="s">
        <v>801</v>
      </c>
      <c r="B298" s="311" t="s">
        <v>748</v>
      </c>
      <c r="C298" s="311"/>
      <c r="D298" s="311" t="s">
        <v>749</v>
      </c>
      <c r="E298" s="328">
        <f>'d3'!E298-d3М!E293</f>
        <v>-12000000</v>
      </c>
      <c r="F298" s="328">
        <f>'d3'!F298-d3М!F293</f>
        <v>-12000000</v>
      </c>
      <c r="G298" s="328">
        <f>'d3'!G298-d3М!G293</f>
        <v>0</v>
      </c>
      <c r="H298" s="328">
        <f>'d3'!H298-d3М!H293</f>
        <v>0</v>
      </c>
      <c r="I298" s="328">
        <f>'d3'!I298-d3М!I293</f>
        <v>0</v>
      </c>
      <c r="J298" s="328">
        <f>'d3'!J298-d3М!J293</f>
        <v>4830744</v>
      </c>
      <c r="K298" s="328">
        <f>'d3'!K298-d3М!K293</f>
        <v>4830744</v>
      </c>
      <c r="L298" s="328">
        <f>'d3'!L298-d3М!L293</f>
        <v>0</v>
      </c>
      <c r="M298" s="328">
        <f>'d3'!M298-d3М!M293</f>
        <v>0</v>
      </c>
      <c r="N298" s="328">
        <f>'d3'!N298-d3М!N293</f>
        <v>0</v>
      </c>
      <c r="O298" s="328">
        <f>'d3'!O298-d3М!O293</f>
        <v>4830744</v>
      </c>
      <c r="P298" s="328">
        <f>'d3'!P298-d3М!P293</f>
        <v>-7169256</v>
      </c>
      <c r="Q298" s="20"/>
      <c r="R298" s="50"/>
    </row>
    <row r="299" spans="1:18" ht="47.25" thickTop="1" thickBot="1" x14ac:dyDescent="0.25">
      <c r="A299" s="698" t="s">
        <v>802</v>
      </c>
      <c r="B299" s="698" t="s">
        <v>803</v>
      </c>
      <c r="C299" s="698"/>
      <c r="D299" s="698" t="s">
        <v>804</v>
      </c>
      <c r="E299" s="328">
        <f>'d3'!E299-d3М!E294</f>
        <v>0</v>
      </c>
      <c r="F299" s="328">
        <f>'d3'!F299-d3М!F294</f>
        <v>0</v>
      </c>
      <c r="G299" s="328">
        <f>'d3'!G299-d3М!G294</f>
        <v>0</v>
      </c>
      <c r="H299" s="328">
        <f>'d3'!H299-d3М!H294</f>
        <v>0</v>
      </c>
      <c r="I299" s="328">
        <f>'d3'!I299-d3М!I294</f>
        <v>0</v>
      </c>
      <c r="J299" s="328">
        <f>'d3'!J299-d3М!J294</f>
        <v>1200000</v>
      </c>
      <c r="K299" s="328">
        <f>'d3'!K299-d3М!K294</f>
        <v>1200000</v>
      </c>
      <c r="L299" s="328">
        <f>'d3'!L299-d3М!L294</f>
        <v>0</v>
      </c>
      <c r="M299" s="328">
        <f>'d3'!M299-d3М!M294</f>
        <v>0</v>
      </c>
      <c r="N299" s="328">
        <f>'d3'!N299-d3М!N294</f>
        <v>0</v>
      </c>
      <c r="O299" s="328">
        <f>'d3'!O299-d3М!O294</f>
        <v>1200000</v>
      </c>
      <c r="P299" s="328">
        <f>'d3'!P299-d3М!P294</f>
        <v>1200000</v>
      </c>
      <c r="Q299" s="20"/>
      <c r="R299" s="50"/>
    </row>
    <row r="300" spans="1:18" ht="54" thickTop="1" thickBot="1" x14ac:dyDescent="0.25">
      <c r="A300" s="695" t="s">
        <v>548</v>
      </c>
      <c r="B300" s="695" t="s">
        <v>305</v>
      </c>
      <c r="C300" s="695" t="s">
        <v>304</v>
      </c>
      <c r="D300" s="695" t="s">
        <v>1502</v>
      </c>
      <c r="E300" s="328">
        <f>'d3'!E300-d3М!E295</f>
        <v>0</v>
      </c>
      <c r="F300" s="328">
        <f>'d3'!F300-d3М!F295</f>
        <v>0</v>
      </c>
      <c r="G300" s="328">
        <f>'d3'!G300-d3М!G295</f>
        <v>0</v>
      </c>
      <c r="H300" s="328">
        <f>'d3'!H300-d3М!H295</f>
        <v>0</v>
      </c>
      <c r="I300" s="328">
        <f>'d3'!I300-d3М!I295</f>
        <v>0</v>
      </c>
      <c r="J300" s="328">
        <f>'d3'!J300-d3М!J295</f>
        <v>1200000</v>
      </c>
      <c r="K300" s="328">
        <f>'d3'!K300-d3М!K295</f>
        <v>1200000</v>
      </c>
      <c r="L300" s="328">
        <f>'d3'!L300-d3М!L295</f>
        <v>0</v>
      </c>
      <c r="M300" s="328">
        <f>'d3'!M300-d3М!M295</f>
        <v>0</v>
      </c>
      <c r="N300" s="328">
        <f>'d3'!N300-d3М!N295</f>
        <v>0</v>
      </c>
      <c r="O300" s="328">
        <f>'d3'!O300-d3М!O295</f>
        <v>1200000</v>
      </c>
      <c r="P300" s="328">
        <f>'d3'!P300-d3М!P295</f>
        <v>1200000</v>
      </c>
      <c r="Q300" s="20"/>
      <c r="R300" s="45"/>
    </row>
    <row r="301" spans="1:18" ht="47.25" thickTop="1" thickBot="1" x14ac:dyDescent="0.25">
      <c r="A301" s="313" t="s">
        <v>805</v>
      </c>
      <c r="B301" s="313" t="s">
        <v>806</v>
      </c>
      <c r="C301" s="313"/>
      <c r="D301" s="313" t="s">
        <v>807</v>
      </c>
      <c r="E301" s="328">
        <f>'d3'!E301-d3М!E296</f>
        <v>-12000000</v>
      </c>
      <c r="F301" s="328">
        <f>'d3'!F301-d3М!F296</f>
        <v>-12000000</v>
      </c>
      <c r="G301" s="328">
        <f>'d3'!G301-d3М!G296</f>
        <v>0</v>
      </c>
      <c r="H301" s="328">
        <f>'d3'!H301-d3М!H296</f>
        <v>0</v>
      </c>
      <c r="I301" s="328">
        <f>'d3'!I301-d3М!I296</f>
        <v>0</v>
      </c>
      <c r="J301" s="328">
        <f>'d3'!J301-d3М!J296</f>
        <v>0</v>
      </c>
      <c r="K301" s="328">
        <f>'d3'!K301-d3М!K296</f>
        <v>0</v>
      </c>
      <c r="L301" s="328">
        <f>'d3'!L301-d3М!L296</f>
        <v>0</v>
      </c>
      <c r="M301" s="328">
        <f>'d3'!M301-d3М!M296</f>
        <v>0</v>
      </c>
      <c r="N301" s="328">
        <f>'d3'!N301-d3М!N296</f>
        <v>0</v>
      </c>
      <c r="O301" s="328">
        <f>'d3'!O301-d3М!O296</f>
        <v>0</v>
      </c>
      <c r="P301" s="328">
        <f>'d3'!P301-d3М!P296</f>
        <v>-12000000</v>
      </c>
      <c r="Q301" s="20"/>
      <c r="R301" s="50"/>
    </row>
    <row r="302" spans="1:18" ht="47.25" thickTop="1" thickBot="1" x14ac:dyDescent="0.25">
      <c r="A302" s="103" t="s">
        <v>957</v>
      </c>
      <c r="B302" s="329" t="s">
        <v>958</v>
      </c>
      <c r="C302" s="313"/>
      <c r="D302" s="329" t="s">
        <v>959</v>
      </c>
      <c r="E302" s="328">
        <f>'d3'!E302-d3М!E297</f>
        <v>-12000000</v>
      </c>
      <c r="F302" s="328">
        <f>'d3'!F302-d3М!F297</f>
        <v>-12000000</v>
      </c>
      <c r="G302" s="328">
        <f>'d3'!G302-d3М!G297</f>
        <v>0</v>
      </c>
      <c r="H302" s="328">
        <f>'d3'!H302-d3М!H297</f>
        <v>0</v>
      </c>
      <c r="I302" s="328">
        <f>'d3'!I302-d3М!I297</f>
        <v>0</v>
      </c>
      <c r="J302" s="328">
        <f>'d3'!J302-d3М!J297</f>
        <v>0</v>
      </c>
      <c r="K302" s="328">
        <f>'d3'!K302-d3М!K297</f>
        <v>0</v>
      </c>
      <c r="L302" s="328">
        <f>'d3'!L302-d3М!L297</f>
        <v>0</v>
      </c>
      <c r="M302" s="328">
        <f>'d3'!M302-d3М!M297</f>
        <v>0</v>
      </c>
      <c r="N302" s="328">
        <f>'d3'!N302-d3М!N297</f>
        <v>0</v>
      </c>
      <c r="O302" s="328">
        <f>'d3'!O302-d3М!O297</f>
        <v>0</v>
      </c>
      <c r="P302" s="328">
        <f>'d3'!P302-d3М!P297</f>
        <v>-12000000</v>
      </c>
      <c r="Q302" s="20"/>
      <c r="R302" s="50"/>
    </row>
    <row r="303" spans="1:18" ht="93" thickTop="1" thickBot="1" x14ac:dyDescent="0.25">
      <c r="A303" s="103" t="s">
        <v>549</v>
      </c>
      <c r="B303" s="103" t="s">
        <v>293</v>
      </c>
      <c r="C303" s="103" t="s">
        <v>295</v>
      </c>
      <c r="D303" s="103" t="s">
        <v>294</v>
      </c>
      <c r="E303" s="328">
        <f>'d3'!E303-d3М!E298</f>
        <v>-12000000</v>
      </c>
      <c r="F303" s="328">
        <f>'d3'!F303-d3М!F298</f>
        <v>-12000000</v>
      </c>
      <c r="G303" s="328">
        <f>'d3'!G303-d3М!G298</f>
        <v>0</v>
      </c>
      <c r="H303" s="328">
        <f>'d3'!H303-d3М!H298</f>
        <v>0</v>
      </c>
      <c r="I303" s="328">
        <f>'d3'!I303-d3М!I298</f>
        <v>0</v>
      </c>
      <c r="J303" s="328">
        <f>'d3'!J303-d3М!J298</f>
        <v>0</v>
      </c>
      <c r="K303" s="328">
        <f>'d3'!K303-d3М!K298</f>
        <v>0</v>
      </c>
      <c r="L303" s="328">
        <f>'d3'!L303-d3М!L298</f>
        <v>0</v>
      </c>
      <c r="M303" s="328">
        <f>'d3'!M303-d3М!M298</f>
        <v>0</v>
      </c>
      <c r="N303" s="328">
        <f>'d3'!N303-d3М!N298</f>
        <v>0</v>
      </c>
      <c r="O303" s="328">
        <f>'d3'!O303-d3М!O298</f>
        <v>0</v>
      </c>
      <c r="P303" s="328">
        <f>'d3'!P303-d3М!P298</f>
        <v>-12000000</v>
      </c>
      <c r="Q303" s="20"/>
      <c r="R303" s="45"/>
    </row>
    <row r="304" spans="1:18" ht="47.25" thickTop="1" thickBot="1" x14ac:dyDescent="0.25">
      <c r="A304" s="313" t="s">
        <v>808</v>
      </c>
      <c r="B304" s="313" t="s">
        <v>691</v>
      </c>
      <c r="C304" s="313"/>
      <c r="D304" s="313" t="s">
        <v>689</v>
      </c>
      <c r="E304" s="328">
        <f>'d3'!E304-d3М!E299</f>
        <v>0</v>
      </c>
      <c r="F304" s="328">
        <f>'d3'!F304-d3М!F299</f>
        <v>0</v>
      </c>
      <c r="G304" s="328">
        <f>'d3'!G304-d3М!G299</f>
        <v>0</v>
      </c>
      <c r="H304" s="328">
        <f>'d3'!H304-d3М!H299</f>
        <v>0</v>
      </c>
      <c r="I304" s="328">
        <f>'d3'!I304-d3М!I299</f>
        <v>0</v>
      </c>
      <c r="J304" s="328">
        <f>'d3'!J304-d3М!J299</f>
        <v>3630744</v>
      </c>
      <c r="K304" s="328">
        <f>'d3'!K304-d3М!K299</f>
        <v>3630744</v>
      </c>
      <c r="L304" s="328">
        <f>'d3'!L304-d3М!L299</f>
        <v>0</v>
      </c>
      <c r="M304" s="328">
        <f>'d3'!M304-d3М!M299</f>
        <v>0</v>
      </c>
      <c r="N304" s="328">
        <f>'d3'!N304-d3М!N299</f>
        <v>0</v>
      </c>
      <c r="O304" s="328">
        <f>'d3'!O304-d3М!O299</f>
        <v>3630744</v>
      </c>
      <c r="P304" s="328">
        <f>'d3'!P304-d3М!P299</f>
        <v>3630744</v>
      </c>
      <c r="Q304" s="20"/>
      <c r="R304" s="45"/>
    </row>
    <row r="305" spans="1:18" ht="47.25" thickTop="1" thickBot="1" x14ac:dyDescent="0.25">
      <c r="A305" s="103" t="s">
        <v>550</v>
      </c>
      <c r="B305" s="103" t="s">
        <v>212</v>
      </c>
      <c r="C305" s="103" t="s">
        <v>213</v>
      </c>
      <c r="D305" s="103" t="s">
        <v>41</v>
      </c>
      <c r="E305" s="328">
        <f>'d3'!E305-d3М!E300</f>
        <v>0</v>
      </c>
      <c r="F305" s="328">
        <f>'d3'!F305-d3М!F300</f>
        <v>0</v>
      </c>
      <c r="G305" s="328">
        <f>'d3'!G305-d3М!G300</f>
        <v>0</v>
      </c>
      <c r="H305" s="328">
        <f>'d3'!H305-d3М!H300</f>
        <v>0</v>
      </c>
      <c r="I305" s="328">
        <f>'d3'!I305-d3М!I300</f>
        <v>0</v>
      </c>
      <c r="J305" s="328">
        <f>'d3'!J305-d3М!J300</f>
        <v>0</v>
      </c>
      <c r="K305" s="328">
        <f>'d3'!K305-d3М!K300</f>
        <v>0</v>
      </c>
      <c r="L305" s="328">
        <f>'d3'!L305-d3М!L300</f>
        <v>0</v>
      </c>
      <c r="M305" s="328">
        <f>'d3'!M305-d3М!M300</f>
        <v>0</v>
      </c>
      <c r="N305" s="328">
        <f>'d3'!N305-d3М!N300</f>
        <v>0</v>
      </c>
      <c r="O305" s="328">
        <f>'d3'!O305-d3М!O300</f>
        <v>0</v>
      </c>
      <c r="P305" s="328">
        <f>'d3'!P305-d3М!P300</f>
        <v>0</v>
      </c>
      <c r="Q305" s="20"/>
      <c r="R305" s="45"/>
    </row>
    <row r="306" spans="1:18" ht="47.25" thickTop="1" thickBot="1" x14ac:dyDescent="0.25">
      <c r="A306" s="103" t="s">
        <v>551</v>
      </c>
      <c r="B306" s="103" t="s">
        <v>197</v>
      </c>
      <c r="C306" s="103" t="s">
        <v>170</v>
      </c>
      <c r="D306" s="103" t="s">
        <v>34</v>
      </c>
      <c r="E306" s="328">
        <f>'d3'!E306-d3М!E301</f>
        <v>0</v>
      </c>
      <c r="F306" s="328">
        <f>'d3'!F306-d3М!F301</f>
        <v>0</v>
      </c>
      <c r="G306" s="328">
        <f>'d3'!G306-d3М!G301</f>
        <v>0</v>
      </c>
      <c r="H306" s="328">
        <f>'d3'!H306-d3М!H301</f>
        <v>0</v>
      </c>
      <c r="I306" s="328">
        <f>'d3'!I306-d3М!I301</f>
        <v>0</v>
      </c>
      <c r="J306" s="328">
        <f>'d3'!J306-d3М!J301</f>
        <v>3630744</v>
      </c>
      <c r="K306" s="328">
        <f>'d3'!K306-d3М!K301</f>
        <v>3630744</v>
      </c>
      <c r="L306" s="328">
        <f>'d3'!L306-d3М!L301</f>
        <v>0</v>
      </c>
      <c r="M306" s="328">
        <f>'d3'!M306-d3М!M301</f>
        <v>0</v>
      </c>
      <c r="N306" s="328">
        <f>'d3'!N306-d3М!N301</f>
        <v>0</v>
      </c>
      <c r="O306" s="328">
        <f>'d3'!O306-d3М!O301</f>
        <v>3630744</v>
      </c>
      <c r="P306" s="328">
        <f>'d3'!P306-d3М!P301</f>
        <v>3630744</v>
      </c>
      <c r="Q306" s="20"/>
      <c r="R306" s="45"/>
    </row>
    <row r="307" spans="1:18" ht="48" hidden="1" customHeight="1" thickTop="1" thickBot="1" x14ac:dyDescent="0.25">
      <c r="A307" s="329" t="s">
        <v>809</v>
      </c>
      <c r="B307" s="329" t="s">
        <v>694</v>
      </c>
      <c r="C307" s="140"/>
      <c r="D307" s="140" t="s">
        <v>797</v>
      </c>
      <c r="E307" s="328">
        <f>'d3'!E307-d3М!E302</f>
        <v>0</v>
      </c>
      <c r="F307" s="328">
        <f>'d3'!F307-d3М!F302</f>
        <v>0</v>
      </c>
      <c r="G307" s="328">
        <f>'d3'!G307-d3М!G302</f>
        <v>0</v>
      </c>
      <c r="H307" s="328">
        <f>'d3'!H307-d3М!H302</f>
        <v>0</v>
      </c>
      <c r="I307" s="328">
        <f>'d3'!I307-d3М!I302</f>
        <v>0</v>
      </c>
      <c r="J307" s="328">
        <f>'d3'!J307-d3М!J302</f>
        <v>0</v>
      </c>
      <c r="K307" s="328">
        <f>'d3'!K307-d3М!K302</f>
        <v>0</v>
      </c>
      <c r="L307" s="328">
        <f>'d3'!L307-d3М!L302</f>
        <v>0</v>
      </c>
      <c r="M307" s="328">
        <f>'d3'!M307-d3М!M302</f>
        <v>0</v>
      </c>
      <c r="N307" s="328">
        <f>'d3'!N307-d3М!N302</f>
        <v>0</v>
      </c>
      <c r="O307" s="328">
        <f>'d3'!O307-d3М!O302</f>
        <v>0</v>
      </c>
      <c r="P307" s="328">
        <f>'d3'!P307-d3М!P302</f>
        <v>0</v>
      </c>
      <c r="Q307" s="20"/>
      <c r="R307" s="50"/>
    </row>
    <row r="308" spans="1:18" ht="211.5" hidden="1" customHeight="1" thickTop="1" thickBot="1" x14ac:dyDescent="0.7">
      <c r="A308" s="796" t="s">
        <v>552</v>
      </c>
      <c r="B308" s="796" t="s">
        <v>338</v>
      </c>
      <c r="C308" s="797" t="s">
        <v>170</v>
      </c>
      <c r="D308" s="155" t="s">
        <v>440</v>
      </c>
      <c r="E308" s="328">
        <f>'d3'!E308-d3М!E303</f>
        <v>0</v>
      </c>
      <c r="F308" s="328">
        <f>'d3'!F308-d3М!F303</f>
        <v>0</v>
      </c>
      <c r="G308" s="328">
        <f>'d3'!G308-d3М!G303</f>
        <v>0</v>
      </c>
      <c r="H308" s="328">
        <f>'d3'!H308-d3М!H303</f>
        <v>0</v>
      </c>
      <c r="I308" s="328">
        <f>'d3'!I308-d3М!I303</f>
        <v>0</v>
      </c>
      <c r="J308" s="328">
        <f>'d3'!J308-d3М!J303</f>
        <v>0</v>
      </c>
      <c r="K308" s="328">
        <f>'d3'!K308-d3М!K303</f>
        <v>0</v>
      </c>
      <c r="L308" s="328">
        <f>'d3'!L308-d3М!L303</f>
        <v>0</v>
      </c>
      <c r="M308" s="328">
        <f>'d3'!M308-d3М!M303</f>
        <v>0</v>
      </c>
      <c r="N308" s="328">
        <f>'d3'!N308-d3М!N303</f>
        <v>0</v>
      </c>
      <c r="O308" s="328">
        <f>'d3'!O308-d3М!O303</f>
        <v>0</v>
      </c>
      <c r="P308" s="328">
        <f>'d3'!P308-d3М!P303</f>
        <v>0</v>
      </c>
      <c r="Q308" s="20"/>
      <c r="R308" s="50"/>
    </row>
    <row r="309" spans="1:18" ht="130.5" hidden="1" customHeight="1" thickTop="1" thickBot="1" x14ac:dyDescent="0.25">
      <c r="A309" s="796"/>
      <c r="B309" s="796"/>
      <c r="C309" s="797"/>
      <c r="D309" s="156" t="s">
        <v>441</v>
      </c>
      <c r="E309" s="328">
        <f>'d3'!E309-d3М!E304</f>
        <v>0</v>
      </c>
      <c r="F309" s="328">
        <f>'d3'!F309-d3М!F304</f>
        <v>0</v>
      </c>
      <c r="G309" s="328">
        <f>'d3'!G309-d3М!G304</f>
        <v>0</v>
      </c>
      <c r="H309" s="328">
        <f>'d3'!H309-d3М!H304</f>
        <v>0</v>
      </c>
      <c r="I309" s="328">
        <f>'d3'!I309-d3М!I304</f>
        <v>0</v>
      </c>
      <c r="J309" s="328">
        <f>'d3'!J309-d3М!J304</f>
        <v>0</v>
      </c>
      <c r="K309" s="328">
        <f>'d3'!K309-d3М!K304</f>
        <v>0</v>
      </c>
      <c r="L309" s="328">
        <f>'d3'!L309-d3М!L304</f>
        <v>0</v>
      </c>
      <c r="M309" s="328">
        <f>'d3'!M309-d3М!M304</f>
        <v>0</v>
      </c>
      <c r="N309" s="328">
        <f>'d3'!N309-d3М!N304</f>
        <v>0</v>
      </c>
      <c r="O309" s="328">
        <f>'d3'!O309-d3М!O304</f>
        <v>0</v>
      </c>
      <c r="P309" s="328">
        <f>'d3'!P309-d3М!P304</f>
        <v>0</v>
      </c>
      <c r="Q309" s="20"/>
      <c r="R309" s="50"/>
    </row>
    <row r="310" spans="1:18" ht="39" hidden="1" customHeight="1" thickTop="1" thickBot="1" x14ac:dyDescent="0.25">
      <c r="A310" s="103" t="s">
        <v>1183</v>
      </c>
      <c r="B310" s="103" t="s">
        <v>257</v>
      </c>
      <c r="C310" s="128" t="s">
        <v>170</v>
      </c>
      <c r="D310" s="156" t="s">
        <v>255</v>
      </c>
      <c r="E310" s="328">
        <f>'d3'!E310-d3М!E305</f>
        <v>0</v>
      </c>
      <c r="F310" s="328">
        <f>'d3'!F310-d3М!F305</f>
        <v>0</v>
      </c>
      <c r="G310" s="328">
        <f>'d3'!G310-d3М!G305</f>
        <v>0</v>
      </c>
      <c r="H310" s="328">
        <f>'d3'!H310-d3М!H305</f>
        <v>0</v>
      </c>
      <c r="I310" s="328">
        <f>'d3'!I310-d3М!I305</f>
        <v>0</v>
      </c>
      <c r="J310" s="328">
        <f>'d3'!J310-d3М!J305</f>
        <v>0</v>
      </c>
      <c r="K310" s="328">
        <f>'d3'!K310-d3М!K305</f>
        <v>0</v>
      </c>
      <c r="L310" s="328">
        <f>'d3'!L310-d3М!L305</f>
        <v>0</v>
      </c>
      <c r="M310" s="328">
        <f>'d3'!M310-d3М!M305</f>
        <v>0</v>
      </c>
      <c r="N310" s="328">
        <f>'d3'!N310-d3М!N305</f>
        <v>0</v>
      </c>
      <c r="O310" s="328">
        <f>'d3'!O310-d3М!O305</f>
        <v>0</v>
      </c>
      <c r="P310" s="328">
        <f>'d3'!P310-d3М!P305</f>
        <v>0</v>
      </c>
      <c r="Q310" s="20"/>
      <c r="R310" s="50"/>
    </row>
    <row r="311" spans="1:18" ht="47.25" thickTop="1" thickBot="1" x14ac:dyDescent="0.25">
      <c r="A311" s="311" t="s">
        <v>810</v>
      </c>
      <c r="B311" s="311" t="s">
        <v>696</v>
      </c>
      <c r="C311" s="311"/>
      <c r="D311" s="471" t="s">
        <v>697</v>
      </c>
      <c r="E311" s="328">
        <f>'d3'!E311-d3М!E306</f>
        <v>0</v>
      </c>
      <c r="F311" s="328">
        <f>'d3'!F311-d3М!F306</f>
        <v>0</v>
      </c>
      <c r="G311" s="328">
        <f>'d3'!G311-d3М!G306</f>
        <v>0</v>
      </c>
      <c r="H311" s="328">
        <f>'d3'!H311-d3М!H306</f>
        <v>0</v>
      </c>
      <c r="I311" s="328">
        <f>'d3'!I311-d3М!I306</f>
        <v>0</v>
      </c>
      <c r="J311" s="328">
        <f>'d3'!J311-d3М!J306</f>
        <v>0</v>
      </c>
      <c r="K311" s="328">
        <f>'d3'!K311-d3М!K306</f>
        <v>0</v>
      </c>
      <c r="L311" s="328">
        <f>'d3'!L311-d3М!L306</f>
        <v>0</v>
      </c>
      <c r="M311" s="328">
        <f>'d3'!M311-d3М!M306</f>
        <v>0</v>
      </c>
      <c r="N311" s="328">
        <f>'d3'!N311-d3М!N306</f>
        <v>0</v>
      </c>
      <c r="O311" s="328">
        <f>'d3'!O311-d3М!O306</f>
        <v>0</v>
      </c>
      <c r="P311" s="328">
        <f>'d3'!P311-d3М!P306</f>
        <v>0</v>
      </c>
      <c r="Q311" s="20"/>
      <c r="R311" s="50"/>
    </row>
    <row r="312" spans="1:18" ht="47.25" thickTop="1" thickBot="1" x14ac:dyDescent="0.25">
      <c r="A312" s="313" t="s">
        <v>811</v>
      </c>
      <c r="B312" s="313" t="s">
        <v>812</v>
      </c>
      <c r="C312" s="313"/>
      <c r="D312" s="356" t="s">
        <v>1281</v>
      </c>
      <c r="E312" s="328">
        <f>'d3'!E312-d3М!E307</f>
        <v>0</v>
      </c>
      <c r="F312" s="328">
        <f>'d3'!F312-d3М!F307</f>
        <v>0</v>
      </c>
      <c r="G312" s="328">
        <f>'d3'!G312-d3М!G307</f>
        <v>0</v>
      </c>
      <c r="H312" s="328">
        <f>'d3'!H312-d3М!H307</f>
        <v>0</v>
      </c>
      <c r="I312" s="328">
        <f>'d3'!I312-d3М!I307</f>
        <v>0</v>
      </c>
      <c r="J312" s="328">
        <f>'d3'!J312-d3М!J307</f>
        <v>0</v>
      </c>
      <c r="K312" s="328">
        <f>'d3'!K312-d3М!K307</f>
        <v>0</v>
      </c>
      <c r="L312" s="328">
        <f>'d3'!L312-d3М!L307</f>
        <v>0</v>
      </c>
      <c r="M312" s="328">
        <f>'d3'!M312-d3М!M307</f>
        <v>0</v>
      </c>
      <c r="N312" s="328">
        <f>'d3'!N312-d3М!N307</f>
        <v>0</v>
      </c>
      <c r="O312" s="328">
        <f>'d3'!O312-d3М!O307</f>
        <v>0</v>
      </c>
      <c r="P312" s="328">
        <f>'d3'!P312-d3М!P307</f>
        <v>0</v>
      </c>
      <c r="Q312" s="20"/>
      <c r="R312" s="50"/>
    </row>
    <row r="313" spans="1:18" ht="93" thickTop="1" thickBot="1" x14ac:dyDescent="0.25">
      <c r="A313" s="103" t="s">
        <v>553</v>
      </c>
      <c r="B313" s="103" t="s">
        <v>518</v>
      </c>
      <c r="C313" s="103" t="s">
        <v>251</v>
      </c>
      <c r="D313" s="103" t="s">
        <v>519</v>
      </c>
      <c r="E313" s="328">
        <f>'d3'!E313-d3М!E308</f>
        <v>0</v>
      </c>
      <c r="F313" s="328">
        <f>'d3'!F313-d3М!F308</f>
        <v>0</v>
      </c>
      <c r="G313" s="328">
        <f>'d3'!G313-d3М!G308</f>
        <v>0</v>
      </c>
      <c r="H313" s="328">
        <f>'d3'!H313-d3М!H308</f>
        <v>0</v>
      </c>
      <c r="I313" s="328">
        <f>'d3'!I313-d3М!I308</f>
        <v>0</v>
      </c>
      <c r="J313" s="328">
        <f>'d3'!J313-d3М!J308</f>
        <v>0</v>
      </c>
      <c r="K313" s="328">
        <f>'d3'!K313-d3М!K308</f>
        <v>0</v>
      </c>
      <c r="L313" s="328">
        <f>'d3'!L313-d3М!L308</f>
        <v>0</v>
      </c>
      <c r="M313" s="328">
        <f>'d3'!M313-d3М!M308</f>
        <v>0</v>
      </c>
      <c r="N313" s="328">
        <f>'d3'!N313-d3М!N308</f>
        <v>0</v>
      </c>
      <c r="O313" s="328">
        <f>'d3'!O313-d3М!O308</f>
        <v>0</v>
      </c>
      <c r="P313" s="328">
        <f>'d3'!P313-d3М!P308</f>
        <v>0</v>
      </c>
      <c r="Q313" s="20"/>
      <c r="R313" s="50"/>
    </row>
    <row r="314" spans="1:18" ht="47.25" thickTop="1" thickBot="1" x14ac:dyDescent="0.25">
      <c r="A314" s="103" t="s">
        <v>554</v>
      </c>
      <c r="B314" s="103" t="s">
        <v>250</v>
      </c>
      <c r="C314" s="103" t="s">
        <v>251</v>
      </c>
      <c r="D314" s="103" t="s">
        <v>249</v>
      </c>
      <c r="E314" s="328">
        <f>'d3'!E314-d3М!E309</f>
        <v>0</v>
      </c>
      <c r="F314" s="328">
        <f>'d3'!F314-d3М!F309</f>
        <v>0</v>
      </c>
      <c r="G314" s="328">
        <f>'d3'!G314-d3М!G309</f>
        <v>0</v>
      </c>
      <c r="H314" s="328">
        <f>'d3'!H314-d3М!H309</f>
        <v>0</v>
      </c>
      <c r="I314" s="328">
        <f>'d3'!I314-d3М!I309</f>
        <v>0</v>
      </c>
      <c r="J314" s="328">
        <f>'d3'!J314-d3М!J309</f>
        <v>0</v>
      </c>
      <c r="K314" s="328">
        <f>'d3'!K314-d3М!K309</f>
        <v>0</v>
      </c>
      <c r="L314" s="328">
        <f>'d3'!L314-d3М!L309</f>
        <v>0</v>
      </c>
      <c r="M314" s="328">
        <f>'d3'!M314-d3М!M309</f>
        <v>0</v>
      </c>
      <c r="N314" s="328">
        <f>'d3'!N314-d3М!N309</f>
        <v>0</v>
      </c>
      <c r="O314" s="328">
        <f>'d3'!O314-d3М!O309</f>
        <v>0</v>
      </c>
      <c r="P314" s="328">
        <f>'d3'!P314-d3М!P309</f>
        <v>0</v>
      </c>
      <c r="Q314" s="20"/>
      <c r="R314" s="46"/>
    </row>
    <row r="315" spans="1:18" ht="48" hidden="1" thickTop="1" thickBot="1" x14ac:dyDescent="0.25">
      <c r="A315" s="41" t="s">
        <v>555</v>
      </c>
      <c r="B315" s="41" t="s">
        <v>556</v>
      </c>
      <c r="C315" s="41" t="s">
        <v>251</v>
      </c>
      <c r="D315" s="41" t="s">
        <v>557</v>
      </c>
      <c r="E315" s="160">
        <f t="shared" ref="E315" si="69">F315</f>
        <v>0</v>
      </c>
      <c r="F315" s="161">
        <f>(1219000)-1219000</f>
        <v>0</v>
      </c>
      <c r="G315" s="161">
        <f>(354000+540000)-894000</f>
        <v>0</v>
      </c>
      <c r="H315" s="161">
        <f>(6000+3000)-9000</f>
        <v>0</v>
      </c>
      <c r="I315" s="161"/>
      <c r="J315" s="42">
        <f>L315+O315</f>
        <v>0</v>
      </c>
      <c r="K315" s="43"/>
      <c r="L315" s="161"/>
      <c r="M315" s="161"/>
      <c r="N315" s="161"/>
      <c r="O315" s="44">
        <f>K315</f>
        <v>0</v>
      </c>
      <c r="P315" s="42">
        <f>E315+J315</f>
        <v>0</v>
      </c>
      <c r="Q315" s="20"/>
      <c r="R315" s="50"/>
    </row>
    <row r="316" spans="1:18" ht="47.25" hidden="1" thickTop="1" thickBot="1" x14ac:dyDescent="0.25">
      <c r="A316" s="125" t="s">
        <v>1483</v>
      </c>
      <c r="B316" s="125" t="s">
        <v>702</v>
      </c>
      <c r="C316" s="125"/>
      <c r="D316" s="125" t="s">
        <v>703</v>
      </c>
      <c r="E316" s="127">
        <f>E317</f>
        <v>0</v>
      </c>
      <c r="F316" s="127">
        <f t="shared" ref="F316:P317" si="70">F317</f>
        <v>0</v>
      </c>
      <c r="G316" s="127">
        <f t="shared" si="70"/>
        <v>0</v>
      </c>
      <c r="H316" s="127">
        <f t="shared" si="70"/>
        <v>0</v>
      </c>
      <c r="I316" s="127">
        <f t="shared" si="70"/>
        <v>0</v>
      </c>
      <c r="J316" s="127">
        <f t="shared" si="70"/>
        <v>0</v>
      </c>
      <c r="K316" s="127">
        <f t="shared" si="70"/>
        <v>0</v>
      </c>
      <c r="L316" s="127">
        <f t="shared" si="70"/>
        <v>0</v>
      </c>
      <c r="M316" s="127">
        <f t="shared" si="70"/>
        <v>0</v>
      </c>
      <c r="N316" s="127">
        <f t="shared" si="70"/>
        <v>0</v>
      </c>
      <c r="O316" s="127">
        <f t="shared" si="70"/>
        <v>0</v>
      </c>
      <c r="P316" s="127">
        <f t="shared" si="70"/>
        <v>0</v>
      </c>
      <c r="Q316" s="20"/>
      <c r="R316" s="50"/>
    </row>
    <row r="317" spans="1:18" ht="91.5" hidden="1" thickTop="1" thickBot="1" x14ac:dyDescent="0.25">
      <c r="A317" s="136" t="s">
        <v>1484</v>
      </c>
      <c r="B317" s="136" t="s">
        <v>705</v>
      </c>
      <c r="C317" s="136"/>
      <c r="D317" s="136" t="s">
        <v>706</v>
      </c>
      <c r="E317" s="137">
        <f>E318</f>
        <v>0</v>
      </c>
      <c r="F317" s="137">
        <f t="shared" si="70"/>
        <v>0</v>
      </c>
      <c r="G317" s="137">
        <f t="shared" si="70"/>
        <v>0</v>
      </c>
      <c r="H317" s="137">
        <f t="shared" si="70"/>
        <v>0</v>
      </c>
      <c r="I317" s="137">
        <f t="shared" si="70"/>
        <v>0</v>
      </c>
      <c r="J317" s="137">
        <f t="shared" si="70"/>
        <v>0</v>
      </c>
      <c r="K317" s="137">
        <f t="shared" si="70"/>
        <v>0</v>
      </c>
      <c r="L317" s="137">
        <f t="shared" si="70"/>
        <v>0</v>
      </c>
      <c r="M317" s="137">
        <f t="shared" si="70"/>
        <v>0</v>
      </c>
      <c r="N317" s="137">
        <f t="shared" si="70"/>
        <v>0</v>
      </c>
      <c r="O317" s="137">
        <f t="shared" si="70"/>
        <v>0</v>
      </c>
      <c r="P317" s="137">
        <f t="shared" si="70"/>
        <v>0</v>
      </c>
      <c r="Q317" s="20"/>
      <c r="R317" s="50"/>
    </row>
    <row r="318" spans="1:18" ht="48" hidden="1" thickTop="1" thickBot="1" x14ac:dyDescent="0.25">
      <c r="A318" s="128" t="s">
        <v>1485</v>
      </c>
      <c r="B318" s="128" t="s">
        <v>363</v>
      </c>
      <c r="C318" s="128" t="s">
        <v>43</v>
      </c>
      <c r="D318" s="128" t="s">
        <v>364</v>
      </c>
      <c r="E318" s="127">
        <f t="shared" ref="E318" si="71">F318</f>
        <v>0</v>
      </c>
      <c r="F318" s="134"/>
      <c r="G318" s="134"/>
      <c r="H318" s="134"/>
      <c r="I318" s="134"/>
      <c r="J318" s="127">
        <f>L318+O318</f>
        <v>0</v>
      </c>
      <c r="K318" s="134">
        <v>0</v>
      </c>
      <c r="L318" s="134"/>
      <c r="M318" s="134"/>
      <c r="N318" s="134"/>
      <c r="O318" s="132">
        <f>K318</f>
        <v>0</v>
      </c>
      <c r="P318" s="127">
        <f>E318+J318</f>
        <v>0</v>
      </c>
      <c r="Q318" s="20"/>
      <c r="R318" s="50"/>
    </row>
    <row r="319" spans="1:18" ht="120" customHeight="1" thickTop="1" thickBot="1" x14ac:dyDescent="0.25">
      <c r="A319" s="661" t="s">
        <v>25</v>
      </c>
      <c r="B319" s="661"/>
      <c r="C319" s="661"/>
      <c r="D319" s="662" t="s">
        <v>1347</v>
      </c>
      <c r="E319" s="663">
        <f>E320</f>
        <v>0</v>
      </c>
      <c r="F319" s="664">
        <f t="shared" ref="F319:G319" si="72">F320</f>
        <v>0</v>
      </c>
      <c r="G319" s="664">
        <f t="shared" si="72"/>
        <v>0</v>
      </c>
      <c r="H319" s="664">
        <f>H320</f>
        <v>0</v>
      </c>
      <c r="I319" s="664">
        <f t="shared" ref="I319" si="73">I320</f>
        <v>0</v>
      </c>
      <c r="J319" s="663">
        <f>J320</f>
        <v>18778642</v>
      </c>
      <c r="K319" s="664">
        <f>K320</f>
        <v>18778642</v>
      </c>
      <c r="L319" s="664">
        <f>L320</f>
        <v>0</v>
      </c>
      <c r="M319" s="664">
        <f t="shared" ref="M319" si="74">M320</f>
        <v>0</v>
      </c>
      <c r="N319" s="664">
        <f>N320</f>
        <v>0</v>
      </c>
      <c r="O319" s="663">
        <f>O320</f>
        <v>18778642</v>
      </c>
      <c r="P319" s="664">
        <f t="shared" ref="P319" si="75">P320</f>
        <v>18778642</v>
      </c>
      <c r="Q319" s="20"/>
    </row>
    <row r="320" spans="1:18" ht="120" customHeight="1" thickTop="1" thickBot="1" x14ac:dyDescent="0.25">
      <c r="A320" s="658" t="s">
        <v>26</v>
      </c>
      <c r="B320" s="658"/>
      <c r="C320" s="658"/>
      <c r="D320" s="659" t="s">
        <v>892</v>
      </c>
      <c r="E320" s="660">
        <f>E321+E327+E330+E325</f>
        <v>0</v>
      </c>
      <c r="F320" s="660">
        <f>F321+F327+F330+F325</f>
        <v>0</v>
      </c>
      <c r="G320" s="660">
        <f>G321+G327+G330+G325</f>
        <v>0</v>
      </c>
      <c r="H320" s="660">
        <f>H321+H327+H330+H325</f>
        <v>0</v>
      </c>
      <c r="I320" s="660">
        <f>I321+I327+I330+I325</f>
        <v>0</v>
      </c>
      <c r="J320" s="660">
        <f>L320+O320</f>
        <v>18778642</v>
      </c>
      <c r="K320" s="660">
        <f>K321+K327+K330+K325</f>
        <v>18778642</v>
      </c>
      <c r="L320" s="660">
        <f>L321+L327+L330+L325</f>
        <v>0</v>
      </c>
      <c r="M320" s="660">
        <f>M321+M327+M330+M325</f>
        <v>0</v>
      </c>
      <c r="N320" s="660">
        <f>N321+N327+N330+N325</f>
        <v>0</v>
      </c>
      <c r="O320" s="660">
        <f>O321+O327+O330+O325</f>
        <v>18778642</v>
      </c>
      <c r="P320" s="660">
        <f>E320+J320</f>
        <v>18778642</v>
      </c>
      <c r="Q320" s="503" t="b">
        <f>P320=P322+P334+P337+P326</f>
        <v>0</v>
      </c>
      <c r="R320" s="46"/>
    </row>
    <row r="321" spans="1:18" ht="47.25" thickTop="1" thickBot="1" x14ac:dyDescent="0.25">
      <c r="A321" s="311" t="s">
        <v>813</v>
      </c>
      <c r="B321" s="311" t="s">
        <v>684</v>
      </c>
      <c r="C321" s="311"/>
      <c r="D321" s="311" t="s">
        <v>685</v>
      </c>
      <c r="E321" s="328">
        <f>'d3'!E321-d3М!E316</f>
        <v>0</v>
      </c>
      <c r="F321" s="328">
        <f>'d3'!F321-d3М!F316</f>
        <v>0</v>
      </c>
      <c r="G321" s="328">
        <f>'d3'!G321-d3М!G316</f>
        <v>0</v>
      </c>
      <c r="H321" s="328">
        <f>'d3'!H321-d3М!H316</f>
        <v>0</v>
      </c>
      <c r="I321" s="328">
        <f>'d3'!I321-d3М!I316</f>
        <v>0</v>
      </c>
      <c r="J321" s="328">
        <f>'d3'!J321-d3М!J316</f>
        <v>0</v>
      </c>
      <c r="K321" s="328">
        <f>'d3'!K321-d3М!K316</f>
        <v>0</v>
      </c>
      <c r="L321" s="328">
        <f>'d3'!L321-d3М!L316</f>
        <v>0</v>
      </c>
      <c r="M321" s="328">
        <f>'d3'!M321-d3М!M316</f>
        <v>0</v>
      </c>
      <c r="N321" s="328">
        <f>'d3'!N321-d3М!N316</f>
        <v>0</v>
      </c>
      <c r="O321" s="328">
        <f>'d3'!O321-d3М!O316</f>
        <v>0</v>
      </c>
      <c r="P321" s="328">
        <f>'d3'!P321-d3М!P316</f>
        <v>0</v>
      </c>
      <c r="Q321" s="47"/>
      <c r="R321" s="46"/>
    </row>
    <row r="322" spans="1:18" ht="93" thickTop="1" thickBot="1" x14ac:dyDescent="0.25">
      <c r="A322" s="103" t="s">
        <v>417</v>
      </c>
      <c r="B322" s="103" t="s">
        <v>236</v>
      </c>
      <c r="C322" s="103" t="s">
        <v>234</v>
      </c>
      <c r="D322" s="103" t="s">
        <v>235</v>
      </c>
      <c r="E322" s="328">
        <f>'d3'!E322-d3М!E317</f>
        <v>0</v>
      </c>
      <c r="F322" s="328">
        <f>'d3'!F322-d3М!F317</f>
        <v>0</v>
      </c>
      <c r="G322" s="328">
        <f>'d3'!G322-d3М!G317</f>
        <v>0</v>
      </c>
      <c r="H322" s="328">
        <f>'d3'!H322-d3М!H317</f>
        <v>0</v>
      </c>
      <c r="I322" s="328">
        <f>'d3'!I322-d3М!I317</f>
        <v>0</v>
      </c>
      <c r="J322" s="328">
        <f>'d3'!J322-d3М!J317</f>
        <v>0</v>
      </c>
      <c r="K322" s="328">
        <f>'d3'!K322-d3М!K317</f>
        <v>0</v>
      </c>
      <c r="L322" s="328">
        <f>'d3'!L322-d3М!L317</f>
        <v>0</v>
      </c>
      <c r="M322" s="328">
        <f>'d3'!M322-d3М!M317</f>
        <v>0</v>
      </c>
      <c r="N322" s="328">
        <f>'d3'!N322-d3М!N317</f>
        <v>0</v>
      </c>
      <c r="O322" s="328">
        <f>'d3'!O322-d3М!O317</f>
        <v>0</v>
      </c>
      <c r="P322" s="328">
        <f>'d3'!P322-d3М!P317</f>
        <v>0</v>
      </c>
      <c r="Q322" s="47"/>
      <c r="R322" s="50"/>
    </row>
    <row r="323" spans="1:18" ht="93" hidden="1" thickTop="1" thickBot="1" x14ac:dyDescent="0.25">
      <c r="A323" s="128" t="s">
        <v>630</v>
      </c>
      <c r="B323" s="128" t="s">
        <v>362</v>
      </c>
      <c r="C323" s="128" t="s">
        <v>625</v>
      </c>
      <c r="D323" s="128" t="s">
        <v>626</v>
      </c>
      <c r="E323" s="328">
        <f>'d3'!E323-d3М!E318</f>
        <v>0</v>
      </c>
      <c r="F323" s="328">
        <f>'d3'!F323-d3М!F318</f>
        <v>0</v>
      </c>
      <c r="G323" s="328">
        <f>'d3'!G323-d3М!G318</f>
        <v>0</v>
      </c>
      <c r="H323" s="328">
        <f>'d3'!H323-d3М!H318</f>
        <v>0</v>
      </c>
      <c r="I323" s="328">
        <f>'d3'!I323-d3М!I318</f>
        <v>0</v>
      </c>
      <c r="J323" s="328">
        <f>'d3'!J323-d3М!J318</f>
        <v>0</v>
      </c>
      <c r="K323" s="328">
        <f>'d3'!K323-d3М!K318</f>
        <v>0</v>
      </c>
      <c r="L323" s="328">
        <f>'d3'!L323-d3М!L318</f>
        <v>0</v>
      </c>
      <c r="M323" s="328">
        <f>'d3'!M323-d3М!M318</f>
        <v>0</v>
      </c>
      <c r="N323" s="328">
        <f>'d3'!N323-d3М!N318</f>
        <v>0</v>
      </c>
      <c r="O323" s="328">
        <f>'d3'!O323-d3М!O318</f>
        <v>0</v>
      </c>
      <c r="P323" s="328">
        <f>'d3'!P323-d3М!P318</f>
        <v>0</v>
      </c>
      <c r="Q323" s="47"/>
      <c r="R323" s="50"/>
    </row>
    <row r="324" spans="1:18" ht="47.25" hidden="1" thickTop="1" thickBot="1" x14ac:dyDescent="0.25">
      <c r="A324" s="128" t="s">
        <v>928</v>
      </c>
      <c r="B324" s="128" t="s">
        <v>43</v>
      </c>
      <c r="C324" s="128" t="s">
        <v>42</v>
      </c>
      <c r="D324" s="128" t="s">
        <v>248</v>
      </c>
      <c r="E324" s="328">
        <f>'d3'!E324-d3М!E319</f>
        <v>0</v>
      </c>
      <c r="F324" s="328">
        <f>'d3'!F324-d3М!F319</f>
        <v>0</v>
      </c>
      <c r="G324" s="328">
        <f>'d3'!G324-d3М!G319</f>
        <v>0</v>
      </c>
      <c r="H324" s="328">
        <f>'d3'!H324-d3М!H319</f>
        <v>0</v>
      </c>
      <c r="I324" s="328">
        <f>'d3'!I324-d3М!I319</f>
        <v>0</v>
      </c>
      <c r="J324" s="328">
        <f>'d3'!J324-d3М!J319</f>
        <v>0</v>
      </c>
      <c r="K324" s="328">
        <f>'d3'!K324-d3М!K319</f>
        <v>0</v>
      </c>
      <c r="L324" s="328">
        <f>'d3'!L324-d3М!L319</f>
        <v>0</v>
      </c>
      <c r="M324" s="328">
        <f>'d3'!M324-d3М!M319</f>
        <v>0</v>
      </c>
      <c r="N324" s="328">
        <f>'d3'!N324-d3М!N319</f>
        <v>0</v>
      </c>
      <c r="O324" s="328">
        <f>'d3'!O324-d3М!O319</f>
        <v>0</v>
      </c>
      <c r="P324" s="328">
        <f>'d3'!P324-d3М!P319</f>
        <v>0</v>
      </c>
      <c r="Q324" s="47"/>
      <c r="R324" s="50"/>
    </row>
    <row r="325" spans="1:18" ht="47.25" thickTop="1" thickBot="1" x14ac:dyDescent="0.25">
      <c r="A325" s="311" t="s">
        <v>1235</v>
      </c>
      <c r="B325" s="311" t="s">
        <v>711</v>
      </c>
      <c r="C325" s="311"/>
      <c r="D325" s="311" t="s">
        <v>712</v>
      </c>
      <c r="E325" s="328">
        <f>'d3'!E325-d3М!E320</f>
        <v>0</v>
      </c>
      <c r="F325" s="328">
        <f>'d3'!F325-d3М!F320</f>
        <v>0</v>
      </c>
      <c r="G325" s="328">
        <f>'d3'!G325-d3М!G320</f>
        <v>0</v>
      </c>
      <c r="H325" s="328">
        <f>'d3'!H325-d3М!H320</f>
        <v>0</v>
      </c>
      <c r="I325" s="328">
        <f>'d3'!I325-d3М!I320</f>
        <v>0</v>
      </c>
      <c r="J325" s="328">
        <f>'d3'!J325-d3М!J320</f>
        <v>6152064</v>
      </c>
      <c r="K325" s="328">
        <f>'d3'!K325-d3М!K320</f>
        <v>6152064</v>
      </c>
      <c r="L325" s="328">
        <f>'d3'!L325-d3М!L320</f>
        <v>0</v>
      </c>
      <c r="M325" s="328">
        <f>'d3'!M325-d3М!M320</f>
        <v>0</v>
      </c>
      <c r="N325" s="328">
        <f>'d3'!N325-d3М!N320</f>
        <v>0</v>
      </c>
      <c r="O325" s="328">
        <f>'d3'!O325-d3М!O320</f>
        <v>6152064</v>
      </c>
      <c r="P325" s="328">
        <f>'d3'!P325-d3М!P320</f>
        <v>6152064</v>
      </c>
      <c r="Q325" s="47"/>
      <c r="R325" s="50"/>
    </row>
    <row r="326" spans="1:18" ht="93" thickTop="1" thickBot="1" x14ac:dyDescent="0.25">
      <c r="A326" s="103" t="s">
        <v>1236</v>
      </c>
      <c r="B326" s="103" t="s">
        <v>1200</v>
      </c>
      <c r="C326" s="103" t="s">
        <v>206</v>
      </c>
      <c r="D326" s="470" t="s">
        <v>1201</v>
      </c>
      <c r="E326" s="328">
        <f>'d3'!E326-d3М!E321</f>
        <v>0</v>
      </c>
      <c r="F326" s="328">
        <f>'d3'!F326-d3М!F321</f>
        <v>0</v>
      </c>
      <c r="G326" s="328">
        <f>'d3'!G326-d3М!G321</f>
        <v>0</v>
      </c>
      <c r="H326" s="328">
        <f>'d3'!H326-d3М!H321</f>
        <v>0</v>
      </c>
      <c r="I326" s="328">
        <f>'d3'!I326-d3М!I321</f>
        <v>0</v>
      </c>
      <c r="J326" s="328">
        <f>'d3'!J326-d3М!J321</f>
        <v>6152064</v>
      </c>
      <c r="K326" s="328">
        <f>'d3'!K326-d3М!K321</f>
        <v>6152064</v>
      </c>
      <c r="L326" s="328">
        <f>'d3'!L326-d3М!L321</f>
        <v>0</v>
      </c>
      <c r="M326" s="328">
        <f>'d3'!M326-d3М!M321</f>
        <v>0</v>
      </c>
      <c r="N326" s="328">
        <f>'d3'!N326-d3М!N321</f>
        <v>0</v>
      </c>
      <c r="O326" s="328">
        <f>'d3'!O326-d3М!O321</f>
        <v>6152064</v>
      </c>
      <c r="P326" s="328">
        <f>'d3'!P326-d3М!P321</f>
        <v>6152064</v>
      </c>
      <c r="Q326" s="47"/>
      <c r="R326" s="50"/>
    </row>
    <row r="327" spans="1:18" ht="47.25" hidden="1" thickTop="1" thickBot="1" x14ac:dyDescent="0.25">
      <c r="A327" s="125" t="s">
        <v>814</v>
      </c>
      <c r="B327" s="125" t="s">
        <v>770</v>
      </c>
      <c r="C327" s="128"/>
      <c r="D327" s="125" t="s">
        <v>771</v>
      </c>
      <c r="E327" s="328">
        <f>'d3'!E327-d3М!E322</f>
        <v>0</v>
      </c>
      <c r="F327" s="328">
        <f>'d3'!F327-d3М!F322</f>
        <v>0</v>
      </c>
      <c r="G327" s="328">
        <f>'d3'!G327-d3М!G322</f>
        <v>0</v>
      </c>
      <c r="H327" s="328">
        <f>'d3'!H327-d3М!H322</f>
        <v>0</v>
      </c>
      <c r="I327" s="328">
        <f>'d3'!I327-d3М!I322</f>
        <v>0</v>
      </c>
      <c r="J327" s="328">
        <f>'d3'!J327-d3М!J322</f>
        <v>0</v>
      </c>
      <c r="K327" s="328">
        <f>'d3'!K327-d3М!K322</f>
        <v>0</v>
      </c>
      <c r="L327" s="328">
        <f>'d3'!L327-d3М!L322</f>
        <v>0</v>
      </c>
      <c r="M327" s="328">
        <f>'d3'!M327-d3М!M322</f>
        <v>0</v>
      </c>
      <c r="N327" s="328">
        <f>'d3'!N327-d3М!N322</f>
        <v>0</v>
      </c>
      <c r="O327" s="328">
        <f>'d3'!O327-d3М!O322</f>
        <v>0</v>
      </c>
      <c r="P327" s="328">
        <f>'d3'!P327-d3М!P322</f>
        <v>0</v>
      </c>
      <c r="Q327" s="47"/>
      <c r="R327" s="50"/>
    </row>
    <row r="328" spans="1:18" ht="47.25" hidden="1" thickTop="1" thickBot="1" x14ac:dyDescent="0.25">
      <c r="A328" s="140" t="s">
        <v>815</v>
      </c>
      <c r="B328" s="140" t="s">
        <v>816</v>
      </c>
      <c r="C328" s="140"/>
      <c r="D328" s="140" t="s">
        <v>817</v>
      </c>
      <c r="E328" s="328">
        <f>'d3'!E328-d3М!E323</f>
        <v>0</v>
      </c>
      <c r="F328" s="328">
        <f>'d3'!F328-d3М!F323</f>
        <v>0</v>
      </c>
      <c r="G328" s="328">
        <f>'d3'!G328-d3М!G323</f>
        <v>0</v>
      </c>
      <c r="H328" s="328">
        <f>'d3'!H328-d3М!H323</f>
        <v>0</v>
      </c>
      <c r="I328" s="328">
        <f>'d3'!I328-d3М!I323</f>
        <v>0</v>
      </c>
      <c r="J328" s="328">
        <f>'d3'!J328-d3М!J323</f>
        <v>0</v>
      </c>
      <c r="K328" s="328">
        <f>'d3'!K328-d3М!K323</f>
        <v>0</v>
      </c>
      <c r="L328" s="328">
        <f>'d3'!L328-d3М!L323</f>
        <v>0</v>
      </c>
      <c r="M328" s="328">
        <f>'d3'!M328-d3М!M323</f>
        <v>0</v>
      </c>
      <c r="N328" s="328">
        <f>'d3'!N328-d3М!N323</f>
        <v>0</v>
      </c>
      <c r="O328" s="328">
        <f>'d3'!O328-d3М!O323</f>
        <v>0</v>
      </c>
      <c r="P328" s="328">
        <f>'d3'!P328-d3М!P323</f>
        <v>0</v>
      </c>
      <c r="Q328" s="47"/>
      <c r="R328" s="50"/>
    </row>
    <row r="329" spans="1:18" ht="138.75" hidden="1" thickTop="1" thickBot="1" x14ac:dyDescent="0.25">
      <c r="A329" s="128" t="s">
        <v>433</v>
      </c>
      <c r="B329" s="128" t="s">
        <v>434</v>
      </c>
      <c r="C329" s="128" t="s">
        <v>195</v>
      </c>
      <c r="D329" s="128" t="s">
        <v>1178</v>
      </c>
      <c r="E329" s="328">
        <f>'d3'!E329-d3М!E324</f>
        <v>0</v>
      </c>
      <c r="F329" s="328">
        <f>'d3'!F329-d3М!F324</f>
        <v>0</v>
      </c>
      <c r="G329" s="328">
        <f>'d3'!G329-d3М!G324</f>
        <v>0</v>
      </c>
      <c r="H329" s="328">
        <f>'d3'!H329-d3М!H324</f>
        <v>0</v>
      </c>
      <c r="I329" s="328">
        <f>'d3'!I329-d3М!I324</f>
        <v>0</v>
      </c>
      <c r="J329" s="328">
        <f>'d3'!J329-d3М!J324</f>
        <v>0</v>
      </c>
      <c r="K329" s="328">
        <f>'d3'!K329-d3М!K324</f>
        <v>0</v>
      </c>
      <c r="L329" s="328">
        <f>'d3'!L329-d3М!L324</f>
        <v>0</v>
      </c>
      <c r="M329" s="328">
        <f>'d3'!M329-d3М!M324</f>
        <v>0</v>
      </c>
      <c r="N329" s="328">
        <f>'d3'!N329-d3М!N324</f>
        <v>0</v>
      </c>
      <c r="O329" s="328">
        <f>'d3'!O329-d3М!O324</f>
        <v>0</v>
      </c>
      <c r="P329" s="328">
        <f>'d3'!P329-d3М!P324</f>
        <v>0</v>
      </c>
      <c r="Q329" s="47"/>
      <c r="R329" s="46"/>
    </row>
    <row r="330" spans="1:18" ht="47.25" thickTop="1" thickBot="1" x14ac:dyDescent="0.25">
      <c r="A330" s="311" t="s">
        <v>818</v>
      </c>
      <c r="B330" s="311" t="s">
        <v>748</v>
      </c>
      <c r="C330" s="103"/>
      <c r="D330" s="311" t="s">
        <v>794</v>
      </c>
      <c r="E330" s="328">
        <f>'d3'!E330-d3М!E325</f>
        <v>0</v>
      </c>
      <c r="F330" s="328">
        <f>'d3'!F330-d3М!F325</f>
        <v>0</v>
      </c>
      <c r="G330" s="328">
        <f>'d3'!G330-d3М!G325</f>
        <v>0</v>
      </c>
      <c r="H330" s="328">
        <f>'d3'!H330-d3М!H325</f>
        <v>0</v>
      </c>
      <c r="I330" s="328">
        <f>'d3'!I330-d3М!I325</f>
        <v>0</v>
      </c>
      <c r="J330" s="328">
        <f>'d3'!J330-d3М!J325</f>
        <v>12626578</v>
      </c>
      <c r="K330" s="328">
        <f>'d3'!K330-d3М!K325</f>
        <v>12626578</v>
      </c>
      <c r="L330" s="328">
        <f>'d3'!L330-d3М!L325</f>
        <v>0</v>
      </c>
      <c r="M330" s="328">
        <f>'d3'!M330-d3М!M325</f>
        <v>0</v>
      </c>
      <c r="N330" s="328">
        <f>'d3'!N330-d3М!N325</f>
        <v>0</v>
      </c>
      <c r="O330" s="328">
        <f>'d3'!O330-d3М!O325</f>
        <v>12626578</v>
      </c>
      <c r="P330" s="328">
        <f>'d3'!P330-d3М!P325</f>
        <v>12626578</v>
      </c>
      <c r="Q330" s="45"/>
      <c r="R330" s="46"/>
    </row>
    <row r="331" spans="1:18" ht="47.25" thickTop="1" thickBot="1" x14ac:dyDescent="0.25">
      <c r="A331" s="313" t="s">
        <v>819</v>
      </c>
      <c r="B331" s="313" t="s">
        <v>803</v>
      </c>
      <c r="C331" s="313"/>
      <c r="D331" s="313" t="s">
        <v>804</v>
      </c>
      <c r="E331" s="328">
        <f>'d3'!E331-d3М!E326</f>
        <v>0</v>
      </c>
      <c r="F331" s="328">
        <f>'d3'!F331-d3М!F326</f>
        <v>0</v>
      </c>
      <c r="G331" s="328">
        <f>'d3'!G331-d3М!G326</f>
        <v>0</v>
      </c>
      <c r="H331" s="328">
        <f>'d3'!H331-d3М!H326</f>
        <v>0</v>
      </c>
      <c r="I331" s="328">
        <f>'d3'!I331-d3М!I326</f>
        <v>0</v>
      </c>
      <c r="J331" s="328">
        <f>'d3'!J331-d3М!J326</f>
        <v>12626578</v>
      </c>
      <c r="K331" s="328">
        <f>'d3'!K331-d3М!K326</f>
        <v>12626578</v>
      </c>
      <c r="L331" s="328">
        <f>'d3'!L331-d3М!L326</f>
        <v>0</v>
      </c>
      <c r="M331" s="328">
        <f>'d3'!M331-d3М!M326</f>
        <v>0</v>
      </c>
      <c r="N331" s="328">
        <f>'d3'!N331-d3М!N326</f>
        <v>0</v>
      </c>
      <c r="O331" s="328">
        <f>'d3'!O331-d3М!O326</f>
        <v>12626578</v>
      </c>
      <c r="P331" s="328">
        <f>'d3'!P331-d3М!P326</f>
        <v>12626578</v>
      </c>
      <c r="Q331" s="45"/>
      <c r="R331" s="46"/>
    </row>
    <row r="332" spans="1:18" ht="54" hidden="1" thickTop="1" thickBot="1" x14ac:dyDescent="0.25">
      <c r="A332" s="103" t="s">
        <v>927</v>
      </c>
      <c r="B332" s="103" t="s">
        <v>305</v>
      </c>
      <c r="C332" s="103" t="s">
        <v>304</v>
      </c>
      <c r="D332" s="103" t="s">
        <v>1502</v>
      </c>
      <c r="E332" s="328">
        <f>'d3'!E332-d3М!E327</f>
        <v>0</v>
      </c>
      <c r="F332" s="328">
        <f>'d3'!F332-d3М!F327</f>
        <v>0</v>
      </c>
      <c r="G332" s="328">
        <f>'d3'!G332-d3М!G327</f>
        <v>0</v>
      </c>
      <c r="H332" s="328">
        <f>'d3'!H332-d3М!H327</f>
        <v>0</v>
      </c>
      <c r="I332" s="328">
        <f>'d3'!I332-d3М!I327</f>
        <v>0</v>
      </c>
      <c r="J332" s="328">
        <f>'d3'!J332-d3М!J327</f>
        <v>0</v>
      </c>
      <c r="K332" s="328">
        <f>'d3'!K332-d3М!K327</f>
        <v>0</v>
      </c>
      <c r="L332" s="328">
        <f>'d3'!L332-d3М!L327</f>
        <v>0</v>
      </c>
      <c r="M332" s="328">
        <f>'d3'!M332-d3М!M327</f>
        <v>0</v>
      </c>
      <c r="N332" s="328">
        <f>'d3'!N332-d3М!N327</f>
        <v>0</v>
      </c>
      <c r="O332" s="328">
        <f>'d3'!O332-d3М!O327</f>
        <v>0</v>
      </c>
      <c r="P332" s="328">
        <f>'d3'!P332-d3М!P327</f>
        <v>0</v>
      </c>
      <c r="Q332" s="45"/>
      <c r="R332" s="46"/>
    </row>
    <row r="333" spans="1:18" ht="54.75" thickTop="1" thickBot="1" x14ac:dyDescent="0.25">
      <c r="A333" s="329" t="s">
        <v>820</v>
      </c>
      <c r="B333" s="329" t="s">
        <v>821</v>
      </c>
      <c r="C333" s="329"/>
      <c r="D333" s="329" t="s">
        <v>1508</v>
      </c>
      <c r="E333" s="328">
        <f>'d3'!E333-d3М!E328</f>
        <v>0</v>
      </c>
      <c r="F333" s="328">
        <f>'d3'!F333-d3М!F328</f>
        <v>0</v>
      </c>
      <c r="G333" s="328">
        <f>'d3'!G333-d3М!G328</f>
        <v>0</v>
      </c>
      <c r="H333" s="328">
        <f>'d3'!H333-d3М!H328</f>
        <v>0</v>
      </c>
      <c r="I333" s="328">
        <f>'d3'!I333-d3М!I328</f>
        <v>0</v>
      </c>
      <c r="J333" s="328">
        <f>'d3'!J333-d3М!J328</f>
        <v>10000000</v>
      </c>
      <c r="K333" s="328">
        <f>'d3'!K333-d3М!K328</f>
        <v>10000000</v>
      </c>
      <c r="L333" s="328">
        <f>'d3'!L333-d3М!L328</f>
        <v>0</v>
      </c>
      <c r="M333" s="328">
        <f>'d3'!M333-d3М!M328</f>
        <v>0</v>
      </c>
      <c r="N333" s="328">
        <f>'d3'!N333-d3М!N328</f>
        <v>0</v>
      </c>
      <c r="O333" s="328">
        <f>'d3'!O333-d3М!O328</f>
        <v>10000000</v>
      </c>
      <c r="P333" s="328">
        <f>'d3'!P333-d3М!P328</f>
        <v>10000000</v>
      </c>
      <c r="Q333" s="45"/>
      <c r="R333" s="46"/>
    </row>
    <row r="334" spans="1:18" ht="54" thickTop="1" thickBot="1" x14ac:dyDescent="0.25">
      <c r="A334" s="103" t="s">
        <v>310</v>
      </c>
      <c r="B334" s="103" t="s">
        <v>311</v>
      </c>
      <c r="C334" s="103" t="s">
        <v>304</v>
      </c>
      <c r="D334" s="103" t="s">
        <v>1504</v>
      </c>
      <c r="E334" s="328">
        <f>'d3'!E334-d3М!E329</f>
        <v>0</v>
      </c>
      <c r="F334" s="328">
        <f>'d3'!F334-d3М!F329</f>
        <v>0</v>
      </c>
      <c r="G334" s="328">
        <f>'d3'!G334-d3М!G329</f>
        <v>0</v>
      </c>
      <c r="H334" s="328">
        <f>'d3'!H334-d3М!H329</f>
        <v>0</v>
      </c>
      <c r="I334" s="328">
        <f>'d3'!I334-d3М!I329</f>
        <v>0</v>
      </c>
      <c r="J334" s="328">
        <f>'d3'!J334-d3М!J329</f>
        <v>9000000</v>
      </c>
      <c r="K334" s="328">
        <f>'d3'!K334-d3М!K329</f>
        <v>9000000</v>
      </c>
      <c r="L334" s="328">
        <f>'d3'!L334-d3М!L329</f>
        <v>0</v>
      </c>
      <c r="M334" s="328">
        <f>'d3'!M334-d3М!M329</f>
        <v>0</v>
      </c>
      <c r="N334" s="328">
        <f>'d3'!N334-d3М!N329</f>
        <v>0</v>
      </c>
      <c r="O334" s="328">
        <f>'d3'!O334-d3М!O329</f>
        <v>9000000</v>
      </c>
      <c r="P334" s="328">
        <f>'d3'!P334-d3М!P329</f>
        <v>9000000</v>
      </c>
      <c r="Q334" s="477"/>
      <c r="R334" s="46"/>
    </row>
    <row r="335" spans="1:18" ht="54" thickTop="1" thickBot="1" x14ac:dyDescent="0.25">
      <c r="A335" s="103" t="s">
        <v>516</v>
      </c>
      <c r="B335" s="103" t="s">
        <v>517</v>
      </c>
      <c r="C335" s="103" t="s">
        <v>304</v>
      </c>
      <c r="D335" s="103" t="s">
        <v>1509</v>
      </c>
      <c r="E335" s="328">
        <f>'d3'!E335-d3М!E330</f>
        <v>0</v>
      </c>
      <c r="F335" s="328">
        <f>'d3'!F335-d3М!F330</f>
        <v>0</v>
      </c>
      <c r="G335" s="328">
        <f>'d3'!G335-d3М!G330</f>
        <v>0</v>
      </c>
      <c r="H335" s="328">
        <f>'d3'!H335-d3М!H330</f>
        <v>0</v>
      </c>
      <c r="I335" s="328">
        <f>'d3'!I335-d3М!I330</f>
        <v>0</v>
      </c>
      <c r="J335" s="328">
        <f>'d3'!J335-d3М!J330</f>
        <v>1000000</v>
      </c>
      <c r="K335" s="328">
        <f>'d3'!K335-d3М!K330</f>
        <v>1000000</v>
      </c>
      <c r="L335" s="328">
        <f>'d3'!L335-d3М!L330</f>
        <v>0</v>
      </c>
      <c r="M335" s="328">
        <f>'d3'!M335-d3М!M330</f>
        <v>0</v>
      </c>
      <c r="N335" s="328">
        <f>'d3'!N335-d3М!N330</f>
        <v>0</v>
      </c>
      <c r="O335" s="328">
        <f>'d3'!O335-d3М!O330</f>
        <v>1000000</v>
      </c>
      <c r="P335" s="328">
        <f>'d3'!P335-d3М!P330</f>
        <v>1000000</v>
      </c>
      <c r="Q335" s="126"/>
      <c r="R335" s="46"/>
    </row>
    <row r="336" spans="1:18" ht="54" hidden="1" thickTop="1" thickBot="1" x14ac:dyDescent="0.25">
      <c r="A336" s="103" t="s">
        <v>312</v>
      </c>
      <c r="B336" s="103" t="s">
        <v>313</v>
      </c>
      <c r="C336" s="103" t="s">
        <v>304</v>
      </c>
      <c r="D336" s="103" t="s">
        <v>1510</v>
      </c>
      <c r="E336" s="328">
        <f>'d3'!E336-d3М!E331</f>
        <v>0</v>
      </c>
      <c r="F336" s="328">
        <f>'d3'!F336-d3М!F331</f>
        <v>0</v>
      </c>
      <c r="G336" s="328">
        <f>'d3'!G336-d3М!G331</f>
        <v>0</v>
      </c>
      <c r="H336" s="328">
        <f>'d3'!H336-d3М!H331</f>
        <v>0</v>
      </c>
      <c r="I336" s="328">
        <f>'d3'!I336-d3М!I331</f>
        <v>0</v>
      </c>
      <c r="J336" s="328">
        <f>'d3'!J336-d3М!J331</f>
        <v>0</v>
      </c>
      <c r="K336" s="328">
        <f>'d3'!K336-d3М!K331</f>
        <v>0</v>
      </c>
      <c r="L336" s="328">
        <f>'d3'!L336-d3М!L331</f>
        <v>0</v>
      </c>
      <c r="M336" s="328">
        <f>'d3'!M336-d3М!M331</f>
        <v>0</v>
      </c>
      <c r="N336" s="328">
        <f>'d3'!N336-d3М!N331</f>
        <v>0</v>
      </c>
      <c r="O336" s="328">
        <f>'d3'!O336-d3М!O331</f>
        <v>0</v>
      </c>
      <c r="P336" s="328">
        <f>'d3'!P336-d3М!P331</f>
        <v>0</v>
      </c>
      <c r="Q336" s="126"/>
    </row>
    <row r="337" spans="1:18" ht="54" thickTop="1" thickBot="1" x14ac:dyDescent="0.3">
      <c r="A337" s="103" t="s">
        <v>314</v>
      </c>
      <c r="B337" s="103" t="s">
        <v>315</v>
      </c>
      <c r="C337" s="103" t="s">
        <v>304</v>
      </c>
      <c r="D337" s="103" t="s">
        <v>1505</v>
      </c>
      <c r="E337" s="328">
        <f>'d3'!E337-d3М!E332</f>
        <v>0</v>
      </c>
      <c r="F337" s="328">
        <f>'d3'!F337-d3М!F332</f>
        <v>0</v>
      </c>
      <c r="G337" s="328">
        <f>'d3'!G337-d3М!G332</f>
        <v>0</v>
      </c>
      <c r="H337" s="328">
        <f>'d3'!H337-d3М!H332</f>
        <v>0</v>
      </c>
      <c r="I337" s="328">
        <f>'d3'!I337-d3М!I332</f>
        <v>0</v>
      </c>
      <c r="J337" s="328">
        <f>'d3'!J337-d3М!J332</f>
        <v>2626578</v>
      </c>
      <c r="K337" s="328">
        <f>'d3'!K337-d3М!K332</f>
        <v>2626578</v>
      </c>
      <c r="L337" s="328">
        <f>'d3'!L337-d3М!L332</f>
        <v>0</v>
      </c>
      <c r="M337" s="328">
        <f>'d3'!M337-d3М!M332</f>
        <v>0</v>
      </c>
      <c r="N337" s="328">
        <f>'d3'!N337-d3М!N332</f>
        <v>0</v>
      </c>
      <c r="O337" s="328">
        <f>'d3'!O337-d3М!O332</f>
        <v>2626578</v>
      </c>
      <c r="P337" s="328">
        <f>'d3'!P337-d3М!P332</f>
        <v>2626578</v>
      </c>
      <c r="Q337" s="162"/>
      <c r="R337" s="46"/>
    </row>
    <row r="338" spans="1:18" ht="48" hidden="1" thickTop="1" thickBot="1" x14ac:dyDescent="0.25">
      <c r="A338" s="41" t="s">
        <v>437</v>
      </c>
      <c r="B338" s="41" t="s">
        <v>350</v>
      </c>
      <c r="C338" s="41" t="s">
        <v>170</v>
      </c>
      <c r="D338" s="41" t="s">
        <v>262</v>
      </c>
      <c r="E338" s="42">
        <f>F338</f>
        <v>0</v>
      </c>
      <c r="F338" s="43"/>
      <c r="G338" s="43"/>
      <c r="H338" s="43"/>
      <c r="I338" s="43"/>
      <c r="J338" s="42">
        <f t="shared" ref="J338" si="76">L338+O338</f>
        <v>0</v>
      </c>
      <c r="K338" s="43">
        <v>0</v>
      </c>
      <c r="L338" s="43"/>
      <c r="M338" s="43"/>
      <c r="N338" s="43"/>
      <c r="O338" s="44">
        <f>K338</f>
        <v>0</v>
      </c>
      <c r="P338" s="42">
        <f t="shared" ref="P338" si="77">E338+J338</f>
        <v>0</v>
      </c>
      <c r="Q338" s="20"/>
      <c r="R338" s="46"/>
    </row>
    <row r="339" spans="1:18" ht="47.25" hidden="1" thickTop="1" thickBot="1" x14ac:dyDescent="0.25">
      <c r="A339" s="136" t="s">
        <v>988</v>
      </c>
      <c r="B339" s="136" t="s">
        <v>691</v>
      </c>
      <c r="C339" s="136"/>
      <c r="D339" s="136" t="s">
        <v>689</v>
      </c>
      <c r="E339" s="159">
        <f>E340</f>
        <v>0</v>
      </c>
      <c r="F339" s="159">
        <f>F340</f>
        <v>0</v>
      </c>
      <c r="G339" s="159">
        <f>G340</f>
        <v>0</v>
      </c>
      <c r="H339" s="159">
        <f>H340</f>
        <v>0</v>
      </c>
      <c r="I339" s="159">
        <f>I340</f>
        <v>0</v>
      </c>
      <c r="J339" s="159">
        <f t="shared" ref="J339:O339" si="78">J340</f>
        <v>0</v>
      </c>
      <c r="K339" s="159">
        <f t="shared" si="78"/>
        <v>0</v>
      </c>
      <c r="L339" s="159">
        <f t="shared" si="78"/>
        <v>0</v>
      </c>
      <c r="M339" s="159">
        <f t="shared" si="78"/>
        <v>0</v>
      </c>
      <c r="N339" s="159">
        <f t="shared" si="78"/>
        <v>0</v>
      </c>
      <c r="O339" s="159">
        <f t="shared" si="78"/>
        <v>0</v>
      </c>
      <c r="P339" s="159">
        <f>P340</f>
        <v>0</v>
      </c>
      <c r="Q339" s="20"/>
      <c r="R339" s="46"/>
    </row>
    <row r="340" spans="1:18" ht="48" hidden="1" thickTop="1" thickBot="1" x14ac:dyDescent="0.25">
      <c r="A340" s="140" t="s">
        <v>989</v>
      </c>
      <c r="B340" s="140" t="s">
        <v>694</v>
      </c>
      <c r="C340" s="140"/>
      <c r="D340" s="140" t="s">
        <v>797</v>
      </c>
      <c r="E340" s="158">
        <f>E341+E343</f>
        <v>0</v>
      </c>
      <c r="F340" s="158">
        <f t="shared" ref="F340:P340" si="79">F341+F343</f>
        <v>0</v>
      </c>
      <c r="G340" s="158">
        <f t="shared" si="79"/>
        <v>0</v>
      </c>
      <c r="H340" s="158">
        <f t="shared" si="79"/>
        <v>0</v>
      </c>
      <c r="I340" s="158">
        <f t="shared" si="79"/>
        <v>0</v>
      </c>
      <c r="J340" s="158">
        <f t="shared" si="79"/>
        <v>0</v>
      </c>
      <c r="K340" s="158">
        <f t="shared" si="79"/>
        <v>0</v>
      </c>
      <c r="L340" s="158">
        <f t="shared" si="79"/>
        <v>0</v>
      </c>
      <c r="M340" s="158">
        <f t="shared" si="79"/>
        <v>0</v>
      </c>
      <c r="N340" s="158">
        <f t="shared" si="79"/>
        <v>0</v>
      </c>
      <c r="O340" s="158">
        <f t="shared" si="79"/>
        <v>0</v>
      </c>
      <c r="P340" s="158">
        <f t="shared" si="79"/>
        <v>0</v>
      </c>
      <c r="Q340" s="20"/>
      <c r="R340" s="46"/>
    </row>
    <row r="341" spans="1:18" ht="138.75" hidden="1" thickTop="1" thickBot="1" x14ac:dyDescent="0.7">
      <c r="A341" s="793" t="s">
        <v>990</v>
      </c>
      <c r="B341" s="793" t="s">
        <v>338</v>
      </c>
      <c r="C341" s="793" t="s">
        <v>170</v>
      </c>
      <c r="D341" s="163" t="s">
        <v>440</v>
      </c>
      <c r="E341" s="794">
        <f t="shared" ref="E341" si="80">F341</f>
        <v>0</v>
      </c>
      <c r="F341" s="795"/>
      <c r="G341" s="795"/>
      <c r="H341" s="795"/>
      <c r="I341" s="795"/>
      <c r="J341" s="794">
        <f t="shared" ref="J341" si="81">L341+O341</f>
        <v>0</v>
      </c>
      <c r="K341" s="795"/>
      <c r="L341" s="795"/>
      <c r="M341" s="795"/>
      <c r="N341" s="795"/>
      <c r="O341" s="799">
        <f>K341</f>
        <v>0</v>
      </c>
      <c r="P341" s="792">
        <f>E341+J341</f>
        <v>0</v>
      </c>
      <c r="Q341" s="20"/>
      <c r="R341" s="46"/>
    </row>
    <row r="342" spans="1:18" ht="93" hidden="1" thickTop="1" thickBot="1" x14ac:dyDescent="0.25">
      <c r="A342" s="793"/>
      <c r="B342" s="793"/>
      <c r="C342" s="793"/>
      <c r="D342" s="164" t="s">
        <v>441</v>
      </c>
      <c r="E342" s="794"/>
      <c r="F342" s="795"/>
      <c r="G342" s="795"/>
      <c r="H342" s="795"/>
      <c r="I342" s="795"/>
      <c r="J342" s="794"/>
      <c r="K342" s="795"/>
      <c r="L342" s="795"/>
      <c r="M342" s="795"/>
      <c r="N342" s="795"/>
      <c r="O342" s="799"/>
      <c r="P342" s="792"/>
      <c r="Q342" s="20"/>
      <c r="R342" s="46"/>
    </row>
    <row r="343" spans="1:18" ht="48" hidden="1" thickTop="1" thickBot="1" x14ac:dyDescent="0.25">
      <c r="A343" s="128" t="s">
        <v>1193</v>
      </c>
      <c r="B343" s="128" t="s">
        <v>257</v>
      </c>
      <c r="C343" s="128" t="s">
        <v>170</v>
      </c>
      <c r="D343" s="156" t="s">
        <v>255</v>
      </c>
      <c r="E343" s="127">
        <f>F343</f>
        <v>0</v>
      </c>
      <c r="F343" s="134"/>
      <c r="G343" s="134"/>
      <c r="H343" s="134"/>
      <c r="I343" s="134"/>
      <c r="J343" s="127">
        <f t="shared" ref="J343" si="82">L343+O343</f>
        <v>0</v>
      </c>
      <c r="K343" s="134"/>
      <c r="L343" s="134"/>
      <c r="M343" s="134"/>
      <c r="N343" s="134"/>
      <c r="O343" s="132">
        <f>K343</f>
        <v>0</v>
      </c>
      <c r="P343" s="127">
        <f t="shared" ref="P343" si="83">E343+J343</f>
        <v>0</v>
      </c>
      <c r="Q343" s="20"/>
      <c r="R343" s="46"/>
    </row>
    <row r="344" spans="1:18" ht="120" customHeight="1" thickTop="1" thickBot="1" x14ac:dyDescent="0.25">
      <c r="A344" s="661" t="s">
        <v>160</v>
      </c>
      <c r="B344" s="661"/>
      <c r="C344" s="661"/>
      <c r="D344" s="662" t="s">
        <v>893</v>
      </c>
      <c r="E344" s="663">
        <f>E345</f>
        <v>99900</v>
      </c>
      <c r="F344" s="664">
        <f t="shared" ref="F344:G344" si="84">F345</f>
        <v>99900</v>
      </c>
      <c r="G344" s="664">
        <f t="shared" si="84"/>
        <v>0</v>
      </c>
      <c r="H344" s="664">
        <f>H345</f>
        <v>0</v>
      </c>
      <c r="I344" s="664">
        <f t="shared" ref="I344" si="85">I345</f>
        <v>0</v>
      </c>
      <c r="J344" s="663">
        <f>J345</f>
        <v>0</v>
      </c>
      <c r="K344" s="664">
        <f>K345</f>
        <v>0</v>
      </c>
      <c r="L344" s="664">
        <f>L345</f>
        <v>0</v>
      </c>
      <c r="M344" s="664">
        <f t="shared" ref="M344" si="86">M345</f>
        <v>0</v>
      </c>
      <c r="N344" s="664">
        <f>N345</f>
        <v>0</v>
      </c>
      <c r="O344" s="663">
        <f>O345</f>
        <v>0</v>
      </c>
      <c r="P344" s="664">
        <f t="shared" ref="P344" si="87">P345</f>
        <v>99900</v>
      </c>
      <c r="Q344" s="20"/>
    </row>
    <row r="345" spans="1:18" ht="120" customHeight="1" thickTop="1" thickBot="1" x14ac:dyDescent="0.25">
      <c r="A345" s="658" t="s">
        <v>161</v>
      </c>
      <c r="B345" s="658"/>
      <c r="C345" s="658"/>
      <c r="D345" s="659" t="s">
        <v>894</v>
      </c>
      <c r="E345" s="660">
        <f>E346+E350</f>
        <v>99900</v>
      </c>
      <c r="F345" s="660">
        <f>F346+F350</f>
        <v>99900</v>
      </c>
      <c r="G345" s="660">
        <f>G346+G350</f>
        <v>0</v>
      </c>
      <c r="H345" s="660">
        <f>H346+H350</f>
        <v>0</v>
      </c>
      <c r="I345" s="660">
        <f>I346+I350</f>
        <v>0</v>
      </c>
      <c r="J345" s="660">
        <f>L345+O345</f>
        <v>0</v>
      </c>
      <c r="K345" s="660">
        <f>K346+K350</f>
        <v>0</v>
      </c>
      <c r="L345" s="660">
        <f>L346+L350</f>
        <v>0</v>
      </c>
      <c r="M345" s="660">
        <f>M346+M350</f>
        <v>0</v>
      </c>
      <c r="N345" s="660">
        <f>N346+N350</f>
        <v>0</v>
      </c>
      <c r="O345" s="660">
        <f>O346+O350</f>
        <v>0</v>
      </c>
      <c r="P345" s="660">
        <f>E345+J345</f>
        <v>99900</v>
      </c>
      <c r="Q345" s="503" t="b">
        <f>P345=P347+P349</f>
        <v>1</v>
      </c>
      <c r="R345" s="46"/>
    </row>
    <row r="346" spans="1:18" ht="47.25" thickTop="1" thickBot="1" x14ac:dyDescent="0.25">
      <c r="A346" s="311" t="s">
        <v>822</v>
      </c>
      <c r="B346" s="311" t="s">
        <v>684</v>
      </c>
      <c r="C346" s="311"/>
      <c r="D346" s="311" t="s">
        <v>685</v>
      </c>
      <c r="E346" s="328">
        <f>'d3'!E346-d3М!E341</f>
        <v>99900</v>
      </c>
      <c r="F346" s="328">
        <f>'d3'!F346-d3М!F341</f>
        <v>99900</v>
      </c>
      <c r="G346" s="328">
        <f>'d3'!G346-d3М!G341</f>
        <v>0</v>
      </c>
      <c r="H346" s="328">
        <f>'d3'!H346-d3М!H341</f>
        <v>0</v>
      </c>
      <c r="I346" s="328">
        <f>'d3'!I346-d3М!I341</f>
        <v>0</v>
      </c>
      <c r="J346" s="328">
        <f>'d3'!J346-d3М!J341</f>
        <v>0</v>
      </c>
      <c r="K346" s="328">
        <f>'d3'!K346-d3М!K341</f>
        <v>0</v>
      </c>
      <c r="L346" s="328">
        <f>'d3'!L346-d3М!L341</f>
        <v>0</v>
      </c>
      <c r="M346" s="328">
        <f>'d3'!M346-d3М!M341</f>
        <v>0</v>
      </c>
      <c r="N346" s="328">
        <f>'d3'!N346-d3М!N341</f>
        <v>0</v>
      </c>
      <c r="O346" s="328">
        <f>'d3'!O346-d3М!O341</f>
        <v>0</v>
      </c>
      <c r="P346" s="328">
        <f>'d3'!P346-d3М!P341</f>
        <v>99900</v>
      </c>
      <c r="Q346" s="47"/>
      <c r="R346" s="46"/>
    </row>
    <row r="347" spans="1:18" ht="93" thickTop="1" thickBot="1" x14ac:dyDescent="0.25">
      <c r="A347" s="103" t="s">
        <v>419</v>
      </c>
      <c r="B347" s="103" t="s">
        <v>236</v>
      </c>
      <c r="C347" s="103" t="s">
        <v>234</v>
      </c>
      <c r="D347" s="103" t="s">
        <v>235</v>
      </c>
      <c r="E347" s="328">
        <f>'d3'!E347-d3М!E342</f>
        <v>0</v>
      </c>
      <c r="F347" s="328">
        <f>'d3'!F347-d3М!F342</f>
        <v>0</v>
      </c>
      <c r="G347" s="328">
        <f>'d3'!G347-d3М!G342</f>
        <v>0</v>
      </c>
      <c r="H347" s="328">
        <f>'d3'!H347-d3М!H342</f>
        <v>0</v>
      </c>
      <c r="I347" s="328">
        <f>'d3'!I347-d3М!I342</f>
        <v>0</v>
      </c>
      <c r="J347" s="328">
        <f>'d3'!J347-d3М!J342</f>
        <v>0</v>
      </c>
      <c r="K347" s="328">
        <f>'d3'!K347-d3М!K342</f>
        <v>0</v>
      </c>
      <c r="L347" s="328">
        <f>'d3'!L347-d3М!L342</f>
        <v>0</v>
      </c>
      <c r="M347" s="328">
        <f>'d3'!M347-d3М!M342</f>
        <v>0</v>
      </c>
      <c r="N347" s="328">
        <f>'d3'!N347-d3М!N342</f>
        <v>0</v>
      </c>
      <c r="O347" s="328">
        <f>'d3'!O347-d3М!O342</f>
        <v>0</v>
      </c>
      <c r="P347" s="328">
        <f>'d3'!P347-d3М!P342</f>
        <v>0</v>
      </c>
      <c r="Q347" s="47"/>
      <c r="R347" s="46"/>
    </row>
    <row r="348" spans="1:18" ht="93" hidden="1" thickTop="1" thickBot="1" x14ac:dyDescent="0.25">
      <c r="A348" s="128" t="s">
        <v>631</v>
      </c>
      <c r="B348" s="128" t="s">
        <v>362</v>
      </c>
      <c r="C348" s="128" t="s">
        <v>625</v>
      </c>
      <c r="D348" s="128" t="s">
        <v>626</v>
      </c>
      <c r="E348" s="328">
        <f>'d3'!E348-d3М!E343</f>
        <v>0</v>
      </c>
      <c r="F348" s="328">
        <f>'d3'!F348-d3М!F343</f>
        <v>0</v>
      </c>
      <c r="G348" s="328">
        <f>'d3'!G348-d3М!G343</f>
        <v>0</v>
      </c>
      <c r="H348" s="328">
        <f>'d3'!H348-d3М!H343</f>
        <v>0</v>
      </c>
      <c r="I348" s="328">
        <f>'d3'!I348-d3М!I343</f>
        <v>0</v>
      </c>
      <c r="J348" s="328">
        <f>'d3'!J348-d3М!J343</f>
        <v>0</v>
      </c>
      <c r="K348" s="328">
        <f>'d3'!K348-d3М!K343</f>
        <v>0</v>
      </c>
      <c r="L348" s="328">
        <f>'d3'!L348-d3М!L343</f>
        <v>0</v>
      </c>
      <c r="M348" s="328">
        <f>'d3'!M348-d3М!M343</f>
        <v>0</v>
      </c>
      <c r="N348" s="328">
        <f>'d3'!N348-d3М!N343</f>
        <v>0</v>
      </c>
      <c r="O348" s="328">
        <f>'d3'!O348-d3М!O343</f>
        <v>0</v>
      </c>
      <c r="P348" s="328">
        <f>'d3'!P348-d3М!P343</f>
        <v>0</v>
      </c>
      <c r="Q348" s="47"/>
      <c r="R348" s="46"/>
    </row>
    <row r="349" spans="1:18" ht="69.75" customHeight="1" thickTop="1" thickBot="1" x14ac:dyDescent="0.25">
      <c r="A349" s="695" t="s">
        <v>1260</v>
      </c>
      <c r="B349" s="695" t="s">
        <v>43</v>
      </c>
      <c r="C349" s="695" t="s">
        <v>42</v>
      </c>
      <c r="D349" s="695" t="s">
        <v>248</v>
      </c>
      <c r="E349" s="328">
        <f>'d3'!E349-d3М!E344</f>
        <v>99900</v>
      </c>
      <c r="F349" s="328">
        <f>'d3'!F349-d3М!F344</f>
        <v>99900</v>
      </c>
      <c r="G349" s="328">
        <f>'d3'!G349-d3М!G344</f>
        <v>0</v>
      </c>
      <c r="H349" s="328">
        <f>'d3'!H349-d3М!H344</f>
        <v>0</v>
      </c>
      <c r="I349" s="328">
        <f>'d3'!I349-d3М!I344</f>
        <v>0</v>
      </c>
      <c r="J349" s="328">
        <f>'d3'!J349-d3М!J344</f>
        <v>0</v>
      </c>
      <c r="K349" s="328">
        <f>'d3'!K349-d3М!K344</f>
        <v>0</v>
      </c>
      <c r="L349" s="328">
        <f>'d3'!L349-d3М!L344</f>
        <v>0</v>
      </c>
      <c r="M349" s="328">
        <f>'d3'!M349-d3М!M344</f>
        <v>0</v>
      </c>
      <c r="N349" s="328">
        <f>'d3'!N349-d3М!N344</f>
        <v>0</v>
      </c>
      <c r="O349" s="328">
        <f>'d3'!O349-d3М!O344</f>
        <v>0</v>
      </c>
      <c r="P349" s="328">
        <f>'d3'!P349-d3М!P344</f>
        <v>99900</v>
      </c>
      <c r="Q349" s="47"/>
      <c r="R349" s="46"/>
    </row>
    <row r="350" spans="1:18" ht="47.25" hidden="1" thickTop="1" thickBot="1" x14ac:dyDescent="0.25">
      <c r="A350" s="125" t="s">
        <v>909</v>
      </c>
      <c r="B350" s="125" t="s">
        <v>748</v>
      </c>
      <c r="C350" s="128"/>
      <c r="D350" s="125" t="s">
        <v>794</v>
      </c>
      <c r="E350" s="127">
        <f>E351</f>
        <v>0</v>
      </c>
      <c r="F350" s="127">
        <f t="shared" ref="F350:P351" si="88">F351</f>
        <v>0</v>
      </c>
      <c r="G350" s="127">
        <f t="shared" si="88"/>
        <v>0</v>
      </c>
      <c r="H350" s="127">
        <f t="shared" si="88"/>
        <v>0</v>
      </c>
      <c r="I350" s="127">
        <f t="shared" si="88"/>
        <v>0</v>
      </c>
      <c r="J350" s="127">
        <f t="shared" si="88"/>
        <v>0</v>
      </c>
      <c r="K350" s="127">
        <f t="shared" si="88"/>
        <v>0</v>
      </c>
      <c r="L350" s="127">
        <f t="shared" si="88"/>
        <v>0</v>
      </c>
      <c r="M350" s="127">
        <f t="shared" si="88"/>
        <v>0</v>
      </c>
      <c r="N350" s="127">
        <f t="shared" si="88"/>
        <v>0</v>
      </c>
      <c r="O350" s="127">
        <f t="shared" si="88"/>
        <v>0</v>
      </c>
      <c r="P350" s="127">
        <f t="shared" si="88"/>
        <v>0</v>
      </c>
      <c r="Q350" s="47"/>
      <c r="R350" s="46"/>
    </row>
    <row r="351" spans="1:18" ht="47.25" hidden="1" thickTop="1" thickBot="1" x14ac:dyDescent="0.25">
      <c r="A351" s="136" t="s">
        <v>910</v>
      </c>
      <c r="B351" s="136" t="s">
        <v>803</v>
      </c>
      <c r="C351" s="136"/>
      <c r="D351" s="136" t="s">
        <v>804</v>
      </c>
      <c r="E351" s="137">
        <f>E352</f>
        <v>0</v>
      </c>
      <c r="F351" s="137">
        <f t="shared" si="88"/>
        <v>0</v>
      </c>
      <c r="G351" s="137">
        <f t="shared" si="88"/>
        <v>0</v>
      </c>
      <c r="H351" s="137">
        <f t="shared" si="88"/>
        <v>0</v>
      </c>
      <c r="I351" s="137">
        <f t="shared" si="88"/>
        <v>0</v>
      </c>
      <c r="J351" s="137">
        <f t="shared" si="88"/>
        <v>0</v>
      </c>
      <c r="K351" s="137">
        <f t="shared" si="88"/>
        <v>0</v>
      </c>
      <c r="L351" s="137">
        <f t="shared" si="88"/>
        <v>0</v>
      </c>
      <c r="M351" s="137">
        <f t="shared" si="88"/>
        <v>0</v>
      </c>
      <c r="N351" s="137">
        <f t="shared" si="88"/>
        <v>0</v>
      </c>
      <c r="O351" s="137">
        <f t="shared" si="88"/>
        <v>0</v>
      </c>
      <c r="P351" s="137">
        <f t="shared" si="88"/>
        <v>0</v>
      </c>
      <c r="Q351" s="47"/>
      <c r="R351" s="46"/>
    </row>
    <row r="352" spans="1:18" ht="48" hidden="1" thickTop="1" thickBot="1" x14ac:dyDescent="0.25">
      <c r="A352" s="128" t="s">
        <v>911</v>
      </c>
      <c r="B352" s="128" t="s">
        <v>912</v>
      </c>
      <c r="C352" s="128" t="s">
        <v>304</v>
      </c>
      <c r="D352" s="128" t="s">
        <v>913</v>
      </c>
      <c r="E352" s="152">
        <f>F352</f>
        <v>0</v>
      </c>
      <c r="F352" s="129"/>
      <c r="G352" s="129"/>
      <c r="H352" s="129"/>
      <c r="I352" s="129"/>
      <c r="J352" s="127">
        <f t="shared" ref="J352" si="89">L352+O352</f>
        <v>0</v>
      </c>
      <c r="K352" s="129">
        <v>0</v>
      </c>
      <c r="L352" s="130"/>
      <c r="M352" s="130"/>
      <c r="N352" s="130"/>
      <c r="O352" s="132">
        <f t="shared" ref="O352" si="90">K352</f>
        <v>0</v>
      </c>
      <c r="P352" s="127">
        <f t="shared" ref="P352" si="91">+J352+E352</f>
        <v>0</v>
      </c>
      <c r="Q352" s="47"/>
      <c r="R352" s="46"/>
    </row>
    <row r="353" spans="1:18" ht="120" customHeight="1" thickTop="1" thickBot="1" x14ac:dyDescent="0.25">
      <c r="A353" s="661" t="s">
        <v>444</v>
      </c>
      <c r="B353" s="661"/>
      <c r="C353" s="661"/>
      <c r="D353" s="662" t="s">
        <v>446</v>
      </c>
      <c r="E353" s="663">
        <f>E354</f>
        <v>0</v>
      </c>
      <c r="F353" s="664">
        <f t="shared" ref="F353:G353" si="92">F354</f>
        <v>0</v>
      </c>
      <c r="G353" s="664">
        <f t="shared" si="92"/>
        <v>0</v>
      </c>
      <c r="H353" s="664">
        <f>H354</f>
        <v>0</v>
      </c>
      <c r="I353" s="664">
        <f t="shared" ref="I353" si="93">I354</f>
        <v>0</v>
      </c>
      <c r="J353" s="663">
        <f>J354</f>
        <v>156500</v>
      </c>
      <c r="K353" s="664">
        <f>K354</f>
        <v>156500</v>
      </c>
      <c r="L353" s="664">
        <f>L354</f>
        <v>0</v>
      </c>
      <c r="M353" s="664">
        <f t="shared" ref="M353" si="94">M354</f>
        <v>0</v>
      </c>
      <c r="N353" s="664">
        <f>N354</f>
        <v>0</v>
      </c>
      <c r="O353" s="663">
        <f>O354</f>
        <v>156500</v>
      </c>
      <c r="P353" s="664">
        <f t="shared" ref="P353" si="95">P354</f>
        <v>156500</v>
      </c>
      <c r="Q353" s="20"/>
    </row>
    <row r="354" spans="1:18" ht="120" customHeight="1" thickTop="1" thickBot="1" x14ac:dyDescent="0.25">
      <c r="A354" s="658" t="s">
        <v>445</v>
      </c>
      <c r="B354" s="658"/>
      <c r="C354" s="658"/>
      <c r="D354" s="659" t="s">
        <v>447</v>
      </c>
      <c r="E354" s="660">
        <f t="shared" ref="E354:O354" si="96">E355+E358+E367+E370</f>
        <v>0</v>
      </c>
      <c r="F354" s="660">
        <f t="shared" si="96"/>
        <v>0</v>
      </c>
      <c r="G354" s="660">
        <f t="shared" si="96"/>
        <v>0</v>
      </c>
      <c r="H354" s="660">
        <f t="shared" si="96"/>
        <v>0</v>
      </c>
      <c r="I354" s="660">
        <f t="shared" si="96"/>
        <v>0</v>
      </c>
      <c r="J354" s="660">
        <f t="shared" si="96"/>
        <v>156500</v>
      </c>
      <c r="K354" s="660">
        <f t="shared" si="96"/>
        <v>156500</v>
      </c>
      <c r="L354" s="660">
        <f t="shared" si="96"/>
        <v>0</v>
      </c>
      <c r="M354" s="660">
        <f t="shared" si="96"/>
        <v>0</v>
      </c>
      <c r="N354" s="660">
        <f t="shared" si="96"/>
        <v>0</v>
      </c>
      <c r="O354" s="660">
        <f t="shared" si="96"/>
        <v>156500</v>
      </c>
      <c r="P354" s="660">
        <f>E354+J354</f>
        <v>156500</v>
      </c>
      <c r="Q354" s="503" t="b">
        <f>P354=P356+P361+P363+P369+P366</f>
        <v>1</v>
      </c>
      <c r="R354" s="46"/>
    </row>
    <row r="355" spans="1:18" ht="47.25" thickTop="1" thickBot="1" x14ac:dyDescent="0.25">
      <c r="A355" s="311" t="s">
        <v>823</v>
      </c>
      <c r="B355" s="311" t="s">
        <v>684</v>
      </c>
      <c r="C355" s="311"/>
      <c r="D355" s="311" t="s">
        <v>685</v>
      </c>
      <c r="E355" s="328">
        <f>'d3'!E355-d3М!E350</f>
        <v>0</v>
      </c>
      <c r="F355" s="328">
        <f>'d3'!F355-d3М!F350</f>
        <v>0</v>
      </c>
      <c r="G355" s="328">
        <f>'d3'!G355-d3М!G350</f>
        <v>0</v>
      </c>
      <c r="H355" s="328">
        <f>'d3'!H355-d3М!H350</f>
        <v>0</v>
      </c>
      <c r="I355" s="328">
        <f>'d3'!I355-d3М!I350</f>
        <v>0</v>
      </c>
      <c r="J355" s="328">
        <f>'d3'!J355-d3М!J350</f>
        <v>0</v>
      </c>
      <c r="K355" s="328">
        <f>'d3'!K355-d3М!K350</f>
        <v>0</v>
      </c>
      <c r="L355" s="328">
        <f>'d3'!L355-d3М!L350</f>
        <v>0</v>
      </c>
      <c r="M355" s="328">
        <f>'d3'!M355-d3М!M350</f>
        <v>0</v>
      </c>
      <c r="N355" s="328">
        <f>'d3'!N355-d3М!N350</f>
        <v>0</v>
      </c>
      <c r="O355" s="328">
        <f>'d3'!O355-d3М!O350</f>
        <v>0</v>
      </c>
      <c r="P355" s="328">
        <f>'d3'!P355-d3М!P350</f>
        <v>0</v>
      </c>
      <c r="Q355" s="47"/>
      <c r="R355" s="46"/>
    </row>
    <row r="356" spans="1:18" ht="93" thickTop="1" thickBot="1" x14ac:dyDescent="0.25">
      <c r="A356" s="103" t="s">
        <v>448</v>
      </c>
      <c r="B356" s="103" t="s">
        <v>236</v>
      </c>
      <c r="C356" s="103" t="s">
        <v>234</v>
      </c>
      <c r="D356" s="103" t="s">
        <v>235</v>
      </c>
      <c r="E356" s="328">
        <f>'d3'!E356-d3М!E351</f>
        <v>0</v>
      </c>
      <c r="F356" s="328">
        <f>'d3'!F356-d3М!F351</f>
        <v>0</v>
      </c>
      <c r="G356" s="328">
        <f>'d3'!G356-d3М!G351</f>
        <v>0</v>
      </c>
      <c r="H356" s="328">
        <f>'d3'!H356-d3М!H351</f>
        <v>0</v>
      </c>
      <c r="I356" s="328">
        <f>'d3'!I356-d3М!I351</f>
        <v>0</v>
      </c>
      <c r="J356" s="328">
        <f>'d3'!J356-d3М!J351</f>
        <v>0</v>
      </c>
      <c r="K356" s="328">
        <f>'d3'!K356-d3М!K351</f>
        <v>0</v>
      </c>
      <c r="L356" s="328">
        <f>'d3'!L356-d3М!L351</f>
        <v>0</v>
      </c>
      <c r="M356" s="328">
        <f>'d3'!M356-d3М!M351</f>
        <v>0</v>
      </c>
      <c r="N356" s="328">
        <f>'d3'!N356-d3М!N351</f>
        <v>0</v>
      </c>
      <c r="O356" s="328">
        <f>'d3'!O356-d3М!O351</f>
        <v>0</v>
      </c>
      <c r="P356" s="328">
        <f>'d3'!P356-d3М!P351</f>
        <v>0</v>
      </c>
      <c r="Q356" s="47"/>
      <c r="R356" s="46"/>
    </row>
    <row r="357" spans="1:18" ht="93" hidden="1" thickTop="1" thickBot="1" x14ac:dyDescent="0.25">
      <c r="A357" s="128" t="s">
        <v>632</v>
      </c>
      <c r="B357" s="128" t="s">
        <v>362</v>
      </c>
      <c r="C357" s="128" t="s">
        <v>625</v>
      </c>
      <c r="D357" s="128" t="s">
        <v>626</v>
      </c>
      <c r="E357" s="328">
        <f>'d3'!E357-d3М!E352</f>
        <v>0</v>
      </c>
      <c r="F357" s="328">
        <f>'d3'!F357-d3М!F352</f>
        <v>0</v>
      </c>
      <c r="G357" s="328">
        <f>'d3'!G357-d3М!G352</f>
        <v>0</v>
      </c>
      <c r="H357" s="328">
        <f>'d3'!H357-d3М!H352</f>
        <v>0</v>
      </c>
      <c r="I357" s="328">
        <f>'d3'!I357-d3М!I352</f>
        <v>0</v>
      </c>
      <c r="J357" s="328">
        <f>'d3'!J357-d3М!J352</f>
        <v>0</v>
      </c>
      <c r="K357" s="328">
        <f>'d3'!K357-d3М!K352</f>
        <v>0</v>
      </c>
      <c r="L357" s="328">
        <f>'d3'!L357-d3М!L352</f>
        <v>0</v>
      </c>
      <c r="M357" s="328">
        <f>'d3'!M357-d3М!M352</f>
        <v>0</v>
      </c>
      <c r="N357" s="328">
        <f>'d3'!N357-d3М!N352</f>
        <v>0</v>
      </c>
      <c r="O357" s="328">
        <f>'d3'!O357-d3М!O352</f>
        <v>0</v>
      </c>
      <c r="P357" s="328">
        <f>'d3'!P357-d3М!P352</f>
        <v>0</v>
      </c>
      <c r="Q357" s="47"/>
      <c r="R357" s="46"/>
    </row>
    <row r="358" spans="1:18" ht="47.25" thickTop="1" thickBot="1" x14ac:dyDescent="0.25">
      <c r="A358" s="311" t="s">
        <v>824</v>
      </c>
      <c r="B358" s="311" t="s">
        <v>748</v>
      </c>
      <c r="C358" s="103"/>
      <c r="D358" s="311" t="s">
        <v>794</v>
      </c>
      <c r="E358" s="328">
        <f>'d3'!E358-d3М!E353</f>
        <v>0</v>
      </c>
      <c r="F358" s="328">
        <f>'d3'!F358-d3М!F353</f>
        <v>0</v>
      </c>
      <c r="G358" s="328">
        <f>'d3'!G358-d3М!G353</f>
        <v>0</v>
      </c>
      <c r="H358" s="328">
        <f>'d3'!H358-d3М!H353</f>
        <v>0</v>
      </c>
      <c r="I358" s="328">
        <f>'d3'!I358-d3М!I353</f>
        <v>0</v>
      </c>
      <c r="J358" s="328">
        <f>'d3'!J358-d3М!J353</f>
        <v>156500</v>
      </c>
      <c r="K358" s="328">
        <f>'d3'!K358-d3М!K353</f>
        <v>156500</v>
      </c>
      <c r="L358" s="328">
        <f>'d3'!L358-d3М!L353</f>
        <v>0</v>
      </c>
      <c r="M358" s="328">
        <f>'d3'!M358-d3М!M353</f>
        <v>0</v>
      </c>
      <c r="N358" s="328">
        <f>'d3'!N358-d3М!N353</f>
        <v>0</v>
      </c>
      <c r="O358" s="328">
        <f>'d3'!O358-d3М!O353</f>
        <v>156500</v>
      </c>
      <c r="P358" s="328">
        <f>'d3'!P358-d3М!P353</f>
        <v>156500</v>
      </c>
      <c r="Q358" s="47"/>
      <c r="R358" s="50"/>
    </row>
    <row r="359" spans="1:18" ht="47.25" thickTop="1" thickBot="1" x14ac:dyDescent="0.25">
      <c r="A359" s="313" t="s">
        <v>825</v>
      </c>
      <c r="B359" s="313" t="s">
        <v>806</v>
      </c>
      <c r="C359" s="313"/>
      <c r="D359" s="313" t="s">
        <v>807</v>
      </c>
      <c r="E359" s="328">
        <f>'d3'!E359-d3М!E354</f>
        <v>0</v>
      </c>
      <c r="F359" s="328">
        <f>'d3'!F359-d3М!F354</f>
        <v>0</v>
      </c>
      <c r="G359" s="328">
        <f>'d3'!G359-d3М!G354</f>
        <v>0</v>
      </c>
      <c r="H359" s="328">
        <f>'d3'!H359-d3М!H354</f>
        <v>0</v>
      </c>
      <c r="I359" s="328">
        <f>'d3'!I359-d3М!I354</f>
        <v>0</v>
      </c>
      <c r="J359" s="328">
        <f>'d3'!J359-d3М!J354</f>
        <v>0</v>
      </c>
      <c r="K359" s="328">
        <f>'d3'!K359-d3М!K354</f>
        <v>0</v>
      </c>
      <c r="L359" s="328">
        <f>'d3'!L359-d3М!L354</f>
        <v>0</v>
      </c>
      <c r="M359" s="328">
        <f>'d3'!M359-d3М!M354</f>
        <v>0</v>
      </c>
      <c r="N359" s="328">
        <f>'d3'!N359-d3М!N354</f>
        <v>0</v>
      </c>
      <c r="O359" s="328">
        <f>'d3'!O359-d3М!O354</f>
        <v>0</v>
      </c>
      <c r="P359" s="328">
        <f>'d3'!P359-d3М!P354</f>
        <v>0</v>
      </c>
      <c r="Q359" s="47"/>
      <c r="R359" s="50"/>
    </row>
    <row r="360" spans="1:18" ht="93" thickTop="1" thickBot="1" x14ac:dyDescent="0.25">
      <c r="A360" s="329" t="s">
        <v>1014</v>
      </c>
      <c r="B360" s="329" t="s">
        <v>1015</v>
      </c>
      <c r="C360" s="329"/>
      <c r="D360" s="329" t="s">
        <v>1013</v>
      </c>
      <c r="E360" s="328">
        <f>'d3'!E360-d3М!E355</f>
        <v>0</v>
      </c>
      <c r="F360" s="328">
        <f>'d3'!F360-d3М!F355</f>
        <v>0</v>
      </c>
      <c r="G360" s="328">
        <f>'d3'!G360-d3М!G355</f>
        <v>0</v>
      </c>
      <c r="H360" s="328">
        <f>'d3'!H360-d3М!H355</f>
        <v>0</v>
      </c>
      <c r="I360" s="328">
        <f>'d3'!I360-d3М!I355</f>
        <v>0</v>
      </c>
      <c r="J360" s="328">
        <f>'d3'!J360-d3М!J355</f>
        <v>0</v>
      </c>
      <c r="K360" s="328">
        <f>'d3'!K360-d3М!K355</f>
        <v>0</v>
      </c>
      <c r="L360" s="328">
        <f>'d3'!L360-d3М!L355</f>
        <v>0</v>
      </c>
      <c r="M360" s="328">
        <f>'d3'!M360-d3М!M355</f>
        <v>0</v>
      </c>
      <c r="N360" s="328">
        <f>'d3'!N360-d3М!N355</f>
        <v>0</v>
      </c>
      <c r="O360" s="328">
        <f>'d3'!O360-d3М!O355</f>
        <v>0</v>
      </c>
      <c r="P360" s="328">
        <f>'d3'!P360-d3М!P355</f>
        <v>0</v>
      </c>
      <c r="Q360" s="47"/>
      <c r="R360" s="50"/>
    </row>
    <row r="361" spans="1:18" ht="47.25" thickTop="1" thickBot="1" x14ac:dyDescent="0.25">
      <c r="A361" s="103" t="s">
        <v>467</v>
      </c>
      <c r="B361" s="103" t="s">
        <v>412</v>
      </c>
      <c r="C361" s="103" t="s">
        <v>413</v>
      </c>
      <c r="D361" s="103" t="s">
        <v>414</v>
      </c>
      <c r="E361" s="328">
        <f>'d3'!E361-d3М!E356</f>
        <v>0</v>
      </c>
      <c r="F361" s="328">
        <f>'d3'!F361-d3М!F356</f>
        <v>0</v>
      </c>
      <c r="G361" s="328">
        <f>'d3'!G361-d3М!G356</f>
        <v>0</v>
      </c>
      <c r="H361" s="328">
        <f>'d3'!H361-d3М!H356</f>
        <v>0</v>
      </c>
      <c r="I361" s="328">
        <f>'d3'!I361-d3М!I356</f>
        <v>0</v>
      </c>
      <c r="J361" s="328">
        <f>'d3'!J361-d3М!J356</f>
        <v>0</v>
      </c>
      <c r="K361" s="328">
        <f>'d3'!K361-d3М!K356</f>
        <v>0</v>
      </c>
      <c r="L361" s="328">
        <f>'d3'!L361-d3М!L356</f>
        <v>0</v>
      </c>
      <c r="M361" s="328">
        <f>'d3'!M361-d3М!M356</f>
        <v>0</v>
      </c>
      <c r="N361" s="328">
        <f>'d3'!N361-d3М!N356</f>
        <v>0</v>
      </c>
      <c r="O361" s="328">
        <f>'d3'!O361-d3М!O356</f>
        <v>0</v>
      </c>
      <c r="P361" s="328">
        <f>'d3'!P361-d3М!P356</f>
        <v>0</v>
      </c>
      <c r="Q361" s="47"/>
      <c r="R361" s="50"/>
    </row>
    <row r="362" spans="1:18" ht="47.25" thickTop="1" thickBot="1" x14ac:dyDescent="0.25">
      <c r="A362" s="329" t="s">
        <v>826</v>
      </c>
      <c r="B362" s="329" t="s">
        <v>827</v>
      </c>
      <c r="C362" s="329"/>
      <c r="D362" s="329" t="s">
        <v>828</v>
      </c>
      <c r="E362" s="328">
        <f>'d3'!E362-d3М!E357</f>
        <v>0</v>
      </c>
      <c r="F362" s="328">
        <f>'d3'!F362-d3М!F357</f>
        <v>0</v>
      </c>
      <c r="G362" s="328">
        <f>'d3'!G362-d3М!G357</f>
        <v>0</v>
      </c>
      <c r="H362" s="328">
        <f>'d3'!H362-d3М!H357</f>
        <v>0</v>
      </c>
      <c r="I362" s="328">
        <f>'d3'!I362-d3М!I357</f>
        <v>0</v>
      </c>
      <c r="J362" s="328">
        <f>'d3'!J362-d3М!J357</f>
        <v>0</v>
      </c>
      <c r="K362" s="328">
        <f>'d3'!K362-d3М!K357</f>
        <v>0</v>
      </c>
      <c r="L362" s="328">
        <f>'d3'!L362-d3М!L357</f>
        <v>0</v>
      </c>
      <c r="M362" s="328">
        <f>'d3'!M362-d3М!M357</f>
        <v>0</v>
      </c>
      <c r="N362" s="328">
        <f>'d3'!N362-d3М!N357</f>
        <v>0</v>
      </c>
      <c r="O362" s="328">
        <f>'d3'!O362-d3М!O357</f>
        <v>0</v>
      </c>
      <c r="P362" s="328">
        <f>'d3'!P362-d3М!P357</f>
        <v>0</v>
      </c>
      <c r="Q362" s="47"/>
      <c r="R362" s="50"/>
    </row>
    <row r="363" spans="1:18" ht="47.25" thickTop="1" thickBot="1" x14ac:dyDescent="0.25">
      <c r="A363" s="103" t="s">
        <v>468</v>
      </c>
      <c r="B363" s="103" t="s">
        <v>291</v>
      </c>
      <c r="C363" s="103" t="s">
        <v>1367</v>
      </c>
      <c r="D363" s="103" t="s">
        <v>292</v>
      </c>
      <c r="E363" s="328">
        <f>'d3'!E363-d3М!E358</f>
        <v>0</v>
      </c>
      <c r="F363" s="328">
        <f>'d3'!F363-d3М!F358</f>
        <v>0</v>
      </c>
      <c r="G363" s="328">
        <f>'d3'!G363-d3М!G358</f>
        <v>0</v>
      </c>
      <c r="H363" s="328">
        <f>'d3'!H363-d3М!H358</f>
        <v>0</v>
      </c>
      <c r="I363" s="328">
        <f>'d3'!I363-d3М!I358</f>
        <v>0</v>
      </c>
      <c r="J363" s="328">
        <f>'d3'!J363-d3М!J358</f>
        <v>0</v>
      </c>
      <c r="K363" s="328">
        <f>'d3'!K363-d3М!K358</f>
        <v>0</v>
      </c>
      <c r="L363" s="328">
        <f>'d3'!L363-d3М!L358</f>
        <v>0</v>
      </c>
      <c r="M363" s="328">
        <f>'d3'!M363-d3М!M358</f>
        <v>0</v>
      </c>
      <c r="N363" s="328">
        <f>'d3'!N363-d3М!N358</f>
        <v>0</v>
      </c>
      <c r="O363" s="328">
        <f>'d3'!O363-d3М!O358</f>
        <v>0</v>
      </c>
      <c r="P363" s="328">
        <f>'d3'!P363-d3М!P358</f>
        <v>0</v>
      </c>
      <c r="Q363" s="47"/>
      <c r="R363" s="50"/>
    </row>
    <row r="364" spans="1:18" ht="47.25" hidden="1" thickTop="1" thickBot="1" x14ac:dyDescent="0.25">
      <c r="A364" s="128" t="s">
        <v>1097</v>
      </c>
      <c r="B364" s="128" t="s">
        <v>1098</v>
      </c>
      <c r="C364" s="128" t="s">
        <v>295</v>
      </c>
      <c r="D364" s="128" t="s">
        <v>1096</v>
      </c>
      <c r="E364" s="328">
        <f>'d3'!E364-d3М!E359</f>
        <v>0</v>
      </c>
      <c r="F364" s="328">
        <f>'d3'!F364-d3М!F359</f>
        <v>0</v>
      </c>
      <c r="G364" s="328">
        <f>'d3'!G364-d3М!G359</f>
        <v>0</v>
      </c>
      <c r="H364" s="328">
        <f>'d3'!H364-d3М!H359</f>
        <v>0</v>
      </c>
      <c r="I364" s="328">
        <f>'d3'!I364-d3М!I359</f>
        <v>0</v>
      </c>
      <c r="J364" s="328">
        <f>'d3'!J364-d3М!J359</f>
        <v>0</v>
      </c>
      <c r="K364" s="328">
        <f>'d3'!K364-d3М!K359</f>
        <v>0</v>
      </c>
      <c r="L364" s="328">
        <f>'d3'!L364-d3М!L359</f>
        <v>0</v>
      </c>
      <c r="M364" s="328">
        <f>'d3'!M364-d3М!M359</f>
        <v>0</v>
      </c>
      <c r="N364" s="328">
        <f>'d3'!N364-d3М!N359</f>
        <v>0</v>
      </c>
      <c r="O364" s="328">
        <f>'d3'!O364-d3М!O359</f>
        <v>0</v>
      </c>
      <c r="P364" s="328">
        <f>'d3'!P364-d3М!P359</f>
        <v>0</v>
      </c>
      <c r="Q364" s="47"/>
      <c r="R364" s="50"/>
    </row>
    <row r="365" spans="1:18" ht="47.25" thickTop="1" thickBot="1" x14ac:dyDescent="0.25">
      <c r="A365" s="698" t="s">
        <v>1173</v>
      </c>
      <c r="B365" s="698" t="s">
        <v>691</v>
      </c>
      <c r="C365" s="698"/>
      <c r="D365" s="698" t="s">
        <v>689</v>
      </c>
      <c r="E365" s="328">
        <f>'d3'!E365-d3М!E360</f>
        <v>0</v>
      </c>
      <c r="F365" s="328">
        <f>'d3'!F365-d3М!F360</f>
        <v>0</v>
      </c>
      <c r="G365" s="328">
        <f>'d3'!G365-d3М!G360</f>
        <v>0</v>
      </c>
      <c r="H365" s="328">
        <f>'d3'!H365-d3М!H360</f>
        <v>0</v>
      </c>
      <c r="I365" s="328">
        <f>'d3'!I365-d3М!I360</f>
        <v>0</v>
      </c>
      <c r="J365" s="328">
        <f>'d3'!J365-d3М!J360</f>
        <v>156500</v>
      </c>
      <c r="K365" s="328">
        <f>'d3'!K365-d3М!K360</f>
        <v>156500</v>
      </c>
      <c r="L365" s="328">
        <f>'d3'!L365-d3М!L360</f>
        <v>0</v>
      </c>
      <c r="M365" s="328">
        <f>'d3'!M365-d3М!M360</f>
        <v>0</v>
      </c>
      <c r="N365" s="328">
        <f>'d3'!N365-d3М!N360</f>
        <v>0</v>
      </c>
      <c r="O365" s="328">
        <f>'d3'!O365-d3М!O360</f>
        <v>156500</v>
      </c>
      <c r="P365" s="328">
        <f>'d3'!P365-d3М!P360</f>
        <v>156500</v>
      </c>
      <c r="Q365" s="47"/>
      <c r="R365" s="50"/>
    </row>
    <row r="366" spans="1:18" ht="47.25" thickTop="1" thickBot="1" x14ac:dyDescent="0.25">
      <c r="A366" s="695" t="s">
        <v>1174</v>
      </c>
      <c r="B366" s="695" t="s">
        <v>197</v>
      </c>
      <c r="C366" s="695" t="s">
        <v>170</v>
      </c>
      <c r="D366" s="695" t="s">
        <v>1175</v>
      </c>
      <c r="E366" s="328">
        <f>'d3'!E366-d3М!E361</f>
        <v>0</v>
      </c>
      <c r="F366" s="328">
        <f>'d3'!F366-d3М!F361</f>
        <v>0</v>
      </c>
      <c r="G366" s="328">
        <f>'d3'!G366-d3М!G361</f>
        <v>0</v>
      </c>
      <c r="H366" s="328">
        <f>'d3'!H366-d3М!H361</f>
        <v>0</v>
      </c>
      <c r="I366" s="328">
        <f>'d3'!I366-d3М!I361</f>
        <v>0</v>
      </c>
      <c r="J366" s="328">
        <f>'d3'!J366-d3М!J361</f>
        <v>156500</v>
      </c>
      <c r="K366" s="328">
        <f>'d3'!K366-d3М!K361</f>
        <v>156500</v>
      </c>
      <c r="L366" s="328">
        <f>'d3'!L366-d3М!L361</f>
        <v>0</v>
      </c>
      <c r="M366" s="328">
        <f>'d3'!M366-d3М!M361</f>
        <v>0</v>
      </c>
      <c r="N366" s="328">
        <f>'d3'!N366-d3М!N361</f>
        <v>0</v>
      </c>
      <c r="O366" s="328">
        <f>'d3'!O366-d3М!O361</f>
        <v>156500</v>
      </c>
      <c r="P366" s="328">
        <f>'d3'!P366-d3М!P361</f>
        <v>156500</v>
      </c>
      <c r="Q366" s="47"/>
      <c r="R366" s="50"/>
    </row>
    <row r="367" spans="1:18" ht="47.25" thickTop="1" thickBot="1" x14ac:dyDescent="0.25">
      <c r="A367" s="311" t="s">
        <v>1219</v>
      </c>
      <c r="B367" s="311" t="s">
        <v>696</v>
      </c>
      <c r="C367" s="311"/>
      <c r="D367" s="311" t="s">
        <v>697</v>
      </c>
      <c r="E367" s="328">
        <f>'d3'!E367-d3М!E362</f>
        <v>0</v>
      </c>
      <c r="F367" s="328">
        <f>'d3'!F367-d3М!F362</f>
        <v>0</v>
      </c>
      <c r="G367" s="328">
        <f>'d3'!G367-d3М!G362</f>
        <v>0</v>
      </c>
      <c r="H367" s="328">
        <f>'d3'!H367-d3М!H362</f>
        <v>0</v>
      </c>
      <c r="I367" s="328">
        <f>'d3'!I367-d3М!I362</f>
        <v>0</v>
      </c>
      <c r="J367" s="328">
        <f>'d3'!J367-d3М!J362</f>
        <v>0</v>
      </c>
      <c r="K367" s="328">
        <f>'d3'!K367-d3М!K362</f>
        <v>0</v>
      </c>
      <c r="L367" s="328">
        <f>'d3'!L367-d3М!L362</f>
        <v>0</v>
      </c>
      <c r="M367" s="328">
        <f>'d3'!M367-d3М!M362</f>
        <v>0</v>
      </c>
      <c r="N367" s="328">
        <f>'d3'!N367-d3М!N362</f>
        <v>0</v>
      </c>
      <c r="O367" s="328">
        <f>'d3'!O367-d3М!O362</f>
        <v>0</v>
      </c>
      <c r="P367" s="328">
        <f>'d3'!P367-d3М!P362</f>
        <v>0</v>
      </c>
      <c r="Q367" s="47"/>
      <c r="R367" s="50"/>
    </row>
    <row r="368" spans="1:18" ht="47.25" thickTop="1" thickBot="1" x14ac:dyDescent="0.25">
      <c r="A368" s="313" t="s">
        <v>1220</v>
      </c>
      <c r="B368" s="313" t="s">
        <v>1186</v>
      </c>
      <c r="C368" s="313"/>
      <c r="D368" s="313" t="s">
        <v>1184</v>
      </c>
      <c r="E368" s="328">
        <f>'d3'!E368-d3М!E363</f>
        <v>0</v>
      </c>
      <c r="F368" s="328">
        <f>'d3'!F368-d3М!F363</f>
        <v>0</v>
      </c>
      <c r="G368" s="328">
        <f>'d3'!G368-d3М!G363</f>
        <v>0</v>
      </c>
      <c r="H368" s="328">
        <f>'d3'!H368-d3М!H363</f>
        <v>0</v>
      </c>
      <c r="I368" s="328">
        <f>'d3'!I368-d3М!I363</f>
        <v>0</v>
      </c>
      <c r="J368" s="328">
        <f>'d3'!J368-d3М!J363</f>
        <v>0</v>
      </c>
      <c r="K368" s="328">
        <f>'d3'!K368-d3М!K363</f>
        <v>0</v>
      </c>
      <c r="L368" s="328">
        <f>'d3'!L368-d3М!L363</f>
        <v>0</v>
      </c>
      <c r="M368" s="328">
        <f>'d3'!M368-d3М!M363</f>
        <v>0</v>
      </c>
      <c r="N368" s="328">
        <f>'d3'!N368-d3М!N363</f>
        <v>0</v>
      </c>
      <c r="O368" s="328">
        <f>'d3'!O368-d3М!O363</f>
        <v>0</v>
      </c>
      <c r="P368" s="328">
        <f>'d3'!P368-d3М!P363</f>
        <v>0</v>
      </c>
      <c r="Q368" s="47"/>
      <c r="R368" s="50"/>
    </row>
    <row r="369" spans="1:18" ht="47.25" thickTop="1" thickBot="1" x14ac:dyDescent="0.25">
      <c r="A369" s="103" t="s">
        <v>1221</v>
      </c>
      <c r="B369" s="103" t="s">
        <v>1222</v>
      </c>
      <c r="C369" s="103" t="s">
        <v>1188</v>
      </c>
      <c r="D369" s="103" t="s">
        <v>1223</v>
      </c>
      <c r="E369" s="328">
        <f>'d3'!E369-d3М!E364</f>
        <v>0</v>
      </c>
      <c r="F369" s="328">
        <f>'d3'!F369-d3М!F364</f>
        <v>0</v>
      </c>
      <c r="G369" s="328">
        <f>'d3'!G369-d3М!G364</f>
        <v>0</v>
      </c>
      <c r="H369" s="328">
        <f>'d3'!H369-d3М!H364</f>
        <v>0</v>
      </c>
      <c r="I369" s="328">
        <f>'d3'!I369-d3М!I364</f>
        <v>0</v>
      </c>
      <c r="J369" s="328">
        <f>'d3'!J369-d3М!J364</f>
        <v>0</v>
      </c>
      <c r="K369" s="328">
        <f>'d3'!K369-d3М!K364</f>
        <v>0</v>
      </c>
      <c r="L369" s="328">
        <f>'d3'!L369-d3М!L364</f>
        <v>0</v>
      </c>
      <c r="M369" s="328">
        <f>'d3'!M369-d3М!M364</f>
        <v>0</v>
      </c>
      <c r="N369" s="328">
        <f>'d3'!N369-d3М!N364</f>
        <v>0</v>
      </c>
      <c r="O369" s="328">
        <f>'d3'!O369-d3М!O364</f>
        <v>0</v>
      </c>
      <c r="P369" s="328">
        <f>'d3'!P369-d3М!P364</f>
        <v>0</v>
      </c>
      <c r="Q369" s="47"/>
      <c r="R369" s="50"/>
    </row>
    <row r="370" spans="1:18" ht="47.25" hidden="1" thickTop="1" thickBot="1" x14ac:dyDescent="0.25">
      <c r="A370" s="125" t="s">
        <v>1334</v>
      </c>
      <c r="B370" s="125" t="s">
        <v>702</v>
      </c>
      <c r="C370" s="125"/>
      <c r="D370" s="125" t="s">
        <v>703</v>
      </c>
      <c r="E370" s="127">
        <f t="shared" ref="E370:P370" si="97">E371</f>
        <v>0</v>
      </c>
      <c r="F370" s="127">
        <f t="shared" si="97"/>
        <v>0</v>
      </c>
      <c r="G370" s="127">
        <f t="shared" si="97"/>
        <v>0</v>
      </c>
      <c r="H370" s="127">
        <f t="shared" si="97"/>
        <v>0</v>
      </c>
      <c r="I370" s="127">
        <f t="shared" si="97"/>
        <v>0</v>
      </c>
      <c r="J370" s="127">
        <f t="shared" si="97"/>
        <v>0</v>
      </c>
      <c r="K370" s="127">
        <f t="shared" si="97"/>
        <v>0</v>
      </c>
      <c r="L370" s="127">
        <f t="shared" si="97"/>
        <v>0</v>
      </c>
      <c r="M370" s="127">
        <f t="shared" si="97"/>
        <v>0</v>
      </c>
      <c r="N370" s="127">
        <f t="shared" si="97"/>
        <v>0</v>
      </c>
      <c r="O370" s="127">
        <f t="shared" si="97"/>
        <v>0</v>
      </c>
      <c r="P370" s="127">
        <f t="shared" si="97"/>
        <v>0</v>
      </c>
      <c r="Q370" s="47"/>
      <c r="R370" s="50"/>
    </row>
    <row r="371" spans="1:18" ht="91.5" hidden="1" thickTop="1" thickBot="1" x14ac:dyDescent="0.25">
      <c r="A371" s="136" t="s">
        <v>1335</v>
      </c>
      <c r="B371" s="136" t="s">
        <v>514</v>
      </c>
      <c r="C371" s="136" t="s">
        <v>43</v>
      </c>
      <c r="D371" s="136" t="s">
        <v>515</v>
      </c>
      <c r="E371" s="137">
        <f t="shared" ref="E371" si="98">F371</f>
        <v>0</v>
      </c>
      <c r="F371" s="137">
        <v>0</v>
      </c>
      <c r="G371" s="137"/>
      <c r="H371" s="137"/>
      <c r="I371" s="137"/>
      <c r="J371" s="137">
        <f>L371+O371</f>
        <v>0</v>
      </c>
      <c r="K371" s="134"/>
      <c r="L371" s="137"/>
      <c r="M371" s="137"/>
      <c r="N371" s="137"/>
      <c r="O371" s="137">
        <f>(K371+0)</f>
        <v>0</v>
      </c>
      <c r="P371" s="137">
        <f>E371+J371</f>
        <v>0</v>
      </c>
      <c r="Q371" s="47"/>
      <c r="R371" s="50"/>
    </row>
    <row r="372" spans="1:18" ht="120" customHeight="1" thickTop="1" thickBot="1" x14ac:dyDescent="0.25">
      <c r="A372" s="661" t="s">
        <v>166</v>
      </c>
      <c r="B372" s="661"/>
      <c r="C372" s="661"/>
      <c r="D372" s="662" t="s">
        <v>354</v>
      </c>
      <c r="E372" s="663">
        <f>E373</f>
        <v>220842</v>
      </c>
      <c r="F372" s="664">
        <f t="shared" ref="F372:G372" si="99">F373</f>
        <v>220842</v>
      </c>
      <c r="G372" s="664">
        <f t="shared" si="99"/>
        <v>0</v>
      </c>
      <c r="H372" s="664">
        <f>H373</f>
        <v>0</v>
      </c>
      <c r="I372" s="664">
        <f t="shared" ref="I372" si="100">I373</f>
        <v>0</v>
      </c>
      <c r="J372" s="663">
        <f>J373</f>
        <v>3669958</v>
      </c>
      <c r="K372" s="664">
        <f>K373</f>
        <v>3669958</v>
      </c>
      <c r="L372" s="664">
        <f>L373</f>
        <v>0</v>
      </c>
      <c r="M372" s="664">
        <f t="shared" ref="M372" si="101">M373</f>
        <v>0</v>
      </c>
      <c r="N372" s="664">
        <f>N373</f>
        <v>0</v>
      </c>
      <c r="O372" s="663">
        <f>O373</f>
        <v>3669958</v>
      </c>
      <c r="P372" s="664">
        <f t="shared" ref="P372" si="102">P373</f>
        <v>3890800</v>
      </c>
      <c r="Q372" s="20"/>
    </row>
    <row r="373" spans="1:18" ht="120" customHeight="1" thickTop="1" thickBot="1" x14ac:dyDescent="0.25">
      <c r="A373" s="658" t="s">
        <v>167</v>
      </c>
      <c r="B373" s="658"/>
      <c r="C373" s="658"/>
      <c r="D373" s="659" t="s">
        <v>355</v>
      </c>
      <c r="E373" s="660">
        <f>E377+E389+E386+E374</f>
        <v>220842</v>
      </c>
      <c r="F373" s="660">
        <f>F377+F389+F386+F374</f>
        <v>220842</v>
      </c>
      <c r="G373" s="660">
        <f>G377+G389+G386+G374</f>
        <v>0</v>
      </c>
      <c r="H373" s="660">
        <f>H377+H389+H386+H374</f>
        <v>0</v>
      </c>
      <c r="I373" s="660">
        <f>I377+I389+I386+I374</f>
        <v>0</v>
      </c>
      <c r="J373" s="660">
        <f>L373+O373</f>
        <v>3669958</v>
      </c>
      <c r="K373" s="660">
        <f>K377+K389+K386+K374</f>
        <v>3669958</v>
      </c>
      <c r="L373" s="660">
        <f>L377+L389+L386+L374</f>
        <v>0</v>
      </c>
      <c r="M373" s="660">
        <f>M377+M389+M386+M374</f>
        <v>0</v>
      </c>
      <c r="N373" s="660">
        <f>N377+N389+N386+N374</f>
        <v>0</v>
      </c>
      <c r="O373" s="660">
        <f>O377+O389+O386+O374</f>
        <v>3669958</v>
      </c>
      <c r="P373" s="660">
        <f>E373+J373</f>
        <v>3890800</v>
      </c>
      <c r="Q373" s="503" t="b">
        <f>P373=P379+P381+P382+P383+P375+P388+P376</f>
        <v>1</v>
      </c>
      <c r="R373" s="46"/>
    </row>
    <row r="374" spans="1:18" ht="47.25" thickTop="1" thickBot="1" x14ac:dyDescent="0.25">
      <c r="A374" s="311" t="s">
        <v>1308</v>
      </c>
      <c r="B374" s="311" t="s">
        <v>711</v>
      </c>
      <c r="C374" s="311"/>
      <c r="D374" s="311" t="s">
        <v>712</v>
      </c>
      <c r="E374" s="328">
        <f>'d3'!E374-d3М!E369</f>
        <v>504802</v>
      </c>
      <c r="F374" s="328">
        <f>'d3'!F374-d3М!F369</f>
        <v>504802</v>
      </c>
      <c r="G374" s="328">
        <f>'d3'!G374-d3М!G369</f>
        <v>0</v>
      </c>
      <c r="H374" s="328">
        <f>'d3'!H374-d3М!H369</f>
        <v>0</v>
      </c>
      <c r="I374" s="328">
        <f>'d3'!I374-d3М!I369</f>
        <v>0</v>
      </c>
      <c r="J374" s="328">
        <f>'d3'!J374-d3М!J369</f>
        <v>-4002</v>
      </c>
      <c r="K374" s="328">
        <f>'d3'!K374-d3М!K369</f>
        <v>-4002</v>
      </c>
      <c r="L374" s="328">
        <f>'d3'!L374-d3М!L369</f>
        <v>0</v>
      </c>
      <c r="M374" s="328">
        <f>'d3'!M374-d3М!M369</f>
        <v>0</v>
      </c>
      <c r="N374" s="328">
        <f>'d3'!N374-d3М!N369</f>
        <v>0</v>
      </c>
      <c r="O374" s="328">
        <f>'d3'!O374-d3М!O369</f>
        <v>-4002</v>
      </c>
      <c r="P374" s="328">
        <f>'d3'!P374-d3М!P369</f>
        <v>500800</v>
      </c>
      <c r="Q374" s="47"/>
      <c r="R374" s="46"/>
    </row>
    <row r="375" spans="1:18" ht="93" thickTop="1" thickBot="1" x14ac:dyDescent="0.25">
      <c r="A375" s="103" t="s">
        <v>1309</v>
      </c>
      <c r="B375" s="103" t="s">
        <v>1200</v>
      </c>
      <c r="C375" s="103" t="s">
        <v>206</v>
      </c>
      <c r="D375" s="470" t="s">
        <v>1201</v>
      </c>
      <c r="E375" s="328">
        <f>'d3'!E375-d3М!E370</f>
        <v>-123498</v>
      </c>
      <c r="F375" s="328">
        <f>'d3'!F375-d3М!F370</f>
        <v>-123498</v>
      </c>
      <c r="G375" s="328">
        <f>'d3'!G375-d3М!G370</f>
        <v>0</v>
      </c>
      <c r="H375" s="328">
        <f>'d3'!H375-d3М!H370</f>
        <v>0</v>
      </c>
      <c r="I375" s="328">
        <f>'d3'!I375-d3М!I370</f>
        <v>0</v>
      </c>
      <c r="J375" s="328">
        <f>'d3'!J375-d3М!J370</f>
        <v>-227502</v>
      </c>
      <c r="K375" s="328">
        <f>'d3'!K375-d3М!K370</f>
        <v>-227502</v>
      </c>
      <c r="L375" s="328">
        <f>'d3'!L375-d3М!L370</f>
        <v>0</v>
      </c>
      <c r="M375" s="328">
        <f>'d3'!M375-d3М!M370</f>
        <v>0</v>
      </c>
      <c r="N375" s="328">
        <f>'d3'!N375-d3М!N370</f>
        <v>0</v>
      </c>
      <c r="O375" s="328">
        <f>'d3'!O375-d3М!O370</f>
        <v>-227502</v>
      </c>
      <c r="P375" s="328">
        <f>'d3'!P375-d3М!P370</f>
        <v>-351000</v>
      </c>
      <c r="Q375" s="47"/>
      <c r="R375" s="46"/>
    </row>
    <row r="376" spans="1:18" ht="54" customHeight="1" thickTop="1" thickBot="1" x14ac:dyDescent="0.25">
      <c r="A376" s="695" t="s">
        <v>1621</v>
      </c>
      <c r="B376" s="695" t="s">
        <v>330</v>
      </c>
      <c r="C376" s="695" t="s">
        <v>191</v>
      </c>
      <c r="D376" s="696" t="s">
        <v>332</v>
      </c>
      <c r="E376" s="328">
        <f>'d3'!E376-0</f>
        <v>628300</v>
      </c>
      <c r="F376" s="328">
        <f>'d3'!F376-0</f>
        <v>628300</v>
      </c>
      <c r="G376" s="328">
        <f>'d3'!G376-0</f>
        <v>0</v>
      </c>
      <c r="H376" s="328">
        <f>'d3'!H376-0</f>
        <v>0</v>
      </c>
      <c r="I376" s="328">
        <f>'d3'!I376-0</f>
        <v>0</v>
      </c>
      <c r="J376" s="328">
        <f>'d3'!J376-0</f>
        <v>223500</v>
      </c>
      <c r="K376" s="328">
        <f>'d3'!K376-0</f>
        <v>223500</v>
      </c>
      <c r="L376" s="328">
        <f>'d3'!L376-0</f>
        <v>0</v>
      </c>
      <c r="M376" s="328">
        <f>'d3'!M376-0</f>
        <v>0</v>
      </c>
      <c r="N376" s="328">
        <f>'d3'!N376-0</f>
        <v>0</v>
      </c>
      <c r="O376" s="328">
        <f>'d3'!O376-0</f>
        <v>223500</v>
      </c>
      <c r="P376" s="328">
        <f>'d3'!P376-0</f>
        <v>851800</v>
      </c>
      <c r="Q376" s="47"/>
      <c r="R376" s="46"/>
    </row>
    <row r="377" spans="1:18" ht="44.25" customHeight="1" thickTop="1" thickBot="1" x14ac:dyDescent="0.25">
      <c r="A377" s="311" t="s">
        <v>829</v>
      </c>
      <c r="B377" s="311" t="s">
        <v>748</v>
      </c>
      <c r="C377" s="103"/>
      <c r="D377" s="311" t="s">
        <v>794</v>
      </c>
      <c r="E377" s="587">
        <f>'d3'!E377-d3М!E371</f>
        <v>-200000</v>
      </c>
      <c r="F377" s="587">
        <f>'d3'!F377-d3М!F371</f>
        <v>-200000</v>
      </c>
      <c r="G377" s="587">
        <f>'d3'!G377-d3М!G371</f>
        <v>0</v>
      </c>
      <c r="H377" s="587">
        <f>'d3'!H377-d3М!H371</f>
        <v>0</v>
      </c>
      <c r="I377" s="587">
        <f>'d3'!I377-d3М!I371</f>
        <v>0</v>
      </c>
      <c r="J377" s="587">
        <f>'d3'!J377-d3М!J371</f>
        <v>3900000</v>
      </c>
      <c r="K377" s="587">
        <f>'d3'!K377-d3М!K371</f>
        <v>3900000</v>
      </c>
      <c r="L377" s="587">
        <f>'d3'!L377-d3М!L371</f>
        <v>0</v>
      </c>
      <c r="M377" s="587">
        <f>'d3'!M377-d3М!M371</f>
        <v>0</v>
      </c>
      <c r="N377" s="587">
        <f>'d3'!N377-d3М!N371</f>
        <v>0</v>
      </c>
      <c r="O377" s="587">
        <f>'d3'!O377-d3М!O371</f>
        <v>3900000</v>
      </c>
      <c r="P377" s="587">
        <f>'d3'!P377-d3М!P371</f>
        <v>3700000</v>
      </c>
      <c r="Q377" s="47"/>
      <c r="R377" s="46"/>
    </row>
    <row r="378" spans="1:18" ht="47.25" thickTop="1" thickBot="1" x14ac:dyDescent="0.25">
      <c r="A378" s="313" t="s">
        <v>1011</v>
      </c>
      <c r="B378" s="313" t="s">
        <v>803</v>
      </c>
      <c r="C378" s="313"/>
      <c r="D378" s="313" t="s">
        <v>804</v>
      </c>
      <c r="E378" s="587">
        <f>'d3'!E378-d3М!E372</f>
        <v>0</v>
      </c>
      <c r="F378" s="587">
        <f>'d3'!F378-d3М!F372</f>
        <v>0</v>
      </c>
      <c r="G378" s="587">
        <f>'d3'!G378-d3М!G372</f>
        <v>0</v>
      </c>
      <c r="H378" s="587">
        <f>'d3'!H378-d3М!H372</f>
        <v>0</v>
      </c>
      <c r="I378" s="587">
        <f>'d3'!I378-d3М!I372</f>
        <v>0</v>
      </c>
      <c r="J378" s="587">
        <f>'d3'!J378-d3М!J372</f>
        <v>4000000</v>
      </c>
      <c r="K378" s="587">
        <f>'d3'!K378-d3М!K372</f>
        <v>4000000</v>
      </c>
      <c r="L378" s="587">
        <f>'d3'!L378-d3М!L372</f>
        <v>0</v>
      </c>
      <c r="M378" s="587">
        <f>'d3'!M378-d3М!M372</f>
        <v>0</v>
      </c>
      <c r="N378" s="587">
        <f>'d3'!N378-d3М!N372</f>
        <v>0</v>
      </c>
      <c r="O378" s="587">
        <f>'d3'!O378-d3М!O372</f>
        <v>4000000</v>
      </c>
      <c r="P378" s="587">
        <f>'d3'!P378-d3М!P372</f>
        <v>4000000</v>
      </c>
      <c r="Q378" s="47"/>
      <c r="R378" s="46"/>
    </row>
    <row r="379" spans="1:18" ht="47.25" thickTop="1" thickBot="1" x14ac:dyDescent="0.25">
      <c r="A379" s="103" t="s">
        <v>1012</v>
      </c>
      <c r="B379" s="103" t="s">
        <v>350</v>
      </c>
      <c r="C379" s="103" t="s">
        <v>170</v>
      </c>
      <c r="D379" s="103" t="s">
        <v>262</v>
      </c>
      <c r="E379" s="587">
        <f>'d3'!E379-d3М!E373</f>
        <v>0</v>
      </c>
      <c r="F379" s="587">
        <f>'d3'!F379-d3М!F373</f>
        <v>0</v>
      </c>
      <c r="G379" s="587">
        <f>'d3'!G379-d3М!G373</f>
        <v>0</v>
      </c>
      <c r="H379" s="587">
        <f>'d3'!H379-d3М!H373</f>
        <v>0</v>
      </c>
      <c r="I379" s="587">
        <f>'d3'!I379-d3М!I373</f>
        <v>0</v>
      </c>
      <c r="J379" s="587">
        <f>'d3'!J379-d3М!J373</f>
        <v>4000000</v>
      </c>
      <c r="K379" s="587">
        <f>'d3'!K379-d3М!K373</f>
        <v>4000000</v>
      </c>
      <c r="L379" s="587">
        <f>'d3'!L379-d3М!L373</f>
        <v>0</v>
      </c>
      <c r="M379" s="587">
        <f>'d3'!M379-d3М!M373</f>
        <v>0</v>
      </c>
      <c r="N379" s="587">
        <f>'d3'!N379-d3М!N373</f>
        <v>0</v>
      </c>
      <c r="O379" s="587">
        <f>'d3'!O379-d3М!O373</f>
        <v>4000000</v>
      </c>
      <c r="P379" s="587">
        <f>'d3'!P379-d3М!P373</f>
        <v>4000000</v>
      </c>
      <c r="Q379" s="47"/>
      <c r="R379" s="46"/>
    </row>
    <row r="380" spans="1:18" ht="47.25" thickTop="1" thickBot="1" x14ac:dyDescent="0.25">
      <c r="A380" s="313" t="s">
        <v>830</v>
      </c>
      <c r="B380" s="313" t="s">
        <v>691</v>
      </c>
      <c r="C380" s="313"/>
      <c r="D380" s="313" t="s">
        <v>689</v>
      </c>
      <c r="E380" s="587">
        <f>'d3'!E380-d3М!E374</f>
        <v>-200000</v>
      </c>
      <c r="F380" s="587">
        <f>'d3'!F380-d3М!F374</f>
        <v>-200000</v>
      </c>
      <c r="G380" s="587">
        <f>'d3'!G380-d3М!G374</f>
        <v>0</v>
      </c>
      <c r="H380" s="587">
        <f>'d3'!H380-d3М!H374</f>
        <v>0</v>
      </c>
      <c r="I380" s="587">
        <f>'d3'!I380-d3М!I374</f>
        <v>0</v>
      </c>
      <c r="J380" s="587">
        <f>'d3'!J380-d3М!J374</f>
        <v>-100000</v>
      </c>
      <c r="K380" s="587">
        <f>'d3'!K380-d3М!K374</f>
        <v>-100000</v>
      </c>
      <c r="L380" s="587">
        <f>'d3'!L380-d3М!L374</f>
        <v>0</v>
      </c>
      <c r="M380" s="587">
        <f>'d3'!M380-d3М!M374</f>
        <v>0</v>
      </c>
      <c r="N380" s="587">
        <f>'d3'!N380-d3М!N374</f>
        <v>0</v>
      </c>
      <c r="O380" s="587">
        <f>'d3'!O380-d3М!O374</f>
        <v>-100000</v>
      </c>
      <c r="P380" s="587">
        <f>'d3'!P380-d3М!P374</f>
        <v>-300000</v>
      </c>
      <c r="Q380" s="47"/>
      <c r="R380" s="46"/>
    </row>
    <row r="381" spans="1:18" ht="47.25" thickTop="1" thickBot="1" x14ac:dyDescent="0.25">
      <c r="A381" s="103" t="s">
        <v>260</v>
      </c>
      <c r="B381" s="103" t="s">
        <v>261</v>
      </c>
      <c r="C381" s="103" t="s">
        <v>259</v>
      </c>
      <c r="D381" s="103" t="s">
        <v>258</v>
      </c>
      <c r="E381" s="587">
        <f>'d3'!E381-d3М!E375</f>
        <v>0</v>
      </c>
      <c r="F381" s="587">
        <f>'d3'!F381-d3М!F375</f>
        <v>0</v>
      </c>
      <c r="G381" s="587">
        <f>'d3'!G381-d3М!G375</f>
        <v>0</v>
      </c>
      <c r="H381" s="587">
        <f>'d3'!H381-d3М!H375</f>
        <v>0</v>
      </c>
      <c r="I381" s="587">
        <f>'d3'!I381-d3М!I375</f>
        <v>0</v>
      </c>
      <c r="J381" s="587">
        <f>'d3'!J381-d3М!J375</f>
        <v>0</v>
      </c>
      <c r="K381" s="587">
        <f>'d3'!K381-d3М!K375</f>
        <v>0</v>
      </c>
      <c r="L381" s="587">
        <f>'d3'!L381-d3М!L375</f>
        <v>0</v>
      </c>
      <c r="M381" s="587">
        <f>'d3'!M381-d3М!M375</f>
        <v>0</v>
      </c>
      <c r="N381" s="587">
        <f>'d3'!N381-d3М!N375</f>
        <v>0</v>
      </c>
      <c r="O381" s="587">
        <f>'d3'!O381-d3М!O375</f>
        <v>0</v>
      </c>
      <c r="P381" s="587">
        <f>'d3'!P381-d3М!P375</f>
        <v>0</v>
      </c>
      <c r="Q381" s="20"/>
      <c r="R381" s="46"/>
    </row>
    <row r="382" spans="1:18" ht="47.25" thickTop="1" thickBot="1" x14ac:dyDescent="0.25">
      <c r="A382" s="103" t="s">
        <v>252</v>
      </c>
      <c r="B382" s="103" t="s">
        <v>254</v>
      </c>
      <c r="C382" s="103" t="s">
        <v>213</v>
      </c>
      <c r="D382" s="103" t="s">
        <v>253</v>
      </c>
      <c r="E382" s="587">
        <f>'d3'!E382-d3М!E376</f>
        <v>0</v>
      </c>
      <c r="F382" s="587">
        <f>'d3'!F382-d3М!F376</f>
        <v>0</v>
      </c>
      <c r="G382" s="587">
        <f>'d3'!G382-d3М!G376</f>
        <v>0</v>
      </c>
      <c r="H382" s="587">
        <f>'d3'!H382-d3М!H376</f>
        <v>0</v>
      </c>
      <c r="I382" s="587">
        <f>'d3'!I382-d3М!I376</f>
        <v>0</v>
      </c>
      <c r="J382" s="587">
        <f>'d3'!J382-d3М!J376</f>
        <v>0</v>
      </c>
      <c r="K382" s="587">
        <f>'d3'!K382-d3М!K376</f>
        <v>0</v>
      </c>
      <c r="L382" s="587">
        <f>'d3'!L382-d3М!L376</f>
        <v>0</v>
      </c>
      <c r="M382" s="587">
        <f>'d3'!M382-d3М!M376</f>
        <v>0</v>
      </c>
      <c r="N382" s="587">
        <f>'d3'!N382-d3М!N376</f>
        <v>0</v>
      </c>
      <c r="O382" s="587">
        <f>'d3'!O382-d3М!O376</f>
        <v>0</v>
      </c>
      <c r="P382" s="587">
        <f>'d3'!P382-d3М!P376</f>
        <v>0</v>
      </c>
      <c r="Q382" s="20"/>
      <c r="R382" s="46"/>
    </row>
    <row r="383" spans="1:18" ht="47.25" thickTop="1" thickBot="1" x14ac:dyDescent="0.25">
      <c r="A383" s="103" t="s">
        <v>1303</v>
      </c>
      <c r="B383" s="103" t="s">
        <v>212</v>
      </c>
      <c r="C383" s="103" t="s">
        <v>213</v>
      </c>
      <c r="D383" s="103" t="s">
        <v>41</v>
      </c>
      <c r="E383" s="587">
        <f>'d3'!E383-d3М!E377</f>
        <v>-200000</v>
      </c>
      <c r="F383" s="587">
        <f>'d3'!F383-d3М!F377</f>
        <v>-200000</v>
      </c>
      <c r="G383" s="587">
        <f>'d3'!G383-d3М!G377</f>
        <v>0</v>
      </c>
      <c r="H383" s="587">
        <f>'d3'!H383-d3М!H377</f>
        <v>0</v>
      </c>
      <c r="I383" s="587">
        <f>'d3'!I383-d3М!I377</f>
        <v>0</v>
      </c>
      <c r="J383" s="587">
        <f>'d3'!J383-d3М!J377</f>
        <v>-100000</v>
      </c>
      <c r="K383" s="587">
        <f>'d3'!K383-d3М!K377</f>
        <v>-100000</v>
      </c>
      <c r="L383" s="587">
        <f>'d3'!L383-d3М!L377</f>
        <v>0</v>
      </c>
      <c r="M383" s="587">
        <f>'d3'!M383-d3М!M377</f>
        <v>0</v>
      </c>
      <c r="N383" s="587">
        <f>'d3'!N383-d3М!N377</f>
        <v>0</v>
      </c>
      <c r="O383" s="587">
        <f>'d3'!O383-d3М!O377</f>
        <v>-100000</v>
      </c>
      <c r="P383" s="587">
        <f>'d3'!P383-d3М!P377</f>
        <v>-300000</v>
      </c>
      <c r="Q383" s="20"/>
      <c r="R383" s="46"/>
    </row>
    <row r="384" spans="1:18" ht="47.25" hidden="1" thickTop="1" thickBot="1" x14ac:dyDescent="0.25">
      <c r="A384" s="140" t="s">
        <v>831</v>
      </c>
      <c r="B384" s="140" t="s">
        <v>694</v>
      </c>
      <c r="C384" s="140"/>
      <c r="D384" s="140" t="s">
        <v>692</v>
      </c>
      <c r="E384" s="587">
        <f>'d3'!E384-d3М!E378</f>
        <v>0</v>
      </c>
      <c r="F384" s="587">
        <f>'d3'!F384-d3М!F378</f>
        <v>0</v>
      </c>
      <c r="G384" s="587">
        <f>'d3'!G384-d3М!G378</f>
        <v>0</v>
      </c>
      <c r="H384" s="587">
        <f>'d3'!H384-d3М!H378</f>
        <v>0</v>
      </c>
      <c r="I384" s="587">
        <f>'d3'!I384-d3М!I378</f>
        <v>0</v>
      </c>
      <c r="J384" s="587">
        <f>'d3'!J384-d3М!J378</f>
        <v>0</v>
      </c>
      <c r="K384" s="587">
        <f>'d3'!K384-d3М!K378</f>
        <v>0</v>
      </c>
      <c r="L384" s="587">
        <f>'d3'!L384-d3М!L378</f>
        <v>0</v>
      </c>
      <c r="M384" s="587">
        <f>'d3'!M384-d3М!M378</f>
        <v>0</v>
      </c>
      <c r="N384" s="587">
        <f>'d3'!N384-d3М!N378</f>
        <v>0</v>
      </c>
      <c r="O384" s="587">
        <f>'d3'!O384-d3М!O378</f>
        <v>0</v>
      </c>
      <c r="P384" s="587">
        <f>'d3'!P384-d3М!P378</f>
        <v>0</v>
      </c>
      <c r="Q384" s="20"/>
      <c r="R384" s="46"/>
    </row>
    <row r="385" spans="1:18" ht="47.25" hidden="1" thickTop="1" thickBot="1" x14ac:dyDescent="0.25">
      <c r="A385" s="128" t="s">
        <v>256</v>
      </c>
      <c r="B385" s="128" t="s">
        <v>257</v>
      </c>
      <c r="C385" s="128" t="s">
        <v>170</v>
      </c>
      <c r="D385" s="128" t="s">
        <v>255</v>
      </c>
      <c r="E385" s="587">
        <f>'d3'!E385-d3М!E379</f>
        <v>0</v>
      </c>
      <c r="F385" s="587">
        <f>'d3'!F385-d3М!F379</f>
        <v>0</v>
      </c>
      <c r="G385" s="587">
        <f>'d3'!G385-d3М!G379</f>
        <v>0</v>
      </c>
      <c r="H385" s="587">
        <f>'d3'!H385-d3М!H379</f>
        <v>0</v>
      </c>
      <c r="I385" s="587">
        <f>'d3'!I385-d3М!I379</f>
        <v>0</v>
      </c>
      <c r="J385" s="587">
        <f>'d3'!J385-d3М!J379</f>
        <v>0</v>
      </c>
      <c r="K385" s="587">
        <f>'d3'!K385-d3М!K379</f>
        <v>0</v>
      </c>
      <c r="L385" s="587">
        <f>'d3'!L385-d3М!L379</f>
        <v>0</v>
      </c>
      <c r="M385" s="587">
        <f>'d3'!M385-d3М!M379</f>
        <v>0</v>
      </c>
      <c r="N385" s="587">
        <f>'d3'!N385-d3М!N379</f>
        <v>0</v>
      </c>
      <c r="O385" s="587">
        <f>'d3'!O385-d3М!O379</f>
        <v>0</v>
      </c>
      <c r="P385" s="587">
        <f>'d3'!P385-d3М!P379</f>
        <v>0</v>
      </c>
      <c r="Q385" s="20"/>
      <c r="R385" s="46"/>
    </row>
    <row r="386" spans="1:18" ht="47.25" thickTop="1" thickBot="1" x14ac:dyDescent="0.25">
      <c r="A386" s="311" t="s">
        <v>1305</v>
      </c>
      <c r="B386" s="311" t="s">
        <v>696</v>
      </c>
      <c r="C386" s="311"/>
      <c r="D386" s="311" t="s">
        <v>697</v>
      </c>
      <c r="E386" s="587">
        <f>'d3'!E386-d3М!E380</f>
        <v>-83960</v>
      </c>
      <c r="F386" s="587">
        <f>'d3'!F386-d3М!F380</f>
        <v>-83960</v>
      </c>
      <c r="G386" s="587">
        <f>'d3'!G386-d3М!G380</f>
        <v>0</v>
      </c>
      <c r="H386" s="587">
        <f>'d3'!H386-d3М!H380</f>
        <v>0</v>
      </c>
      <c r="I386" s="587">
        <f>'d3'!I386-d3М!I380</f>
        <v>0</v>
      </c>
      <c r="J386" s="587">
        <f>'d3'!J386-d3М!J380</f>
        <v>-226040</v>
      </c>
      <c r="K386" s="587">
        <f>'d3'!K386-d3М!K380</f>
        <v>-226040</v>
      </c>
      <c r="L386" s="587">
        <f>'d3'!L386-d3М!L380</f>
        <v>0</v>
      </c>
      <c r="M386" s="587">
        <f>'d3'!M386-d3М!M380</f>
        <v>0</v>
      </c>
      <c r="N386" s="587">
        <f>'d3'!N386-d3М!N380</f>
        <v>0</v>
      </c>
      <c r="O386" s="587">
        <f>'d3'!O386-d3М!O380</f>
        <v>-226040</v>
      </c>
      <c r="P386" s="587">
        <f>'d3'!P386-d3М!P380</f>
        <v>-310000</v>
      </c>
      <c r="Q386" s="20"/>
      <c r="R386" s="46"/>
    </row>
    <row r="387" spans="1:18" ht="47.25" thickTop="1" thickBot="1" x14ac:dyDescent="0.25">
      <c r="A387" s="313" t="s">
        <v>1306</v>
      </c>
      <c r="B387" s="313" t="s">
        <v>1186</v>
      </c>
      <c r="C387" s="313"/>
      <c r="D387" s="313" t="s">
        <v>1184</v>
      </c>
      <c r="E387" s="587">
        <f>'d3'!E387-d3М!E381</f>
        <v>-83960</v>
      </c>
      <c r="F387" s="587">
        <f>'d3'!F387-d3М!F381</f>
        <v>-83960</v>
      </c>
      <c r="G387" s="587">
        <f>'d3'!G387-d3М!G381</f>
        <v>0</v>
      </c>
      <c r="H387" s="587">
        <f>'d3'!H387-d3М!H381</f>
        <v>0</v>
      </c>
      <c r="I387" s="587">
        <f>'d3'!I387-d3М!I381</f>
        <v>0</v>
      </c>
      <c r="J387" s="587">
        <f>'d3'!J387-d3М!J381</f>
        <v>-226040</v>
      </c>
      <c r="K387" s="587">
        <f>'d3'!K387-d3М!K381</f>
        <v>-226040</v>
      </c>
      <c r="L387" s="587">
        <f>'d3'!L387-d3М!L381</f>
        <v>0</v>
      </c>
      <c r="M387" s="587">
        <f>'d3'!M387-d3М!M381</f>
        <v>0</v>
      </c>
      <c r="N387" s="587">
        <f>'d3'!N387-d3М!N381</f>
        <v>0</v>
      </c>
      <c r="O387" s="587">
        <f>'d3'!O387-d3М!O381</f>
        <v>-226040</v>
      </c>
      <c r="P387" s="587">
        <f>'d3'!P387-d3М!P381</f>
        <v>-310000</v>
      </c>
      <c r="Q387" s="20"/>
      <c r="R387" s="46"/>
    </row>
    <row r="388" spans="1:18" ht="47.25" thickTop="1" thickBot="1" x14ac:dyDescent="0.25">
      <c r="A388" s="103" t="s">
        <v>1307</v>
      </c>
      <c r="B388" s="103" t="s">
        <v>1190</v>
      </c>
      <c r="C388" s="103" t="s">
        <v>1188</v>
      </c>
      <c r="D388" s="103" t="s">
        <v>1187</v>
      </c>
      <c r="E388" s="587">
        <f>'d3'!E388-d3М!E382</f>
        <v>-83960</v>
      </c>
      <c r="F388" s="587">
        <f>'d3'!F388-d3М!F382</f>
        <v>-83960</v>
      </c>
      <c r="G388" s="587">
        <f>'d3'!G388-d3М!G382</f>
        <v>0</v>
      </c>
      <c r="H388" s="587">
        <f>'d3'!H388-d3М!H382</f>
        <v>0</v>
      </c>
      <c r="I388" s="587">
        <f>'d3'!I388-d3М!I382</f>
        <v>0</v>
      </c>
      <c r="J388" s="587">
        <f>'d3'!J388-d3М!J382</f>
        <v>-226040</v>
      </c>
      <c r="K388" s="587">
        <f>'d3'!K388-d3М!K382</f>
        <v>-226040</v>
      </c>
      <c r="L388" s="587">
        <f>'d3'!L388-d3М!L382</f>
        <v>0</v>
      </c>
      <c r="M388" s="587">
        <f>'d3'!M388-d3М!M382</f>
        <v>0</v>
      </c>
      <c r="N388" s="587">
        <f>'d3'!N388-d3М!N382</f>
        <v>0</v>
      </c>
      <c r="O388" s="587">
        <f>'d3'!O388-d3М!O382</f>
        <v>-226040</v>
      </c>
      <c r="P388" s="587">
        <f>'d3'!P388-d3М!P382</f>
        <v>-310000</v>
      </c>
      <c r="Q388" s="20"/>
      <c r="R388" s="46"/>
    </row>
    <row r="389" spans="1:18" ht="47.25" hidden="1" thickTop="1" thickBot="1" x14ac:dyDescent="0.25">
      <c r="A389" s="125" t="s">
        <v>906</v>
      </c>
      <c r="B389" s="125" t="s">
        <v>702</v>
      </c>
      <c r="C389" s="125"/>
      <c r="D389" s="125" t="s">
        <v>703</v>
      </c>
      <c r="E389" s="127">
        <f>E390</f>
        <v>0</v>
      </c>
      <c r="F389" s="127">
        <f t="shared" ref="F389:P390" si="103">F390</f>
        <v>0</v>
      </c>
      <c r="G389" s="127">
        <f t="shared" si="103"/>
        <v>0</v>
      </c>
      <c r="H389" s="127">
        <f t="shared" si="103"/>
        <v>0</v>
      </c>
      <c r="I389" s="127">
        <f t="shared" si="103"/>
        <v>0</v>
      </c>
      <c r="J389" s="127">
        <f t="shared" si="103"/>
        <v>0</v>
      </c>
      <c r="K389" s="127">
        <f t="shared" si="103"/>
        <v>0</v>
      </c>
      <c r="L389" s="127">
        <f t="shared" si="103"/>
        <v>0</v>
      </c>
      <c r="M389" s="127">
        <f t="shared" si="103"/>
        <v>0</v>
      </c>
      <c r="N389" s="127">
        <f t="shared" si="103"/>
        <v>0</v>
      </c>
      <c r="O389" s="127">
        <f t="shared" si="103"/>
        <v>0</v>
      </c>
      <c r="P389" s="127">
        <f t="shared" si="103"/>
        <v>0</v>
      </c>
      <c r="Q389" s="20"/>
      <c r="R389" s="46"/>
    </row>
    <row r="390" spans="1:18" ht="91.5" hidden="1" thickTop="1" thickBot="1" x14ac:dyDescent="0.25">
      <c r="A390" s="136" t="s">
        <v>907</v>
      </c>
      <c r="B390" s="136" t="s">
        <v>705</v>
      </c>
      <c r="C390" s="136"/>
      <c r="D390" s="136" t="s">
        <v>706</v>
      </c>
      <c r="E390" s="137">
        <f>E391</f>
        <v>0</v>
      </c>
      <c r="F390" s="137">
        <f t="shared" si="103"/>
        <v>0</v>
      </c>
      <c r="G390" s="137">
        <f t="shared" si="103"/>
        <v>0</v>
      </c>
      <c r="H390" s="137">
        <f t="shared" si="103"/>
        <v>0</v>
      </c>
      <c r="I390" s="137">
        <f t="shared" si="103"/>
        <v>0</v>
      </c>
      <c r="J390" s="137">
        <f t="shared" si="103"/>
        <v>0</v>
      </c>
      <c r="K390" s="137">
        <f t="shared" si="103"/>
        <v>0</v>
      </c>
      <c r="L390" s="137">
        <f t="shared" si="103"/>
        <v>0</v>
      </c>
      <c r="M390" s="137">
        <f t="shared" si="103"/>
        <v>0</v>
      </c>
      <c r="N390" s="137">
        <f t="shared" si="103"/>
        <v>0</v>
      </c>
      <c r="O390" s="137">
        <f t="shared" si="103"/>
        <v>0</v>
      </c>
      <c r="P390" s="137">
        <f t="shared" si="103"/>
        <v>0</v>
      </c>
      <c r="Q390" s="20"/>
      <c r="R390" s="46"/>
    </row>
    <row r="391" spans="1:18" ht="48" hidden="1" thickTop="1" thickBot="1" x14ac:dyDescent="0.25">
      <c r="A391" s="128" t="s">
        <v>908</v>
      </c>
      <c r="B391" s="128" t="s">
        <v>363</v>
      </c>
      <c r="C391" s="128" t="s">
        <v>43</v>
      </c>
      <c r="D391" s="128" t="s">
        <v>364</v>
      </c>
      <c r="E391" s="127">
        <f t="shared" ref="E391" si="104">F391</f>
        <v>0</v>
      </c>
      <c r="F391" s="134"/>
      <c r="G391" s="134"/>
      <c r="H391" s="134"/>
      <c r="I391" s="134"/>
      <c r="J391" s="127">
        <f>L391+O391</f>
        <v>0</v>
      </c>
      <c r="K391" s="134"/>
      <c r="L391" s="134"/>
      <c r="M391" s="134"/>
      <c r="N391" s="134"/>
      <c r="O391" s="132">
        <f>K391</f>
        <v>0</v>
      </c>
      <c r="P391" s="127">
        <f>E391+J391</f>
        <v>0</v>
      </c>
      <c r="Q391" s="20"/>
      <c r="R391" s="46"/>
    </row>
    <row r="392" spans="1:18" ht="120" customHeight="1" thickTop="1" thickBot="1" x14ac:dyDescent="0.25">
      <c r="A392" s="661" t="s">
        <v>164</v>
      </c>
      <c r="B392" s="661"/>
      <c r="C392" s="661"/>
      <c r="D392" s="662" t="s">
        <v>887</v>
      </c>
      <c r="E392" s="663">
        <f>E393</f>
        <v>0</v>
      </c>
      <c r="F392" s="664">
        <f t="shared" ref="F392:G392" si="105">F393</f>
        <v>0</v>
      </c>
      <c r="G392" s="664">
        <f t="shared" si="105"/>
        <v>0</v>
      </c>
      <c r="H392" s="664">
        <f>H393</f>
        <v>0</v>
      </c>
      <c r="I392" s="664">
        <f t="shared" ref="I392" si="106">I393</f>
        <v>0</v>
      </c>
      <c r="J392" s="663">
        <f>J393</f>
        <v>0</v>
      </c>
      <c r="K392" s="664">
        <f>K393</f>
        <v>0</v>
      </c>
      <c r="L392" s="664">
        <f>L393</f>
        <v>0</v>
      </c>
      <c r="M392" s="664">
        <f t="shared" ref="M392" si="107">M393</f>
        <v>0</v>
      </c>
      <c r="N392" s="664">
        <f>N393</f>
        <v>0</v>
      </c>
      <c r="O392" s="663">
        <f>O393</f>
        <v>0</v>
      </c>
      <c r="P392" s="664">
        <f t="shared" ref="P392" si="108">P393</f>
        <v>0</v>
      </c>
      <c r="Q392" s="20"/>
    </row>
    <row r="393" spans="1:18" ht="120" customHeight="1" thickTop="1" thickBot="1" x14ac:dyDescent="0.25">
      <c r="A393" s="658" t="s">
        <v>165</v>
      </c>
      <c r="B393" s="658"/>
      <c r="C393" s="658"/>
      <c r="D393" s="659" t="s">
        <v>886</v>
      </c>
      <c r="E393" s="660">
        <f>E394+E397+E400</f>
        <v>0</v>
      </c>
      <c r="F393" s="660">
        <f t="shared" ref="F393:P393" si="109">F394+F397+F400</f>
        <v>0</v>
      </c>
      <c r="G393" s="660">
        <f>G394+G397+G400</f>
        <v>0</v>
      </c>
      <c r="H393" s="660">
        <f t="shared" si="109"/>
        <v>0</v>
      </c>
      <c r="I393" s="660">
        <f t="shared" si="109"/>
        <v>0</v>
      </c>
      <c r="J393" s="660">
        <f>J394+J397+J400</f>
        <v>0</v>
      </c>
      <c r="K393" s="660">
        <f t="shared" si="109"/>
        <v>0</v>
      </c>
      <c r="L393" s="660">
        <f>L394+L397+L400</f>
        <v>0</v>
      </c>
      <c r="M393" s="660">
        <f t="shared" si="109"/>
        <v>0</v>
      </c>
      <c r="N393" s="660">
        <f t="shared" si="109"/>
        <v>0</v>
      </c>
      <c r="O393" s="660">
        <f t="shared" si="109"/>
        <v>0</v>
      </c>
      <c r="P393" s="660">
        <f t="shared" si="109"/>
        <v>0</v>
      </c>
      <c r="Q393" s="503" t="b">
        <f>P393=P395+P399</f>
        <v>1</v>
      </c>
      <c r="R393" s="46"/>
    </row>
    <row r="394" spans="1:18" ht="47.25" thickTop="1" thickBot="1" x14ac:dyDescent="0.25">
      <c r="A394" s="311" t="s">
        <v>832</v>
      </c>
      <c r="B394" s="311" t="s">
        <v>684</v>
      </c>
      <c r="C394" s="311"/>
      <c r="D394" s="311" t="s">
        <v>685</v>
      </c>
      <c r="E394" s="587">
        <f>'d3'!E394-d3М!E388</f>
        <v>0</v>
      </c>
      <c r="F394" s="587">
        <f>'d3'!F394-d3М!F388</f>
        <v>0</v>
      </c>
      <c r="G394" s="587">
        <f>'d3'!G394-d3М!G388</f>
        <v>0</v>
      </c>
      <c r="H394" s="587">
        <f>'d3'!H394-d3М!H388</f>
        <v>0</v>
      </c>
      <c r="I394" s="587">
        <f>'d3'!I394-d3М!I388</f>
        <v>0</v>
      </c>
      <c r="J394" s="587">
        <f>'d3'!J394-d3М!J388</f>
        <v>0</v>
      </c>
      <c r="K394" s="587">
        <f>'d3'!K394-d3М!K388</f>
        <v>0</v>
      </c>
      <c r="L394" s="587">
        <f>'d3'!L394-d3М!L388</f>
        <v>0</v>
      </c>
      <c r="M394" s="587">
        <f>'d3'!M394-d3М!M388</f>
        <v>0</v>
      </c>
      <c r="N394" s="587">
        <f>'d3'!N394-d3М!N388</f>
        <v>0</v>
      </c>
      <c r="O394" s="587">
        <f>'d3'!O394-d3М!O388</f>
        <v>0</v>
      </c>
      <c r="P394" s="587">
        <f>'d3'!P394-d3М!P388</f>
        <v>0</v>
      </c>
      <c r="Q394" s="47"/>
      <c r="R394" s="46"/>
    </row>
    <row r="395" spans="1:18" ht="93" thickTop="1" thickBot="1" x14ac:dyDescent="0.25">
      <c r="A395" s="103" t="s">
        <v>422</v>
      </c>
      <c r="B395" s="103" t="s">
        <v>236</v>
      </c>
      <c r="C395" s="103" t="s">
        <v>234</v>
      </c>
      <c r="D395" s="103" t="s">
        <v>235</v>
      </c>
      <c r="E395" s="587">
        <f>'d3'!E395-d3М!E389</f>
        <v>0</v>
      </c>
      <c r="F395" s="587">
        <f>'d3'!F395-d3М!F389</f>
        <v>0</v>
      </c>
      <c r="G395" s="587">
        <f>'d3'!G395-d3М!G389</f>
        <v>0</v>
      </c>
      <c r="H395" s="587">
        <f>'d3'!H395-d3М!H389</f>
        <v>0</v>
      </c>
      <c r="I395" s="587">
        <f>'d3'!I395-d3М!I389</f>
        <v>0</v>
      </c>
      <c r="J395" s="587">
        <f>'d3'!J395-d3М!J389</f>
        <v>0</v>
      </c>
      <c r="K395" s="587">
        <f>'d3'!K395-d3М!K389</f>
        <v>0</v>
      </c>
      <c r="L395" s="587">
        <f>'d3'!L395-d3М!L389</f>
        <v>0</v>
      </c>
      <c r="M395" s="587">
        <f>'d3'!M395-d3М!M389</f>
        <v>0</v>
      </c>
      <c r="N395" s="587">
        <f>'d3'!N395-d3М!N389</f>
        <v>0</v>
      </c>
      <c r="O395" s="587">
        <f>'d3'!O395-d3М!O389</f>
        <v>0</v>
      </c>
      <c r="P395" s="587">
        <f>'d3'!P395-d3М!P389</f>
        <v>0</v>
      </c>
      <c r="Q395" s="47"/>
      <c r="R395" s="46"/>
    </row>
    <row r="396" spans="1:18" ht="93" hidden="1" thickTop="1" thickBot="1" x14ac:dyDescent="0.25">
      <c r="A396" s="41" t="s">
        <v>633</v>
      </c>
      <c r="B396" s="41" t="s">
        <v>362</v>
      </c>
      <c r="C396" s="41" t="s">
        <v>625</v>
      </c>
      <c r="D396" s="41" t="s">
        <v>626</v>
      </c>
      <c r="E396" s="587">
        <f>'d3'!E396-d3М!E390</f>
        <v>0</v>
      </c>
      <c r="F396" s="587">
        <f>'d3'!F396-d3М!F390</f>
        <v>0</v>
      </c>
      <c r="G396" s="587">
        <f>'d3'!G396-d3М!G390</f>
        <v>0</v>
      </c>
      <c r="H396" s="587">
        <f>'d3'!H396-d3М!H390</f>
        <v>0</v>
      </c>
      <c r="I396" s="587">
        <f>'d3'!I396-d3М!I390</f>
        <v>0</v>
      </c>
      <c r="J396" s="587">
        <f>'d3'!J396-d3М!J390</f>
        <v>0</v>
      </c>
      <c r="K396" s="587">
        <f>'d3'!K396-d3М!K390</f>
        <v>0</v>
      </c>
      <c r="L396" s="587">
        <f>'d3'!L396-d3М!L390</f>
        <v>0</v>
      </c>
      <c r="M396" s="587">
        <f>'d3'!M396-d3М!M390</f>
        <v>0</v>
      </c>
      <c r="N396" s="587">
        <f>'d3'!N396-d3М!N390</f>
        <v>0</v>
      </c>
      <c r="O396" s="587">
        <f>'d3'!O396-d3М!O390</f>
        <v>0</v>
      </c>
      <c r="P396" s="587">
        <f>'d3'!P396-d3М!P390</f>
        <v>0</v>
      </c>
      <c r="Q396" s="47"/>
      <c r="R396" s="46"/>
    </row>
    <row r="397" spans="1:18" ht="47.25" thickTop="1" thickBot="1" x14ac:dyDescent="0.25">
      <c r="A397" s="311" t="s">
        <v>833</v>
      </c>
      <c r="B397" s="311" t="s">
        <v>696</v>
      </c>
      <c r="C397" s="311"/>
      <c r="D397" s="311" t="s">
        <v>697</v>
      </c>
      <c r="E397" s="587">
        <f>'d3'!E397-d3М!E391</f>
        <v>0</v>
      </c>
      <c r="F397" s="587">
        <f>'d3'!F397-d3М!F391</f>
        <v>0</v>
      </c>
      <c r="G397" s="587">
        <f>'d3'!G397-d3М!G391</f>
        <v>0</v>
      </c>
      <c r="H397" s="587">
        <f>'d3'!H397-d3М!H391</f>
        <v>0</v>
      </c>
      <c r="I397" s="587">
        <f>'d3'!I397-d3М!I391</f>
        <v>0</v>
      </c>
      <c r="J397" s="587">
        <f>'d3'!J397-d3М!J391</f>
        <v>0</v>
      </c>
      <c r="K397" s="587">
        <f>'d3'!K397-d3М!K391</f>
        <v>0</v>
      </c>
      <c r="L397" s="587">
        <f>'d3'!L397-d3М!L391</f>
        <v>0</v>
      </c>
      <c r="M397" s="587">
        <f>'d3'!M397-d3М!M391</f>
        <v>0</v>
      </c>
      <c r="N397" s="587">
        <f>'d3'!N397-d3М!N391</f>
        <v>0</v>
      </c>
      <c r="O397" s="587">
        <f>'d3'!O397-d3М!O391</f>
        <v>0</v>
      </c>
      <c r="P397" s="587">
        <f>'d3'!P397-d3М!P391</f>
        <v>0</v>
      </c>
      <c r="Q397" s="47"/>
      <c r="R397" s="46"/>
    </row>
    <row r="398" spans="1:18" ht="47.25" thickTop="1" thickBot="1" x14ac:dyDescent="0.25">
      <c r="A398" s="313" t="s">
        <v>834</v>
      </c>
      <c r="B398" s="313" t="s">
        <v>835</v>
      </c>
      <c r="C398" s="313"/>
      <c r="D398" s="313" t="s">
        <v>836</v>
      </c>
      <c r="E398" s="587">
        <f>'d3'!E398-d3М!E392</f>
        <v>0</v>
      </c>
      <c r="F398" s="587">
        <f>'d3'!F398-d3М!F392</f>
        <v>0</v>
      </c>
      <c r="G398" s="587">
        <f>'d3'!G398-d3М!G392</f>
        <v>0</v>
      </c>
      <c r="H398" s="587">
        <f>'d3'!H398-d3М!H392</f>
        <v>0</v>
      </c>
      <c r="I398" s="587">
        <f>'d3'!I398-d3М!I392</f>
        <v>0</v>
      </c>
      <c r="J398" s="587">
        <f>'d3'!J398-d3М!J392</f>
        <v>0</v>
      </c>
      <c r="K398" s="587">
        <f>'d3'!K398-d3М!K392</f>
        <v>0</v>
      </c>
      <c r="L398" s="587">
        <f>'d3'!L398-d3М!L392</f>
        <v>0</v>
      </c>
      <c r="M398" s="587">
        <f>'d3'!M398-d3М!M392</f>
        <v>0</v>
      </c>
      <c r="N398" s="587">
        <f>'d3'!N398-d3М!N392</f>
        <v>0</v>
      </c>
      <c r="O398" s="587">
        <f>'d3'!O398-d3М!O392</f>
        <v>0</v>
      </c>
      <c r="P398" s="587">
        <f>'d3'!P398-d3М!P392</f>
        <v>0</v>
      </c>
      <c r="Q398" s="47"/>
      <c r="R398" s="46"/>
    </row>
    <row r="399" spans="1:18" ht="47.25" thickTop="1" thickBot="1" x14ac:dyDescent="0.25">
      <c r="A399" s="103" t="s">
        <v>1127</v>
      </c>
      <c r="B399" s="103" t="s">
        <v>1128</v>
      </c>
      <c r="C399" s="103" t="s">
        <v>51</v>
      </c>
      <c r="D399" s="103" t="s">
        <v>1129</v>
      </c>
      <c r="E399" s="587">
        <f>'d3'!E399-d3М!E393</f>
        <v>0</v>
      </c>
      <c r="F399" s="587">
        <f>'d3'!F399-d3М!F393</f>
        <v>0</v>
      </c>
      <c r="G399" s="587">
        <f>'d3'!G399-d3М!G393</f>
        <v>0</v>
      </c>
      <c r="H399" s="587">
        <f>'d3'!H399-d3М!H393</f>
        <v>0</v>
      </c>
      <c r="I399" s="587">
        <f>'d3'!I399-d3М!I393</f>
        <v>0</v>
      </c>
      <c r="J399" s="587">
        <f>'d3'!J399-d3М!J393</f>
        <v>0</v>
      </c>
      <c r="K399" s="587">
        <f>'d3'!K399-d3М!K393</f>
        <v>0</v>
      </c>
      <c r="L399" s="587">
        <f>'d3'!L399-d3М!L393</f>
        <v>0</v>
      </c>
      <c r="M399" s="587">
        <f>'d3'!M399-d3М!M393</f>
        <v>0</v>
      </c>
      <c r="N399" s="587">
        <f>'d3'!N399-d3М!N393</f>
        <v>0</v>
      </c>
      <c r="O399" s="587">
        <f>'d3'!O399-d3М!O393</f>
        <v>0</v>
      </c>
      <c r="P399" s="587">
        <f>'d3'!P399-d3М!P393</f>
        <v>0</v>
      </c>
      <c r="Q399" s="503" t="b">
        <f>J399='d9'!F20</f>
        <v>0</v>
      </c>
    </row>
    <row r="400" spans="1:18" ht="47.25" hidden="1" thickTop="1" thickBot="1" x14ac:dyDescent="0.25">
      <c r="A400" s="125" t="s">
        <v>1249</v>
      </c>
      <c r="B400" s="125" t="s">
        <v>702</v>
      </c>
      <c r="C400" s="125"/>
      <c r="D400" s="125" t="s">
        <v>703</v>
      </c>
      <c r="E400" s="127">
        <f t="shared" ref="E400:P400" si="110">E401</f>
        <v>0</v>
      </c>
      <c r="F400" s="127">
        <f t="shared" si="110"/>
        <v>0</v>
      </c>
      <c r="G400" s="127">
        <f t="shared" si="110"/>
        <v>0</v>
      </c>
      <c r="H400" s="127">
        <f t="shared" si="110"/>
        <v>0</v>
      </c>
      <c r="I400" s="127">
        <f t="shared" si="110"/>
        <v>0</v>
      </c>
      <c r="J400" s="127">
        <f t="shared" si="110"/>
        <v>0</v>
      </c>
      <c r="K400" s="127">
        <f t="shared" si="110"/>
        <v>0</v>
      </c>
      <c r="L400" s="127">
        <f t="shared" si="110"/>
        <v>0</v>
      </c>
      <c r="M400" s="127">
        <f t="shared" si="110"/>
        <v>0</v>
      </c>
      <c r="N400" s="127">
        <f t="shared" si="110"/>
        <v>0</v>
      </c>
      <c r="O400" s="127">
        <f t="shared" si="110"/>
        <v>0</v>
      </c>
      <c r="P400" s="127">
        <f t="shared" si="110"/>
        <v>0</v>
      </c>
      <c r="Q400" s="47"/>
    </row>
    <row r="401" spans="1:19" ht="91.5" hidden="1" thickTop="1" thickBot="1" x14ac:dyDescent="0.25">
      <c r="A401" s="136" t="s">
        <v>1248</v>
      </c>
      <c r="B401" s="136" t="s">
        <v>514</v>
      </c>
      <c r="C401" s="136" t="s">
        <v>43</v>
      </c>
      <c r="D401" s="136" t="s">
        <v>515</v>
      </c>
      <c r="E401" s="137">
        <f t="shared" ref="E401" si="111">F401</f>
        <v>0</v>
      </c>
      <c r="F401" s="137">
        <v>0</v>
      </c>
      <c r="G401" s="137"/>
      <c r="H401" s="137"/>
      <c r="I401" s="137"/>
      <c r="J401" s="137">
        <f>L401+O401</f>
        <v>0</v>
      </c>
      <c r="K401" s="134">
        <v>0</v>
      </c>
      <c r="L401" s="137"/>
      <c r="M401" s="137"/>
      <c r="N401" s="137"/>
      <c r="O401" s="137">
        <f>(K401+0)</f>
        <v>0</v>
      </c>
      <c r="P401" s="137">
        <f>E401+J401</f>
        <v>0</v>
      </c>
      <c r="Q401" s="47"/>
    </row>
    <row r="402" spans="1:19" ht="120" customHeight="1" thickTop="1" thickBot="1" x14ac:dyDescent="0.25">
      <c r="A402" s="661" t="s">
        <v>162</v>
      </c>
      <c r="B402" s="661"/>
      <c r="C402" s="661"/>
      <c r="D402" s="662" t="s">
        <v>896</v>
      </c>
      <c r="E402" s="663">
        <f>E403</f>
        <v>0</v>
      </c>
      <c r="F402" s="664">
        <f t="shared" ref="F402:G402" si="112">F403</f>
        <v>0</v>
      </c>
      <c r="G402" s="664">
        <f t="shared" si="112"/>
        <v>0</v>
      </c>
      <c r="H402" s="664">
        <f>H403</f>
        <v>0</v>
      </c>
      <c r="I402" s="664">
        <f t="shared" ref="I402" si="113">I403</f>
        <v>0</v>
      </c>
      <c r="J402" s="663">
        <f>J403</f>
        <v>50000</v>
      </c>
      <c r="K402" s="664">
        <f>K403</f>
        <v>50000</v>
      </c>
      <c r="L402" s="664">
        <f>L403</f>
        <v>0</v>
      </c>
      <c r="M402" s="664">
        <f t="shared" ref="M402" si="114">M403</f>
        <v>0</v>
      </c>
      <c r="N402" s="664">
        <f>N403</f>
        <v>0</v>
      </c>
      <c r="O402" s="663">
        <f>O403</f>
        <v>50000</v>
      </c>
      <c r="P402" s="664">
        <f t="shared" ref="P402" si="115">P403</f>
        <v>50000</v>
      </c>
      <c r="Q402" s="20"/>
    </row>
    <row r="403" spans="1:19" ht="120" customHeight="1" thickTop="1" thickBot="1" x14ac:dyDescent="0.25">
      <c r="A403" s="658" t="s">
        <v>163</v>
      </c>
      <c r="B403" s="658"/>
      <c r="C403" s="658"/>
      <c r="D403" s="659" t="s">
        <v>895</v>
      </c>
      <c r="E403" s="660">
        <f>E404+E406</f>
        <v>0</v>
      </c>
      <c r="F403" s="660">
        <f t="shared" ref="F403:I403" si="116">F404+F406</f>
        <v>0</v>
      </c>
      <c r="G403" s="660">
        <f t="shared" si="116"/>
        <v>0</v>
      </c>
      <c r="H403" s="660">
        <f t="shared" si="116"/>
        <v>0</v>
      </c>
      <c r="I403" s="660">
        <f t="shared" si="116"/>
        <v>0</v>
      </c>
      <c r="J403" s="660">
        <f>L403+O403</f>
        <v>50000</v>
      </c>
      <c r="K403" s="660">
        <f t="shared" ref="K403:O403" si="117">K404+K406</f>
        <v>50000</v>
      </c>
      <c r="L403" s="660">
        <f t="shared" si="117"/>
        <v>0</v>
      </c>
      <c r="M403" s="660">
        <f t="shared" si="117"/>
        <v>0</v>
      </c>
      <c r="N403" s="660">
        <f t="shared" si="117"/>
        <v>0</v>
      </c>
      <c r="O403" s="660">
        <f t="shared" si="117"/>
        <v>50000</v>
      </c>
      <c r="P403" s="660">
        <f>E403+J403</f>
        <v>50000</v>
      </c>
      <c r="Q403" s="503" t="b">
        <f>P403=P405+P408+P410</f>
        <v>1</v>
      </c>
      <c r="R403" s="45"/>
    </row>
    <row r="404" spans="1:19" ht="47.25" thickTop="1" thickBot="1" x14ac:dyDescent="0.25">
      <c r="A404" s="311" t="s">
        <v>837</v>
      </c>
      <c r="B404" s="311" t="s">
        <v>684</v>
      </c>
      <c r="C404" s="311"/>
      <c r="D404" s="311" t="s">
        <v>685</v>
      </c>
      <c r="E404" s="587">
        <f>'d3'!E404-d3М!E398</f>
        <v>0</v>
      </c>
      <c r="F404" s="587">
        <f>'d3'!F404-d3М!F398</f>
        <v>0</v>
      </c>
      <c r="G404" s="587">
        <f>'d3'!G404-d3М!G398</f>
        <v>0</v>
      </c>
      <c r="H404" s="587">
        <f>'d3'!H404-d3М!H398</f>
        <v>0</v>
      </c>
      <c r="I404" s="587">
        <f>'d3'!I404-d3М!I398</f>
        <v>0</v>
      </c>
      <c r="J404" s="587">
        <f>'d3'!J404-d3М!J398</f>
        <v>0</v>
      </c>
      <c r="K404" s="587">
        <f>'d3'!K404-d3М!K398</f>
        <v>0</v>
      </c>
      <c r="L404" s="587">
        <f>'d3'!L404-d3М!L398</f>
        <v>0</v>
      </c>
      <c r="M404" s="587">
        <f>'d3'!M404-d3М!M398</f>
        <v>0</v>
      </c>
      <c r="N404" s="587">
        <f>'d3'!N404-d3М!N398</f>
        <v>0</v>
      </c>
      <c r="O404" s="587">
        <f>'d3'!O404-d3М!O398</f>
        <v>0</v>
      </c>
      <c r="P404" s="587">
        <f>'d3'!P404-d3М!P398</f>
        <v>0</v>
      </c>
      <c r="Q404" s="47"/>
      <c r="R404" s="45"/>
    </row>
    <row r="405" spans="1:19" ht="93" thickTop="1" thickBot="1" x14ac:dyDescent="0.25">
      <c r="A405" s="103" t="s">
        <v>418</v>
      </c>
      <c r="B405" s="103" t="s">
        <v>236</v>
      </c>
      <c r="C405" s="103" t="s">
        <v>234</v>
      </c>
      <c r="D405" s="103" t="s">
        <v>235</v>
      </c>
      <c r="E405" s="587">
        <f>'d3'!E405-d3М!E399</f>
        <v>0</v>
      </c>
      <c r="F405" s="587">
        <f>'d3'!F405-d3М!F399</f>
        <v>0</v>
      </c>
      <c r="G405" s="587">
        <f>'d3'!G405-d3М!G399</f>
        <v>0</v>
      </c>
      <c r="H405" s="587">
        <f>'d3'!H405-d3М!H399</f>
        <v>0</v>
      </c>
      <c r="I405" s="587">
        <f>'d3'!I405-d3М!I399</f>
        <v>0</v>
      </c>
      <c r="J405" s="587">
        <f>'d3'!J405-d3М!J399</f>
        <v>0</v>
      </c>
      <c r="K405" s="587">
        <f>'d3'!K405-d3М!K399</f>
        <v>0</v>
      </c>
      <c r="L405" s="587">
        <f>'d3'!L405-d3М!L399</f>
        <v>0</v>
      </c>
      <c r="M405" s="587">
        <f>'d3'!M405-d3М!M399</f>
        <v>0</v>
      </c>
      <c r="N405" s="587">
        <f>'d3'!N405-d3М!N399</f>
        <v>0</v>
      </c>
      <c r="O405" s="587">
        <f>'d3'!O405-d3М!O399</f>
        <v>0</v>
      </c>
      <c r="P405" s="587">
        <f>'d3'!P405-d3М!P399</f>
        <v>0</v>
      </c>
      <c r="Q405" s="20"/>
      <c r="R405" s="45"/>
    </row>
    <row r="406" spans="1:19" ht="47.25" thickTop="1" thickBot="1" x14ac:dyDescent="0.25">
      <c r="A406" s="311" t="s">
        <v>838</v>
      </c>
      <c r="B406" s="311" t="s">
        <v>748</v>
      </c>
      <c r="C406" s="103"/>
      <c r="D406" s="311" t="s">
        <v>794</v>
      </c>
      <c r="E406" s="587">
        <f>'d3'!E406-d3М!E400</f>
        <v>0</v>
      </c>
      <c r="F406" s="587">
        <f>'d3'!F406-d3М!F400</f>
        <v>0</v>
      </c>
      <c r="G406" s="587">
        <f>'d3'!G406-d3М!G400</f>
        <v>0</v>
      </c>
      <c r="H406" s="587">
        <f>'d3'!H406-d3М!H400</f>
        <v>0</v>
      </c>
      <c r="I406" s="587">
        <f>'d3'!I406-d3М!I400</f>
        <v>0</v>
      </c>
      <c r="J406" s="587">
        <f>'d3'!J406-d3М!J400</f>
        <v>50000</v>
      </c>
      <c r="K406" s="587">
        <f>'d3'!K406-d3М!K400</f>
        <v>50000</v>
      </c>
      <c r="L406" s="587">
        <f>'d3'!L406-d3М!L400</f>
        <v>0</v>
      </c>
      <c r="M406" s="587">
        <f>'d3'!M406-d3М!M400</f>
        <v>0</v>
      </c>
      <c r="N406" s="587">
        <f>'d3'!N406-d3М!N400</f>
        <v>0</v>
      </c>
      <c r="O406" s="587">
        <f>'d3'!O406-d3М!O400</f>
        <v>50000</v>
      </c>
      <c r="P406" s="587">
        <f>'d3'!P406-d3М!P400</f>
        <v>50000</v>
      </c>
      <c r="Q406" s="20"/>
      <c r="R406" s="47"/>
    </row>
    <row r="407" spans="1:19" ht="47.25" thickTop="1" thickBot="1" x14ac:dyDescent="0.25">
      <c r="A407" s="313" t="s">
        <v>839</v>
      </c>
      <c r="B407" s="313" t="s">
        <v>840</v>
      </c>
      <c r="C407" s="313"/>
      <c r="D407" s="313" t="s">
        <v>841</v>
      </c>
      <c r="E407" s="587">
        <f>'d3'!E407-d3М!E401</f>
        <v>0</v>
      </c>
      <c r="F407" s="587">
        <f>'d3'!F407-d3М!F401</f>
        <v>0</v>
      </c>
      <c r="G407" s="587">
        <f>'d3'!G407-d3М!G401</f>
        <v>0</v>
      </c>
      <c r="H407" s="587">
        <f>'d3'!H407-d3М!H401</f>
        <v>0</v>
      </c>
      <c r="I407" s="587">
        <f>'d3'!I407-d3М!I401</f>
        <v>0</v>
      </c>
      <c r="J407" s="587">
        <f>'d3'!J407-d3М!J401</f>
        <v>0</v>
      </c>
      <c r="K407" s="587">
        <f>'d3'!K407-d3М!K401</f>
        <v>0</v>
      </c>
      <c r="L407" s="587">
        <f>'d3'!L407-d3М!L401</f>
        <v>0</v>
      </c>
      <c r="M407" s="587">
        <f>'d3'!M407-d3М!M401</f>
        <v>0</v>
      </c>
      <c r="N407" s="587">
        <f>'d3'!N407-d3М!N401</f>
        <v>0</v>
      </c>
      <c r="O407" s="587">
        <f>'d3'!O407-d3М!O401</f>
        <v>0</v>
      </c>
      <c r="P407" s="587">
        <f>'d3'!P407-d3М!P401</f>
        <v>0</v>
      </c>
      <c r="Q407" s="20"/>
      <c r="R407" s="47"/>
    </row>
    <row r="408" spans="1:19" ht="47.25" thickTop="1" thickBot="1" x14ac:dyDescent="0.25">
      <c r="A408" s="103" t="s">
        <v>306</v>
      </c>
      <c r="B408" s="103" t="s">
        <v>307</v>
      </c>
      <c r="C408" s="103" t="s">
        <v>308</v>
      </c>
      <c r="D408" s="103" t="s">
        <v>461</v>
      </c>
      <c r="E408" s="587">
        <f>'d3'!E408-d3М!E402</f>
        <v>0</v>
      </c>
      <c r="F408" s="587">
        <f>'d3'!F408-d3М!F402</f>
        <v>0</v>
      </c>
      <c r="G408" s="587">
        <f>'d3'!G408-d3М!G402</f>
        <v>0</v>
      </c>
      <c r="H408" s="587">
        <f>'d3'!H408-d3М!H402</f>
        <v>0</v>
      </c>
      <c r="I408" s="587">
        <f>'d3'!I408-d3М!I402</f>
        <v>0</v>
      </c>
      <c r="J408" s="587">
        <f>'d3'!J408-d3М!J402</f>
        <v>0</v>
      </c>
      <c r="K408" s="587">
        <f>'d3'!K408-d3М!K402</f>
        <v>0</v>
      </c>
      <c r="L408" s="587">
        <f>'d3'!L408-d3М!L402</f>
        <v>0</v>
      </c>
      <c r="M408" s="587">
        <f>'d3'!M408-d3М!M402</f>
        <v>0</v>
      </c>
      <c r="N408" s="587">
        <f>'d3'!N408-d3М!N402</f>
        <v>0</v>
      </c>
      <c r="O408" s="587">
        <f>'d3'!O408-d3М!O402</f>
        <v>0</v>
      </c>
      <c r="P408" s="587">
        <f>'d3'!P408-d3М!P402</f>
        <v>0</v>
      </c>
      <c r="Q408" s="20"/>
      <c r="R408" s="45"/>
    </row>
    <row r="409" spans="1:19" ht="47.25" thickTop="1" thickBot="1" x14ac:dyDescent="0.25">
      <c r="A409" s="313" t="s">
        <v>842</v>
      </c>
      <c r="B409" s="313" t="s">
        <v>691</v>
      </c>
      <c r="C409" s="103"/>
      <c r="D409" s="313" t="s">
        <v>843</v>
      </c>
      <c r="E409" s="587">
        <f>'d3'!E409-d3М!E403</f>
        <v>0</v>
      </c>
      <c r="F409" s="587">
        <f>'d3'!F409-d3М!F403</f>
        <v>0</v>
      </c>
      <c r="G409" s="587">
        <f>'d3'!G409-d3М!G403</f>
        <v>0</v>
      </c>
      <c r="H409" s="587">
        <f>'d3'!H409-d3М!H403</f>
        <v>0</v>
      </c>
      <c r="I409" s="587">
        <f>'d3'!I409-d3М!I403</f>
        <v>0</v>
      </c>
      <c r="J409" s="587">
        <f>'d3'!J409-d3М!J403</f>
        <v>50000</v>
      </c>
      <c r="K409" s="587">
        <f>'d3'!K409-d3М!K403</f>
        <v>50000</v>
      </c>
      <c r="L409" s="587">
        <f>'d3'!L409-d3М!L403</f>
        <v>0</v>
      </c>
      <c r="M409" s="587">
        <f>'d3'!M409-d3М!M403</f>
        <v>0</v>
      </c>
      <c r="N409" s="587">
        <f>'d3'!N409-d3М!N403</f>
        <v>0</v>
      </c>
      <c r="O409" s="587">
        <f>'d3'!O409-d3М!O403</f>
        <v>50000</v>
      </c>
      <c r="P409" s="587">
        <f>'d3'!P409-d3М!P403</f>
        <v>50000</v>
      </c>
      <c r="Q409" s="20"/>
    </row>
    <row r="410" spans="1:19" ht="47.25" thickTop="1" thickBot="1" x14ac:dyDescent="0.25">
      <c r="A410" s="103" t="s">
        <v>368</v>
      </c>
      <c r="B410" s="103" t="s">
        <v>369</v>
      </c>
      <c r="C410" s="103" t="s">
        <v>170</v>
      </c>
      <c r="D410" s="103" t="s">
        <v>370</v>
      </c>
      <c r="E410" s="587">
        <f>'d3'!E410-d3М!E404</f>
        <v>0</v>
      </c>
      <c r="F410" s="587">
        <f>'d3'!F410-d3М!F404</f>
        <v>0</v>
      </c>
      <c r="G410" s="587">
        <f>'d3'!G410-d3М!G404</f>
        <v>0</v>
      </c>
      <c r="H410" s="587">
        <f>'d3'!H410-d3М!H404</f>
        <v>0</v>
      </c>
      <c r="I410" s="587">
        <f>'d3'!I410-d3М!I404</f>
        <v>0</v>
      </c>
      <c r="J410" s="587">
        <f>'d3'!J410-d3М!J404</f>
        <v>50000</v>
      </c>
      <c r="K410" s="587">
        <f>'d3'!K410-d3М!K404</f>
        <v>50000</v>
      </c>
      <c r="L410" s="587">
        <f>'d3'!L410-d3М!L404</f>
        <v>0</v>
      </c>
      <c r="M410" s="587">
        <f>'d3'!M410-d3М!M404</f>
        <v>0</v>
      </c>
      <c r="N410" s="587">
        <f>'d3'!N410-d3М!N404</f>
        <v>0</v>
      </c>
      <c r="O410" s="587">
        <f>'d3'!O410-d3М!O404</f>
        <v>50000</v>
      </c>
      <c r="P410" s="587">
        <f>'d3'!P410-d3М!P404</f>
        <v>50000</v>
      </c>
      <c r="Q410" s="20"/>
      <c r="R410" s="45"/>
    </row>
    <row r="411" spans="1:19" ht="120" customHeight="1" thickTop="1" thickBot="1" x14ac:dyDescent="0.25">
      <c r="A411" s="661" t="s">
        <v>168</v>
      </c>
      <c r="B411" s="661"/>
      <c r="C411" s="661"/>
      <c r="D411" s="662" t="s">
        <v>27</v>
      </c>
      <c r="E411" s="663">
        <f>E412</f>
        <v>-12299538.77</v>
      </c>
      <c r="F411" s="664">
        <f t="shared" ref="F411:G411" si="118">F412</f>
        <v>-12299538.77</v>
      </c>
      <c r="G411" s="664">
        <f t="shared" si="118"/>
        <v>0</v>
      </c>
      <c r="H411" s="664">
        <f>H412</f>
        <v>0</v>
      </c>
      <c r="I411" s="664">
        <f t="shared" ref="I411" si="119">I412</f>
        <v>0</v>
      </c>
      <c r="J411" s="663">
        <f>J412</f>
        <v>0</v>
      </c>
      <c r="K411" s="664">
        <f>K412</f>
        <v>0</v>
      </c>
      <c r="L411" s="664">
        <f>L412</f>
        <v>0</v>
      </c>
      <c r="M411" s="664">
        <f t="shared" ref="M411" si="120">M412</f>
        <v>0</v>
      </c>
      <c r="N411" s="664">
        <f>N412</f>
        <v>0</v>
      </c>
      <c r="O411" s="663">
        <f>O412</f>
        <v>0</v>
      </c>
      <c r="P411" s="664">
        <f t="shared" ref="P411" si="121">P412</f>
        <v>-12299538.77</v>
      </c>
      <c r="Q411" s="20"/>
    </row>
    <row r="412" spans="1:19" ht="120" customHeight="1" thickTop="1" thickBot="1" x14ac:dyDescent="0.25">
      <c r="A412" s="658" t="s">
        <v>169</v>
      </c>
      <c r="B412" s="658"/>
      <c r="C412" s="658"/>
      <c r="D412" s="659" t="s">
        <v>40</v>
      </c>
      <c r="E412" s="660">
        <f>E413+E419+E426+E416</f>
        <v>-12299538.77</v>
      </c>
      <c r="F412" s="660">
        <f t="shared" ref="F412:P412" si="122">F413+F419+F426+F416</f>
        <v>-12299538.77</v>
      </c>
      <c r="G412" s="660">
        <f t="shared" si="122"/>
        <v>0</v>
      </c>
      <c r="H412" s="660">
        <f t="shared" si="122"/>
        <v>0</v>
      </c>
      <c r="I412" s="660">
        <f t="shared" si="122"/>
        <v>0</v>
      </c>
      <c r="J412" s="660">
        <f t="shared" si="122"/>
        <v>0</v>
      </c>
      <c r="K412" s="660">
        <f t="shared" si="122"/>
        <v>0</v>
      </c>
      <c r="L412" s="660">
        <f t="shared" si="122"/>
        <v>0</v>
      </c>
      <c r="M412" s="660">
        <f t="shared" si="122"/>
        <v>0</v>
      </c>
      <c r="N412" s="660">
        <f t="shared" si="122"/>
        <v>0</v>
      </c>
      <c r="O412" s="660">
        <f t="shared" si="122"/>
        <v>0</v>
      </c>
      <c r="P412" s="660">
        <f t="shared" si="122"/>
        <v>-12299538.77</v>
      </c>
      <c r="Q412" s="503" t="b">
        <f>P412=P414+P420+P422</f>
        <v>1</v>
      </c>
      <c r="R412" s="45"/>
    </row>
    <row r="413" spans="1:19" ht="47.25" thickTop="1" thickBot="1" x14ac:dyDescent="0.25">
      <c r="A413" s="311" t="s">
        <v>844</v>
      </c>
      <c r="B413" s="311" t="s">
        <v>684</v>
      </c>
      <c r="C413" s="311"/>
      <c r="D413" s="311" t="s">
        <v>685</v>
      </c>
      <c r="E413" s="587">
        <f>'d3'!E413-d3М!E407</f>
        <v>0</v>
      </c>
      <c r="F413" s="587">
        <f>'d3'!F413-d3М!F407</f>
        <v>0</v>
      </c>
      <c r="G413" s="587">
        <f>'d3'!G413-d3М!G407</f>
        <v>0</v>
      </c>
      <c r="H413" s="587">
        <f>'d3'!H413-d3М!H407</f>
        <v>0</v>
      </c>
      <c r="I413" s="587">
        <f>'d3'!I413-d3М!I407</f>
        <v>0</v>
      </c>
      <c r="J413" s="587">
        <f>'d3'!J413-d3М!J407</f>
        <v>0</v>
      </c>
      <c r="K413" s="587">
        <f>'d3'!K413-d3М!K407</f>
        <v>0</v>
      </c>
      <c r="L413" s="587">
        <f>'d3'!L413-d3М!L407</f>
        <v>0</v>
      </c>
      <c r="M413" s="587">
        <f>'d3'!M413-d3М!M407</f>
        <v>0</v>
      </c>
      <c r="N413" s="587">
        <f>'d3'!N413-d3М!N407</f>
        <v>0</v>
      </c>
      <c r="O413" s="587">
        <f>'d3'!O413-d3М!O407</f>
        <v>0</v>
      </c>
      <c r="P413" s="587">
        <f>'d3'!P413-d3М!P407</f>
        <v>0</v>
      </c>
      <c r="Q413" s="47"/>
      <c r="R413" s="50"/>
    </row>
    <row r="414" spans="1:19" ht="93" thickTop="1" thickBot="1" x14ac:dyDescent="0.25">
      <c r="A414" s="103" t="s">
        <v>420</v>
      </c>
      <c r="B414" s="103" t="s">
        <v>236</v>
      </c>
      <c r="C414" s="103" t="s">
        <v>234</v>
      </c>
      <c r="D414" s="103" t="s">
        <v>235</v>
      </c>
      <c r="E414" s="587">
        <f>'d3'!E414-d3М!E408</f>
        <v>0</v>
      </c>
      <c r="F414" s="587">
        <f>'d3'!F414-d3М!F408</f>
        <v>0</v>
      </c>
      <c r="G414" s="587">
        <f>'d3'!G414-d3М!G408</f>
        <v>0</v>
      </c>
      <c r="H414" s="587">
        <f>'d3'!H414-d3М!H408</f>
        <v>0</v>
      </c>
      <c r="I414" s="587">
        <f>'d3'!I414-d3М!I408</f>
        <v>0</v>
      </c>
      <c r="J414" s="587">
        <f>'d3'!J414-d3М!J408</f>
        <v>0</v>
      </c>
      <c r="K414" s="587">
        <f>'d3'!K414-d3М!K408</f>
        <v>0</v>
      </c>
      <c r="L414" s="587">
        <f>'d3'!L414-d3М!L408</f>
        <v>0</v>
      </c>
      <c r="M414" s="587">
        <f>'d3'!M414-d3М!M408</f>
        <v>0</v>
      </c>
      <c r="N414" s="587">
        <f>'d3'!N414-d3М!N408</f>
        <v>0</v>
      </c>
      <c r="O414" s="587">
        <f>'d3'!O414-d3М!O408</f>
        <v>0</v>
      </c>
      <c r="P414" s="587">
        <f>'d3'!P414-d3М!P408</f>
        <v>0</v>
      </c>
      <c r="Q414" s="47"/>
      <c r="R414" s="50"/>
      <c r="S414" s="47"/>
    </row>
    <row r="415" spans="1:19" ht="93" hidden="1" thickTop="1" thickBot="1" x14ac:dyDescent="0.25">
      <c r="A415" s="128" t="s">
        <v>634</v>
      </c>
      <c r="B415" s="128" t="s">
        <v>362</v>
      </c>
      <c r="C415" s="128" t="s">
        <v>625</v>
      </c>
      <c r="D415" s="128" t="s">
        <v>626</v>
      </c>
      <c r="E415" s="587">
        <f>'d3'!E415-d3М!E409</f>
        <v>0</v>
      </c>
      <c r="F415" s="587">
        <f>'d3'!F415-d3М!F409</f>
        <v>0</v>
      </c>
      <c r="G415" s="587">
        <f>'d3'!G415-d3М!G409</f>
        <v>0</v>
      </c>
      <c r="H415" s="587">
        <f>'d3'!H415-d3М!H409</f>
        <v>0</v>
      </c>
      <c r="I415" s="587">
        <f>'d3'!I415-d3М!I409</f>
        <v>0</v>
      </c>
      <c r="J415" s="587">
        <f>'d3'!J415-d3М!J409</f>
        <v>0</v>
      </c>
      <c r="K415" s="587">
        <f>'d3'!K415-d3М!K409</f>
        <v>0</v>
      </c>
      <c r="L415" s="587">
        <f>'d3'!L415-d3М!L409</f>
        <v>0</v>
      </c>
      <c r="M415" s="587">
        <f>'d3'!M415-d3М!M409</f>
        <v>0</v>
      </c>
      <c r="N415" s="587">
        <f>'d3'!N415-d3М!N409</f>
        <v>0</v>
      </c>
      <c r="O415" s="587">
        <f>'d3'!O415-d3М!O409</f>
        <v>0</v>
      </c>
      <c r="P415" s="587">
        <f>'d3'!P415-d3М!P409</f>
        <v>0</v>
      </c>
      <c r="Q415" s="47"/>
      <c r="R415" s="50"/>
    </row>
    <row r="416" spans="1:19" ht="47.25" hidden="1" thickTop="1" thickBot="1" x14ac:dyDescent="0.25">
      <c r="A416" s="136" t="s">
        <v>1204</v>
      </c>
      <c r="B416" s="136" t="s">
        <v>691</v>
      </c>
      <c r="C416" s="136"/>
      <c r="D416" s="136" t="s">
        <v>689</v>
      </c>
      <c r="E416" s="587">
        <f>'d3'!E416-d3М!E410</f>
        <v>0</v>
      </c>
      <c r="F416" s="587">
        <f>'d3'!F416-d3М!F410</f>
        <v>0</v>
      </c>
      <c r="G416" s="587">
        <f>'d3'!G416-d3М!G410</f>
        <v>0</v>
      </c>
      <c r="H416" s="587">
        <f>'d3'!H416-d3М!H410</f>
        <v>0</v>
      </c>
      <c r="I416" s="587">
        <f>'d3'!I416-d3М!I410</f>
        <v>0</v>
      </c>
      <c r="J416" s="587">
        <f>'d3'!J416-d3М!J410</f>
        <v>0</v>
      </c>
      <c r="K416" s="587">
        <f>'d3'!K416-d3М!K410</f>
        <v>0</v>
      </c>
      <c r="L416" s="587">
        <f>'d3'!L416-d3М!L410</f>
        <v>0</v>
      </c>
      <c r="M416" s="587">
        <f>'d3'!M416-d3М!M410</f>
        <v>0</v>
      </c>
      <c r="N416" s="587">
        <f>'d3'!N416-d3М!N410</f>
        <v>0</v>
      </c>
      <c r="O416" s="587">
        <f>'d3'!O416-d3М!O410</f>
        <v>0</v>
      </c>
      <c r="P416" s="587">
        <f>'d3'!P416-d3М!P410</f>
        <v>0</v>
      </c>
      <c r="Q416" s="47"/>
      <c r="R416" s="50"/>
    </row>
    <row r="417" spans="1:18" ht="47.25" hidden="1" thickTop="1" thickBot="1" x14ac:dyDescent="0.25">
      <c r="A417" s="140" t="s">
        <v>1205</v>
      </c>
      <c r="B417" s="140" t="s">
        <v>694</v>
      </c>
      <c r="C417" s="140"/>
      <c r="D417" s="140" t="s">
        <v>692</v>
      </c>
      <c r="E417" s="587">
        <f>'d3'!E417-d3М!E411</f>
        <v>0</v>
      </c>
      <c r="F417" s="587">
        <f>'d3'!F417-d3М!F411</f>
        <v>0</v>
      </c>
      <c r="G417" s="587">
        <f>'d3'!G417-d3М!G411</f>
        <v>0</v>
      </c>
      <c r="H417" s="587">
        <f>'d3'!H417-d3М!H411</f>
        <v>0</v>
      </c>
      <c r="I417" s="587">
        <f>'d3'!I417-d3М!I411</f>
        <v>0</v>
      </c>
      <c r="J417" s="587">
        <f>'d3'!J417-d3М!J411</f>
        <v>0</v>
      </c>
      <c r="K417" s="587">
        <f>'d3'!K417-d3М!K411</f>
        <v>0</v>
      </c>
      <c r="L417" s="587">
        <f>'d3'!L417-d3М!L411</f>
        <v>0</v>
      </c>
      <c r="M417" s="587">
        <f>'d3'!M417-d3М!M411</f>
        <v>0</v>
      </c>
      <c r="N417" s="587">
        <f>'d3'!N417-d3М!N411</f>
        <v>0</v>
      </c>
      <c r="O417" s="587">
        <f>'d3'!O417-d3М!O411</f>
        <v>0</v>
      </c>
      <c r="P417" s="587">
        <f>'d3'!P417-d3М!P411</f>
        <v>0</v>
      </c>
      <c r="Q417" s="47"/>
      <c r="R417" s="50"/>
    </row>
    <row r="418" spans="1:18" ht="47.25" hidden="1" thickTop="1" thickBot="1" x14ac:dyDescent="0.25">
      <c r="A418" s="128" t="s">
        <v>1206</v>
      </c>
      <c r="B418" s="128" t="s">
        <v>257</v>
      </c>
      <c r="C418" s="128" t="s">
        <v>170</v>
      </c>
      <c r="D418" s="128" t="s">
        <v>255</v>
      </c>
      <c r="E418" s="587">
        <f>'d3'!E418-d3М!E412</f>
        <v>0</v>
      </c>
      <c r="F418" s="587">
        <f>'d3'!F418-d3М!F412</f>
        <v>0</v>
      </c>
      <c r="G418" s="587">
        <f>'d3'!G418-d3М!G412</f>
        <v>0</v>
      </c>
      <c r="H418" s="587">
        <f>'d3'!H418-d3М!H412</f>
        <v>0</v>
      </c>
      <c r="I418" s="587">
        <f>'d3'!I418-d3М!I412</f>
        <v>0</v>
      </c>
      <c r="J418" s="587">
        <f>'d3'!J418-d3М!J412</f>
        <v>0</v>
      </c>
      <c r="K418" s="587">
        <f>'d3'!K418-d3М!K412</f>
        <v>0</v>
      </c>
      <c r="L418" s="587">
        <f>'d3'!L418-d3М!L412</f>
        <v>0</v>
      </c>
      <c r="M418" s="587">
        <f>'d3'!M418-d3М!M412</f>
        <v>0</v>
      </c>
      <c r="N418" s="587">
        <f>'d3'!N418-d3М!N412</f>
        <v>0</v>
      </c>
      <c r="O418" s="587">
        <f>'d3'!O418-d3М!O412</f>
        <v>0</v>
      </c>
      <c r="P418" s="587">
        <f>'d3'!P418-d3М!P412</f>
        <v>0</v>
      </c>
      <c r="Q418" s="47"/>
      <c r="R418" s="50"/>
    </row>
    <row r="419" spans="1:18" ht="47.25" thickTop="1" thickBot="1" x14ac:dyDescent="0.25">
      <c r="A419" s="311" t="s">
        <v>845</v>
      </c>
      <c r="B419" s="311" t="s">
        <v>696</v>
      </c>
      <c r="C419" s="311"/>
      <c r="D419" s="311" t="s">
        <v>697</v>
      </c>
      <c r="E419" s="587">
        <f>'d3'!E419-d3М!E413</f>
        <v>-12299538.77</v>
      </c>
      <c r="F419" s="587">
        <f>'d3'!F419-d3М!F413</f>
        <v>-12299538.77</v>
      </c>
      <c r="G419" s="587">
        <f>'d3'!G419-d3М!G413</f>
        <v>0</v>
      </c>
      <c r="H419" s="587">
        <f>'d3'!H419-d3М!H413</f>
        <v>0</v>
      </c>
      <c r="I419" s="587">
        <f>'d3'!I419-d3М!I413</f>
        <v>0</v>
      </c>
      <c r="J419" s="587">
        <f>'d3'!J419-d3М!J413</f>
        <v>0</v>
      </c>
      <c r="K419" s="587">
        <f>'d3'!K419-d3М!K413</f>
        <v>0</v>
      </c>
      <c r="L419" s="587">
        <f>'d3'!L419-d3М!L413</f>
        <v>0</v>
      </c>
      <c r="M419" s="587">
        <f>'d3'!M419-d3М!M413</f>
        <v>0</v>
      </c>
      <c r="N419" s="587">
        <f>'d3'!N419-d3М!N413</f>
        <v>0</v>
      </c>
      <c r="O419" s="587">
        <f>'d3'!O419-d3М!O413</f>
        <v>0</v>
      </c>
      <c r="P419" s="587">
        <f>'d3'!P419-d3М!P413</f>
        <v>-12299538.77</v>
      </c>
      <c r="Q419" s="47"/>
      <c r="R419" s="50"/>
    </row>
    <row r="420" spans="1:18" ht="46.5" thickTop="1" thickBot="1" x14ac:dyDescent="0.25">
      <c r="A420" s="526">
        <v>3718600</v>
      </c>
      <c r="B420" s="526">
        <v>8600</v>
      </c>
      <c r="C420" s="313" t="s">
        <v>362</v>
      </c>
      <c r="D420" s="526" t="s">
        <v>452</v>
      </c>
      <c r="E420" s="587">
        <f>'d3'!E420-d3М!E414</f>
        <v>0</v>
      </c>
      <c r="F420" s="587">
        <f>'d3'!F420-d3М!F414</f>
        <v>0</v>
      </c>
      <c r="G420" s="587">
        <f>'d3'!G420-d3М!G414</f>
        <v>0</v>
      </c>
      <c r="H420" s="587">
        <f>'d3'!H420-d3М!H414</f>
        <v>0</v>
      </c>
      <c r="I420" s="587">
        <f>'d3'!I420-d3М!I414</f>
        <v>0</v>
      </c>
      <c r="J420" s="587">
        <f>'d3'!J420-d3М!J414</f>
        <v>0</v>
      </c>
      <c r="K420" s="587">
        <f>'d3'!K420-d3М!K414</f>
        <v>0</v>
      </c>
      <c r="L420" s="587">
        <f>'d3'!L420-d3М!L414</f>
        <v>0</v>
      </c>
      <c r="M420" s="587">
        <f>'d3'!M420-d3М!M414</f>
        <v>0</v>
      </c>
      <c r="N420" s="587">
        <f>'d3'!N420-d3М!N414</f>
        <v>0</v>
      </c>
      <c r="O420" s="587">
        <f>'d3'!O420-d3М!O414</f>
        <v>0</v>
      </c>
      <c r="P420" s="587">
        <f>'d3'!P420-d3М!P414</f>
        <v>0</v>
      </c>
      <c r="Q420" s="20"/>
    </row>
    <row r="421" spans="1:18" ht="46.5" thickTop="1" thickBot="1" x14ac:dyDescent="0.25">
      <c r="A421" s="526">
        <v>3718700</v>
      </c>
      <c r="B421" s="526">
        <v>8700</v>
      </c>
      <c r="C421" s="313"/>
      <c r="D421" s="526" t="s">
        <v>846</v>
      </c>
      <c r="E421" s="587">
        <f>'d3'!E421-d3М!E415</f>
        <v>-12299538.77</v>
      </c>
      <c r="F421" s="587">
        <f>'d3'!F421-d3М!F415</f>
        <v>-12299538.77</v>
      </c>
      <c r="G421" s="587">
        <f>'d3'!G421-d3М!G415</f>
        <v>0</v>
      </c>
      <c r="H421" s="587">
        <f>'d3'!H421-d3М!H415</f>
        <v>0</v>
      </c>
      <c r="I421" s="587">
        <f>'d3'!I421-d3М!I415</f>
        <v>0</v>
      </c>
      <c r="J421" s="587">
        <f>'d3'!J421-d3М!J415</f>
        <v>0</v>
      </c>
      <c r="K421" s="587">
        <f>'d3'!K421-d3М!K415</f>
        <v>0</v>
      </c>
      <c r="L421" s="587">
        <f>'d3'!L421-d3М!L415</f>
        <v>0</v>
      </c>
      <c r="M421" s="587">
        <f>'d3'!M421-d3М!M415</f>
        <v>0</v>
      </c>
      <c r="N421" s="587">
        <f>'d3'!N421-d3М!N415</f>
        <v>0</v>
      </c>
      <c r="O421" s="587">
        <f>'d3'!O421-d3М!O415</f>
        <v>0</v>
      </c>
      <c r="P421" s="587">
        <f>'d3'!P421-d3М!P415</f>
        <v>-12299538.77</v>
      </c>
      <c r="Q421" s="20"/>
    </row>
    <row r="422" spans="1:18" ht="69" customHeight="1" thickTop="1" thickBot="1" x14ac:dyDescent="0.25">
      <c r="A422" s="330">
        <v>3718710</v>
      </c>
      <c r="B422" s="330">
        <v>8710</v>
      </c>
      <c r="C422" s="103" t="s">
        <v>42</v>
      </c>
      <c r="D422" s="470" t="s">
        <v>640</v>
      </c>
      <c r="E422" s="587">
        <f>'d3'!E422-d3М!E416</f>
        <v>-12299538.77</v>
      </c>
      <c r="F422" s="587">
        <f>'d3'!F422-d3М!F416</f>
        <v>-12299538.77</v>
      </c>
      <c r="G422" s="587">
        <f>'d3'!G422-d3М!G416</f>
        <v>0</v>
      </c>
      <c r="H422" s="587">
        <f>'d3'!H422-d3М!H416</f>
        <v>0</v>
      </c>
      <c r="I422" s="587">
        <f>'d3'!I422-d3М!I416</f>
        <v>0</v>
      </c>
      <c r="J422" s="587">
        <f>'d3'!J422-d3М!J416</f>
        <v>0</v>
      </c>
      <c r="K422" s="587">
        <f>'d3'!K422-d3М!K416</f>
        <v>0</v>
      </c>
      <c r="L422" s="587">
        <f>'d3'!L422-d3М!L416</f>
        <v>0</v>
      </c>
      <c r="M422" s="587">
        <f>'d3'!M422-d3М!M416</f>
        <v>0</v>
      </c>
      <c r="N422" s="587">
        <f>'d3'!N422-d3М!N416</f>
        <v>0</v>
      </c>
      <c r="O422" s="587">
        <f>'d3'!O422-d3М!O416</f>
        <v>0</v>
      </c>
      <c r="P422" s="587">
        <f>'d3'!P422-d3М!P416</f>
        <v>-12299538.77</v>
      </c>
      <c r="Q422" s="20"/>
    </row>
    <row r="423" spans="1:18" ht="47.25" hidden="1" thickTop="1" thickBot="1" x14ac:dyDescent="0.25">
      <c r="A423" s="166">
        <v>3718800</v>
      </c>
      <c r="B423" s="166">
        <v>8800</v>
      </c>
      <c r="C423" s="136"/>
      <c r="D423" s="166" t="s">
        <v>854</v>
      </c>
      <c r="E423" s="137">
        <f>E424</f>
        <v>0</v>
      </c>
      <c r="F423" s="137">
        <f>F424</f>
        <v>0</v>
      </c>
      <c r="G423" s="137">
        <f t="shared" ref="G423:P424" si="123">G424</f>
        <v>0</v>
      </c>
      <c r="H423" s="137">
        <f t="shared" si="123"/>
        <v>0</v>
      </c>
      <c r="I423" s="137">
        <f t="shared" si="123"/>
        <v>0</v>
      </c>
      <c r="J423" s="137">
        <f t="shared" si="123"/>
        <v>0</v>
      </c>
      <c r="K423" s="137">
        <f t="shared" si="123"/>
        <v>0</v>
      </c>
      <c r="L423" s="137">
        <f t="shared" si="123"/>
        <v>0</v>
      </c>
      <c r="M423" s="137">
        <f t="shared" si="123"/>
        <v>0</v>
      </c>
      <c r="N423" s="137">
        <f t="shared" si="123"/>
        <v>0</v>
      </c>
      <c r="O423" s="137">
        <f t="shared" si="123"/>
        <v>0</v>
      </c>
      <c r="P423" s="137">
        <f t="shared" si="123"/>
        <v>0</v>
      </c>
      <c r="Q423" s="20"/>
    </row>
    <row r="424" spans="1:18" ht="93" hidden="1" thickTop="1" thickBot="1" x14ac:dyDescent="0.25">
      <c r="A424" s="167">
        <v>3718880</v>
      </c>
      <c r="B424" s="167">
        <v>8880</v>
      </c>
      <c r="C424" s="140"/>
      <c r="D424" s="153" t="s">
        <v>1154</v>
      </c>
      <c r="E424" s="141">
        <f>E425</f>
        <v>0</v>
      </c>
      <c r="F424" s="141">
        <f t="shared" ref="F424" si="124">F425</f>
        <v>0</v>
      </c>
      <c r="G424" s="141">
        <f t="shared" si="123"/>
        <v>0</v>
      </c>
      <c r="H424" s="141">
        <f t="shared" si="123"/>
        <v>0</v>
      </c>
      <c r="I424" s="141">
        <f t="shared" si="123"/>
        <v>0</v>
      </c>
      <c r="J424" s="141">
        <f t="shared" si="123"/>
        <v>0</v>
      </c>
      <c r="K424" s="141">
        <f t="shared" si="123"/>
        <v>0</v>
      </c>
      <c r="L424" s="141">
        <f t="shared" si="123"/>
        <v>0</v>
      </c>
      <c r="M424" s="141">
        <f t="shared" si="123"/>
        <v>0</v>
      </c>
      <c r="N424" s="141">
        <f t="shared" si="123"/>
        <v>0</v>
      </c>
      <c r="O424" s="141">
        <f t="shared" si="123"/>
        <v>0</v>
      </c>
      <c r="P424" s="141">
        <f t="shared" si="123"/>
        <v>0</v>
      </c>
      <c r="Q424" s="20"/>
    </row>
    <row r="425" spans="1:18" ht="93" hidden="1" thickTop="1" thickBot="1" x14ac:dyDescent="0.25">
      <c r="A425" s="128">
        <v>3718881</v>
      </c>
      <c r="B425" s="128">
        <v>8881</v>
      </c>
      <c r="C425" s="128" t="s">
        <v>170</v>
      </c>
      <c r="D425" s="128" t="s">
        <v>1155</v>
      </c>
      <c r="E425" s="152">
        <f>F425</f>
        <v>0</v>
      </c>
      <c r="F425" s="129">
        <f>(2500000)-2500000</f>
        <v>0</v>
      </c>
      <c r="G425" s="129"/>
      <c r="H425" s="129"/>
      <c r="I425" s="129"/>
      <c r="J425" s="127">
        <f t="shared" ref="J425" si="125">L425+O425</f>
        <v>0</v>
      </c>
      <c r="K425" s="129"/>
      <c r="L425" s="130"/>
      <c r="M425" s="130"/>
      <c r="N425" s="130"/>
      <c r="O425" s="132">
        <f t="shared" ref="O425" si="126">K425</f>
        <v>0</v>
      </c>
      <c r="P425" s="127">
        <f t="shared" ref="P425" si="127">+J425+E425</f>
        <v>0</v>
      </c>
      <c r="Q425" s="20"/>
    </row>
    <row r="426" spans="1:18" ht="47.25" hidden="1" thickTop="1" thickBot="1" x14ac:dyDescent="0.25">
      <c r="A426" s="125" t="s">
        <v>847</v>
      </c>
      <c r="B426" s="125" t="s">
        <v>702</v>
      </c>
      <c r="C426" s="125"/>
      <c r="D426" s="125" t="s">
        <v>703</v>
      </c>
      <c r="E426" s="127">
        <f>E427</f>
        <v>0</v>
      </c>
      <c r="F426" s="127">
        <f t="shared" ref="F426:P427" si="128">F427</f>
        <v>0</v>
      </c>
      <c r="G426" s="127">
        <f t="shared" si="128"/>
        <v>0</v>
      </c>
      <c r="H426" s="127">
        <f t="shared" si="128"/>
        <v>0</v>
      </c>
      <c r="I426" s="127">
        <f t="shared" si="128"/>
        <v>0</v>
      </c>
      <c r="J426" s="127">
        <f t="shared" si="128"/>
        <v>0</v>
      </c>
      <c r="K426" s="127">
        <f t="shared" si="128"/>
        <v>0</v>
      </c>
      <c r="L426" s="127">
        <f t="shared" si="128"/>
        <v>0</v>
      </c>
      <c r="M426" s="127">
        <f t="shared" si="128"/>
        <v>0</v>
      </c>
      <c r="N426" s="127">
        <f t="shared" si="128"/>
        <v>0</v>
      </c>
      <c r="O426" s="127">
        <f t="shared" si="128"/>
        <v>0</v>
      </c>
      <c r="P426" s="127">
        <f t="shared" si="128"/>
        <v>0</v>
      </c>
      <c r="Q426" s="20"/>
    </row>
    <row r="427" spans="1:18" ht="47.25" hidden="1" thickTop="1" thickBot="1" x14ac:dyDescent="0.25">
      <c r="A427" s="166">
        <v>3719100</v>
      </c>
      <c r="B427" s="136" t="s">
        <v>849</v>
      </c>
      <c r="C427" s="136"/>
      <c r="D427" s="136" t="s">
        <v>848</v>
      </c>
      <c r="E427" s="137">
        <f>E428</f>
        <v>0</v>
      </c>
      <c r="F427" s="137">
        <f t="shared" si="128"/>
        <v>0</v>
      </c>
      <c r="G427" s="137">
        <f t="shared" si="128"/>
        <v>0</v>
      </c>
      <c r="H427" s="137">
        <f t="shared" si="128"/>
        <v>0</v>
      </c>
      <c r="I427" s="137">
        <f t="shared" si="128"/>
        <v>0</v>
      </c>
      <c r="J427" s="137">
        <f t="shared" si="128"/>
        <v>0</v>
      </c>
      <c r="K427" s="137">
        <f t="shared" si="128"/>
        <v>0</v>
      </c>
      <c r="L427" s="137">
        <f t="shared" si="128"/>
        <v>0</v>
      </c>
      <c r="M427" s="137">
        <f t="shared" si="128"/>
        <v>0</v>
      </c>
      <c r="N427" s="137">
        <f t="shared" si="128"/>
        <v>0</v>
      </c>
      <c r="O427" s="137">
        <f t="shared" si="128"/>
        <v>0</v>
      </c>
      <c r="P427" s="137">
        <f t="shared" si="128"/>
        <v>0</v>
      </c>
      <c r="Q427" s="20"/>
    </row>
    <row r="428" spans="1:18" ht="51" hidden="1" customHeight="1" thickTop="1" thickBot="1" x14ac:dyDescent="0.25">
      <c r="A428" s="151">
        <v>3719110</v>
      </c>
      <c r="B428" s="151">
        <v>9110</v>
      </c>
      <c r="C428" s="128" t="s">
        <v>43</v>
      </c>
      <c r="D428" s="402" t="s">
        <v>451</v>
      </c>
      <c r="E428" s="127">
        <f>F428</f>
        <v>0</v>
      </c>
      <c r="F428" s="134">
        <v>0</v>
      </c>
      <c r="G428" s="134"/>
      <c r="H428" s="134"/>
      <c r="I428" s="134"/>
      <c r="J428" s="127">
        <f>L428+O428</f>
        <v>0</v>
      </c>
      <c r="K428" s="134"/>
      <c r="L428" s="134"/>
      <c r="M428" s="134"/>
      <c r="N428" s="134"/>
      <c r="O428" s="132">
        <f>K428</f>
        <v>0</v>
      </c>
      <c r="P428" s="127">
        <f>E428+J428</f>
        <v>0</v>
      </c>
      <c r="Q428" s="20"/>
    </row>
    <row r="429" spans="1:18" ht="111" customHeight="1" thickTop="1" thickBot="1" x14ac:dyDescent="0.25">
      <c r="A429" s="674" t="s">
        <v>381</v>
      </c>
      <c r="B429" s="674" t="s">
        <v>381</v>
      </c>
      <c r="C429" s="674" t="s">
        <v>381</v>
      </c>
      <c r="D429" s="674" t="s">
        <v>391</v>
      </c>
      <c r="E429" s="675">
        <f t="shared" ref="E429:P429" si="129">E16+E48+E221+E108+E140+E200++E320+E345+E412+E373+E393+E403+E354+E285+E257</f>
        <v>21294370.589999896</v>
      </c>
      <c r="F429" s="675">
        <f t="shared" si="129"/>
        <v>21294370.589999896</v>
      </c>
      <c r="G429" s="675">
        <f t="shared" si="129"/>
        <v>0</v>
      </c>
      <c r="H429" s="675">
        <f t="shared" si="129"/>
        <v>137643</v>
      </c>
      <c r="I429" s="675">
        <f t="shared" si="129"/>
        <v>0</v>
      </c>
      <c r="J429" s="675">
        <f t="shared" si="129"/>
        <v>156908194.41000003</v>
      </c>
      <c r="K429" s="675">
        <f t="shared" si="129"/>
        <v>156908194.41000003</v>
      </c>
      <c r="L429" s="675">
        <f t="shared" si="129"/>
        <v>-152499</v>
      </c>
      <c r="M429" s="675">
        <f t="shared" si="129"/>
        <v>-133500</v>
      </c>
      <c r="N429" s="675">
        <f t="shared" si="129"/>
        <v>0</v>
      </c>
      <c r="O429" s="675">
        <f t="shared" si="129"/>
        <v>157060693.41000003</v>
      </c>
      <c r="P429" s="675">
        <f t="shared" si="129"/>
        <v>178202564.99999991</v>
      </c>
      <c r="Q429" s="79" t="b">
        <f>P429=J429+E429</f>
        <v>1</v>
      </c>
    </row>
    <row r="430" spans="1:18" ht="46.5" thickTop="1" x14ac:dyDescent="0.2">
      <c r="A430" s="819" t="s">
        <v>1520</v>
      </c>
      <c r="B430" s="820"/>
      <c r="C430" s="820"/>
      <c r="D430" s="820"/>
      <c r="E430" s="820"/>
      <c r="F430" s="820"/>
      <c r="G430" s="820"/>
      <c r="H430" s="820"/>
      <c r="I430" s="820"/>
      <c r="J430" s="820"/>
      <c r="K430" s="820"/>
      <c r="L430" s="820"/>
      <c r="M430" s="820"/>
      <c r="N430" s="820"/>
      <c r="O430" s="820"/>
      <c r="P430" s="820"/>
      <c r="Q430" s="56"/>
    </row>
    <row r="431" spans="1:18" ht="60.75" hidden="1" x14ac:dyDescent="0.2">
      <c r="A431" s="15"/>
      <c r="B431" s="16"/>
      <c r="C431" s="16"/>
      <c r="D431" s="16"/>
      <c r="E431" s="550">
        <f>F431</f>
        <v>3960470007</v>
      </c>
      <c r="F431" s="550">
        <f>(((3716414441.2)+222038975.97)+1158900+4436136.01)+16421553.82</f>
        <v>3960470007</v>
      </c>
      <c r="G431" s="550">
        <f>((95820900+1446614253+3269881+127110999+52092425+53854513+94248348+1953964)+45702476.39+3377320)+949920+3007261+436671+76680</f>
        <v>1928515611.3900001</v>
      </c>
      <c r="H431" s="550">
        <f>(((6241293+170645348+208800+8158262+4493410+2946945+4237921+58880)+92902.78)+140989.01)+137643</f>
        <v>197362393.78999999</v>
      </c>
      <c r="I431" s="550">
        <v>0</v>
      </c>
      <c r="J431" s="550">
        <f>(((480219450.8+'d2'!E42-'d4'!O29)+268859015.4)+7672111)+161781011.18</f>
        <v>915941098.38000011</v>
      </c>
      <c r="K431" s="550">
        <f>((480219450.8+'d2'!F42-'d4'!P29-1200000-5215800-229145152)+268859015.4-4737.15-663952)+161781011.18</f>
        <v>672039346.23000002</v>
      </c>
      <c r="L431" s="550">
        <f>(((2604400+176000+570000+1000000)+206347210+6239260+10895910+1888442+1200000)+4737.15)-152499</f>
        <v>230773460.15000001</v>
      </c>
      <c r="M431" s="550">
        <f>(53944610+2604685+8032370+704165)-133500</f>
        <v>65152330</v>
      </c>
      <c r="N431" s="550">
        <f>17336870+705805+284620+524376</f>
        <v>18851671</v>
      </c>
      <c r="O431" s="550">
        <f>(((480219450.8+'d2'!F42-'d4'!O29-1200000-5215800-229145152+865400+3487390+24000+237940+25000)+268859015.4-4737.15)+7672111)+152499+161781011.18</f>
        <v>685167638.23000002</v>
      </c>
      <c r="P431" s="550">
        <f>(((4196633892+'d2'!C46-'d4'!Q29)+490897991.37)+7672111+4436136.01+1158900)+178202565</f>
        <v>4876411105.3800001</v>
      </c>
      <c r="Q431" s="79" t="b">
        <f>E431+J431=P431</f>
        <v>1</v>
      </c>
      <c r="R431" s="56"/>
    </row>
    <row r="432" spans="1:18" ht="45.75" x14ac:dyDescent="0.65">
      <c r="A432" s="15"/>
      <c r="B432" s="16"/>
      <c r="C432" s="16"/>
      <c r="D432" s="551" t="s">
        <v>1480</v>
      </c>
      <c r="E432" s="319"/>
      <c r="F432" s="319"/>
      <c r="G432" s="2"/>
      <c r="H432" s="3"/>
      <c r="I432" s="2"/>
      <c r="J432" s="3"/>
      <c r="K432" s="2" t="s">
        <v>1481</v>
      </c>
      <c r="L432" s="2"/>
      <c r="M432" s="2"/>
      <c r="N432" s="2"/>
      <c r="O432" s="2"/>
      <c r="P432" s="2"/>
      <c r="Q432" s="56"/>
    </row>
    <row r="433" spans="1:18" ht="45.75" hidden="1" x14ac:dyDescent="0.65">
      <c r="A433" s="168"/>
      <c r="B433" s="169"/>
      <c r="C433" s="169"/>
      <c r="D433" s="3" t="s">
        <v>1445</v>
      </c>
      <c r="E433" s="319"/>
      <c r="F433" s="319"/>
      <c r="G433" s="2"/>
      <c r="H433" s="3"/>
      <c r="I433" s="2"/>
      <c r="J433" s="3"/>
      <c r="K433" s="3" t="s">
        <v>1446</v>
      </c>
      <c r="L433" s="202"/>
      <c r="M433" s="202"/>
      <c r="N433" s="202"/>
      <c r="O433" s="202"/>
      <c r="P433" s="202"/>
      <c r="Q433" s="56"/>
    </row>
    <row r="434" spans="1:18" ht="26.25" customHeight="1" x14ac:dyDescent="0.65">
      <c r="A434" s="15"/>
      <c r="B434" s="16"/>
      <c r="C434" s="16"/>
      <c r="D434" s="798"/>
      <c r="E434" s="798"/>
      <c r="F434" s="798"/>
      <c r="G434" s="798"/>
      <c r="H434" s="798"/>
      <c r="I434" s="798"/>
      <c r="J434" s="798"/>
      <c r="K434" s="798"/>
      <c r="L434" s="798"/>
      <c r="M434" s="798"/>
      <c r="N434" s="798"/>
      <c r="O434" s="798"/>
      <c r="P434" s="798"/>
      <c r="Q434" s="83"/>
    </row>
    <row r="435" spans="1:18" ht="50.25" customHeight="1" thickBot="1" x14ac:dyDescent="0.7">
      <c r="A435" s="15"/>
      <c r="B435" s="16"/>
      <c r="C435" s="16"/>
      <c r="D435" s="769" t="s">
        <v>523</v>
      </c>
      <c r="E435" s="770"/>
      <c r="F435" s="770"/>
      <c r="G435" s="361"/>
      <c r="H435" s="361"/>
      <c r="I435" s="2"/>
      <c r="J435" s="2"/>
      <c r="K435" s="3" t="s">
        <v>1346</v>
      </c>
      <c r="L435" s="2"/>
      <c r="M435" s="2"/>
      <c r="N435" s="2"/>
      <c r="O435" s="2"/>
      <c r="P435" s="2"/>
      <c r="Q435" s="83"/>
    </row>
    <row r="436" spans="1:18" ht="47.25" thickTop="1" thickBot="1" x14ac:dyDescent="0.7">
      <c r="A436" s="19"/>
      <c r="B436" s="19"/>
      <c r="C436" s="19"/>
      <c r="D436" s="821"/>
      <c r="E436" s="821"/>
      <c r="F436" s="821"/>
      <c r="G436" s="821"/>
      <c r="H436" s="821"/>
      <c r="I436" s="821"/>
      <c r="J436" s="821"/>
      <c r="K436" s="821"/>
      <c r="L436" s="821"/>
      <c r="M436" s="821"/>
      <c r="N436" s="821"/>
      <c r="O436" s="821"/>
      <c r="P436" s="821"/>
      <c r="Q436" s="84"/>
    </row>
    <row r="437" spans="1:18" ht="95.25" customHeight="1" thickTop="1" x14ac:dyDescent="0.55000000000000004">
      <c r="G437" s="58"/>
      <c r="H437" s="58"/>
      <c r="I437" s="92"/>
      <c r="J437" s="93"/>
      <c r="K437" s="93"/>
      <c r="L437" s="92"/>
      <c r="M437" s="92"/>
      <c r="N437" s="92"/>
      <c r="O437" s="92"/>
      <c r="P437" s="93"/>
      <c r="Q437" s="82"/>
    </row>
    <row r="438" spans="1:18" x14ac:dyDescent="0.2">
      <c r="E438" s="59"/>
      <c r="F438" s="60"/>
      <c r="G438" s="58"/>
      <c r="H438" s="58"/>
      <c r="I438" s="92"/>
      <c r="J438" s="94"/>
      <c r="K438" s="94"/>
      <c r="L438" s="92"/>
      <c r="M438" s="92"/>
      <c r="N438" s="92"/>
      <c r="O438" s="92"/>
      <c r="P438" s="93"/>
    </row>
    <row r="439" spans="1:18" x14ac:dyDescent="0.2">
      <c r="E439" s="59"/>
      <c r="F439" s="60"/>
      <c r="G439" s="58"/>
      <c r="H439" s="58"/>
      <c r="I439" s="92"/>
      <c r="J439" s="94"/>
      <c r="K439" s="94"/>
      <c r="L439" s="92"/>
      <c r="M439" s="92"/>
      <c r="N439" s="92"/>
      <c r="O439" s="92"/>
      <c r="P439" s="93"/>
    </row>
    <row r="440" spans="1:18" ht="60.75" x14ac:dyDescent="0.2">
      <c r="E440" s="704" t="b">
        <f>E431=E429</f>
        <v>0</v>
      </c>
      <c r="F440" s="704" t="b">
        <f>F431=F429</f>
        <v>0</v>
      </c>
      <c r="G440" s="704" t="b">
        <f>G431=G429</f>
        <v>0</v>
      </c>
      <c r="H440" s="704" t="b">
        <f t="shared" ref="H440:O440" si="130">H431=H429</f>
        <v>0</v>
      </c>
      <c r="I440" s="704" t="b">
        <f>I431=I429</f>
        <v>1</v>
      </c>
      <c r="J440" s="704" t="b">
        <f>J431=J429</f>
        <v>0</v>
      </c>
      <c r="K440" s="704" t="b">
        <f>K431=K429</f>
        <v>0</v>
      </c>
      <c r="L440" s="704" t="b">
        <f t="shared" si="130"/>
        <v>0</v>
      </c>
      <c r="M440" s="704" t="b">
        <f t="shared" si="130"/>
        <v>0</v>
      </c>
      <c r="N440" s="704" t="b">
        <f>N431=N429</f>
        <v>0</v>
      </c>
      <c r="O440" s="704" t="b">
        <f t="shared" si="130"/>
        <v>0</v>
      </c>
      <c r="P440" s="704" t="b">
        <f>P431=P429</f>
        <v>0</v>
      </c>
    </row>
    <row r="441" spans="1:18" ht="61.5" x14ac:dyDescent="0.2">
      <c r="E441" s="704" t="b">
        <f>E429=F429</f>
        <v>1</v>
      </c>
      <c r="F441" s="705">
        <f>F422/E429</f>
        <v>-0.57759578842757708</v>
      </c>
      <c r="G441" s="86"/>
      <c r="H441" s="87"/>
      <c r="I441" s="88"/>
      <c r="J441" s="704" t="b">
        <f>J431=L431+O431</f>
        <v>1</v>
      </c>
      <c r="K441" s="95"/>
      <c r="L441" s="79"/>
      <c r="M441" s="88"/>
      <c r="N441" s="88"/>
      <c r="O441" s="79"/>
      <c r="P441" s="704" t="b">
        <f>E429+J429=P429</f>
        <v>1</v>
      </c>
    </row>
    <row r="442" spans="1:18" ht="60.75" x14ac:dyDescent="0.2">
      <c r="E442" s="89"/>
      <c r="F442" s="90"/>
      <c r="G442" s="89"/>
      <c r="H442" s="706">
        <f>H431-H429</f>
        <v>197224750.78999999</v>
      </c>
      <c r="I442" s="89"/>
      <c r="J442" s="59"/>
      <c r="K442" s="59"/>
    </row>
    <row r="443" spans="1:18" ht="61.5" x14ac:dyDescent="0.2">
      <c r="A443" s="21"/>
      <c r="B443" s="21"/>
      <c r="C443" s="21"/>
      <c r="D443" s="22"/>
      <c r="E443" s="37">
        <f>E429-E431</f>
        <v>-3939175636.4100003</v>
      </c>
      <c r="F443" s="705">
        <f>400000/E429</f>
        <v>1.87843072566721E-2</v>
      </c>
      <c r="G443" s="86"/>
      <c r="H443" s="61"/>
      <c r="I443" s="22"/>
      <c r="J443" s="37">
        <f>J429-J431</f>
        <v>-759032903.97000003</v>
      </c>
      <c r="K443" s="37">
        <f>K429-K431</f>
        <v>-515131151.81999999</v>
      </c>
      <c r="L443" s="37"/>
      <c r="M443" s="37"/>
      <c r="N443" s="37"/>
      <c r="O443" s="37">
        <f>O429-O431</f>
        <v>-528106944.81999999</v>
      </c>
      <c r="P443" s="37"/>
    </row>
    <row r="444" spans="1:18" ht="61.5" x14ac:dyDescent="0.2">
      <c r="D444" s="22"/>
      <c r="E444" s="37"/>
      <c r="F444" s="63"/>
      <c r="G444" s="55"/>
      <c r="H444" s="61"/>
      <c r="I444" s="22"/>
      <c r="J444" s="37"/>
      <c r="K444" s="37"/>
      <c r="L444" s="64"/>
      <c r="P444" s="55"/>
      <c r="Q444" s="85"/>
      <c r="R444" s="65"/>
    </row>
    <row r="445" spans="1:18" ht="60.75" x14ac:dyDescent="0.2">
      <c r="A445" s="21"/>
      <c r="B445" s="21"/>
      <c r="C445" s="21"/>
      <c r="D445" s="22"/>
      <c r="E445" s="26"/>
      <c r="F445" s="26"/>
      <c r="G445" s="26"/>
      <c r="H445" s="26"/>
      <c r="I445" s="66"/>
      <c r="J445" s="26"/>
      <c r="K445" s="26"/>
      <c r="L445" s="26"/>
      <c r="M445" s="26"/>
      <c r="N445" s="26"/>
      <c r="O445" s="26"/>
      <c r="P445" s="26"/>
      <c r="Q445" s="85"/>
      <c r="R445" s="65"/>
    </row>
    <row r="446" spans="1:18" ht="60.75" x14ac:dyDescent="0.2">
      <c r="D446" s="22"/>
      <c r="E446" s="37"/>
      <c r="F446" s="67"/>
      <c r="O446" s="55"/>
      <c r="P446" s="55"/>
    </row>
    <row r="447" spans="1:18" ht="60.75" x14ac:dyDescent="0.2">
      <c r="A447" s="21"/>
      <c r="B447" s="21"/>
      <c r="C447" s="21"/>
      <c r="D447" s="22"/>
      <c r="E447" s="37"/>
      <c r="F447" s="62"/>
      <c r="G447" s="64"/>
      <c r="I447" s="68"/>
      <c r="J447" s="59"/>
      <c r="K447" s="59"/>
      <c r="L447" s="21"/>
      <c r="M447" s="21"/>
      <c r="N447" s="21"/>
      <c r="O447" s="21"/>
      <c r="P447" s="55"/>
    </row>
    <row r="448" spans="1:18" ht="62.25" x14ac:dyDescent="0.8">
      <c r="A448" s="21"/>
      <c r="B448" s="21"/>
      <c r="C448" s="21"/>
      <c r="D448" s="21"/>
      <c r="E448" s="69"/>
      <c r="F448" s="62"/>
      <c r="J448" s="59"/>
      <c r="K448" s="59"/>
      <c r="L448" s="21"/>
      <c r="M448" s="21"/>
      <c r="N448" s="21"/>
      <c r="O448" s="21"/>
      <c r="P448" s="70"/>
    </row>
    <row r="449" spans="1:16" ht="45.75" x14ac:dyDescent="0.2">
      <c r="E449" s="71"/>
      <c r="F449" s="67"/>
    </row>
    <row r="450" spans="1:16" ht="45.75" x14ac:dyDescent="0.2">
      <c r="A450" s="21"/>
      <c r="B450" s="21"/>
      <c r="C450" s="21"/>
      <c r="D450" s="21"/>
      <c r="E450" s="69"/>
      <c r="F450" s="62"/>
      <c r="L450" s="21"/>
      <c r="M450" s="21"/>
      <c r="N450" s="21"/>
      <c r="O450" s="21"/>
      <c r="P450" s="21"/>
    </row>
    <row r="451" spans="1:16" ht="45.75" x14ac:dyDescent="0.2">
      <c r="E451" s="72"/>
      <c r="F451" s="67"/>
    </row>
    <row r="452" spans="1:16" ht="45.75" x14ac:dyDescent="0.2">
      <c r="E452" s="72"/>
      <c r="F452" s="67"/>
    </row>
    <row r="453" spans="1:16" ht="45.75" x14ac:dyDescent="0.2">
      <c r="E453" s="72"/>
      <c r="F453" s="67"/>
    </row>
    <row r="454" spans="1:16" ht="45.75" x14ac:dyDescent="0.2">
      <c r="A454" s="21"/>
      <c r="B454" s="21"/>
      <c r="C454" s="21"/>
      <c r="D454" s="21"/>
      <c r="E454" s="72"/>
      <c r="F454" s="67"/>
      <c r="G454" s="21"/>
      <c r="H454" s="21"/>
      <c r="I454" s="21"/>
      <c r="J454" s="21"/>
      <c r="K454" s="21"/>
      <c r="L454" s="21"/>
      <c r="M454" s="21"/>
      <c r="N454" s="21"/>
      <c r="O454" s="21"/>
      <c r="P454" s="21"/>
    </row>
    <row r="455" spans="1:16" ht="45.75" x14ac:dyDescent="0.2">
      <c r="A455" s="21"/>
      <c r="B455" s="21"/>
      <c r="C455" s="21"/>
      <c r="D455" s="21"/>
      <c r="E455" s="72"/>
      <c r="F455" s="67"/>
      <c r="G455" s="21"/>
      <c r="H455" s="21"/>
      <c r="I455" s="21"/>
      <c r="J455" s="21"/>
      <c r="K455" s="21"/>
      <c r="L455" s="21"/>
      <c r="M455" s="21"/>
      <c r="N455" s="21"/>
      <c r="O455" s="21"/>
      <c r="P455" s="21"/>
    </row>
    <row r="456" spans="1:16" ht="45.75" x14ac:dyDescent="0.2">
      <c r="A456" s="21"/>
      <c r="B456" s="21"/>
      <c r="C456" s="21"/>
      <c r="D456" s="21"/>
      <c r="E456" s="72"/>
      <c r="F456" s="67"/>
      <c r="G456" s="21"/>
      <c r="H456" s="21"/>
      <c r="I456" s="21"/>
      <c r="J456" s="21"/>
      <c r="K456" s="21"/>
      <c r="L456" s="21"/>
      <c r="M456" s="21"/>
      <c r="N456" s="21"/>
      <c r="O456" s="21"/>
      <c r="P456" s="21"/>
    </row>
    <row r="457" spans="1:16" ht="45.75" x14ac:dyDescent="0.2">
      <c r="A457" s="21"/>
      <c r="B457" s="21"/>
      <c r="C457" s="21"/>
      <c r="D457" s="21"/>
      <c r="E457" s="72"/>
      <c r="F457" s="67"/>
      <c r="G457" s="21"/>
      <c r="H457" s="21"/>
      <c r="I457" s="21"/>
      <c r="J457" s="21"/>
      <c r="K457" s="21"/>
      <c r="L457" s="21"/>
      <c r="M457" s="21"/>
      <c r="N457" s="21"/>
      <c r="O457" s="21"/>
      <c r="P457" s="21"/>
    </row>
  </sheetData>
  <mergeCells count="99">
    <mergeCell ref="A8:B8"/>
    <mergeCell ref="N1:Q1"/>
    <mergeCell ref="N2:Q2"/>
    <mergeCell ref="O3:P3"/>
    <mergeCell ref="A5:P5"/>
    <mergeCell ref="A6:P6"/>
    <mergeCell ref="M33:M34"/>
    <mergeCell ref="N33:N34"/>
    <mergeCell ref="O33:O34"/>
    <mergeCell ref="A9:B9"/>
    <mergeCell ref="A11:A13"/>
    <mergeCell ref="B11:B13"/>
    <mergeCell ref="C11:C13"/>
    <mergeCell ref="D11:D13"/>
    <mergeCell ref="J11:O11"/>
    <mergeCell ref="P11:P13"/>
    <mergeCell ref="E12:E13"/>
    <mergeCell ref="F12:F13"/>
    <mergeCell ref="G12:H12"/>
    <mergeCell ref="I12:I13"/>
    <mergeCell ref="J12:J13"/>
    <mergeCell ref="K12:K13"/>
    <mergeCell ref="L12:L13"/>
    <mergeCell ref="M12:N12"/>
    <mergeCell ref="E11:I11"/>
    <mergeCell ref="O12:O13"/>
    <mergeCell ref="P33:P34"/>
    <mergeCell ref="A76:A77"/>
    <mergeCell ref="B76:B77"/>
    <mergeCell ref="C76:C77"/>
    <mergeCell ref="D76:D77"/>
    <mergeCell ref="K33:K34"/>
    <mergeCell ref="G33:G34"/>
    <mergeCell ref="H33:H34"/>
    <mergeCell ref="I33:I34"/>
    <mergeCell ref="J33:J34"/>
    <mergeCell ref="L33:L34"/>
    <mergeCell ref="A33:A34"/>
    <mergeCell ref="B33:B34"/>
    <mergeCell ref="C33:C34"/>
    <mergeCell ref="E33:E34"/>
    <mergeCell ref="F33:F34"/>
    <mergeCell ref="Q168:Q171"/>
    <mergeCell ref="R168:R171"/>
    <mergeCell ref="A172:A175"/>
    <mergeCell ref="B172:B175"/>
    <mergeCell ref="C172:C175"/>
    <mergeCell ref="A168:A171"/>
    <mergeCell ref="B168:B171"/>
    <mergeCell ref="C168:C171"/>
    <mergeCell ref="R172:R175"/>
    <mergeCell ref="A176:A178"/>
    <mergeCell ref="B176:B178"/>
    <mergeCell ref="C176:C178"/>
    <mergeCell ref="R179:R181"/>
    <mergeCell ref="E197:E198"/>
    <mergeCell ref="F197:F198"/>
    <mergeCell ref="R176:R178"/>
    <mergeCell ref="A179:A181"/>
    <mergeCell ref="B179:B181"/>
    <mergeCell ref="C179:C181"/>
    <mergeCell ref="M197:M198"/>
    <mergeCell ref="N197:N198"/>
    <mergeCell ref="O197:O198"/>
    <mergeCell ref="P197:P198"/>
    <mergeCell ref="I197:I198"/>
    <mergeCell ref="J197:J198"/>
    <mergeCell ref="A277:A278"/>
    <mergeCell ref="B277:B278"/>
    <mergeCell ref="C277:C278"/>
    <mergeCell ref="G197:G198"/>
    <mergeCell ref="H197:H198"/>
    <mergeCell ref="K197:K198"/>
    <mergeCell ref="L197:L198"/>
    <mergeCell ref="A197:A198"/>
    <mergeCell ref="B197:B198"/>
    <mergeCell ref="C197:C198"/>
    <mergeCell ref="G341:G342"/>
    <mergeCell ref="H341:H342"/>
    <mergeCell ref="I341:I342"/>
    <mergeCell ref="A308:A309"/>
    <mergeCell ref="B308:B309"/>
    <mergeCell ref="C308:C309"/>
    <mergeCell ref="P341:P342"/>
    <mergeCell ref="A430:P430"/>
    <mergeCell ref="D434:P434"/>
    <mergeCell ref="D435:F435"/>
    <mergeCell ref="D436:P436"/>
    <mergeCell ref="J341:J342"/>
    <mergeCell ref="K341:K342"/>
    <mergeCell ref="L341:L342"/>
    <mergeCell ref="M341:M342"/>
    <mergeCell ref="N341:N342"/>
    <mergeCell ref="O341:O342"/>
    <mergeCell ref="A341:A342"/>
    <mergeCell ref="B341:B342"/>
    <mergeCell ref="C341:C342"/>
    <mergeCell ref="E341:E342"/>
    <mergeCell ref="F341:F342"/>
  </mergeCells>
  <conditionalFormatting sqref="Q345:Q352">
    <cfRule type="iconSet" priority="17">
      <iconSet iconSet="3Arrows">
        <cfvo type="percent" val="0"/>
        <cfvo type="percent" val="33"/>
        <cfvo type="percent" val="67"/>
      </iconSet>
    </cfRule>
  </conditionalFormatting>
  <conditionalFormatting sqref="Q354:Q355">
    <cfRule type="iconSet" priority="13">
      <iconSet iconSet="3Arrows">
        <cfvo type="percent" val="0"/>
        <cfvo type="percent" val="33"/>
        <cfvo type="percent" val="67"/>
      </iconSet>
    </cfRule>
  </conditionalFormatting>
  <conditionalFormatting sqref="Q356:Q371">
    <cfRule type="iconSet" priority="21">
      <iconSet iconSet="3Arrows">
        <cfvo type="percent" val="0"/>
        <cfvo type="percent" val="33"/>
        <cfvo type="percent" val="67"/>
      </iconSet>
    </cfRule>
  </conditionalFormatting>
  <conditionalFormatting sqref="Q393:Q398">
    <cfRule type="iconSet" priority="20">
      <iconSet iconSet="3Arrows">
        <cfvo type="percent" val="0"/>
        <cfvo type="percent" val="33"/>
        <cfvo type="percent" val="67"/>
      </iconSet>
    </cfRule>
  </conditionalFormatting>
  <conditionalFormatting sqref="Q399">
    <cfRule type="iconSet" priority="2">
      <iconSet iconSet="3Arrows">
        <cfvo type="percent" val="0"/>
        <cfvo type="percent" val="33"/>
        <cfvo type="percent" val="67"/>
      </iconSet>
    </cfRule>
  </conditionalFormatting>
  <conditionalFormatting sqref="Q400:Q401">
    <cfRule type="iconSet" priority="8">
      <iconSet iconSet="3Arrows">
        <cfvo type="percent" val="0"/>
        <cfvo type="percent" val="33"/>
        <cfvo type="percent" val="67"/>
      </iconSet>
    </cfRule>
  </conditionalFormatting>
  <conditionalFormatting sqref="Q403">
    <cfRule type="iconSet" priority="3">
      <iconSet iconSet="3Arrows">
        <cfvo type="percent" val="0"/>
        <cfvo type="percent" val="33"/>
        <cfvo type="percent" val="67"/>
      </iconSet>
    </cfRule>
  </conditionalFormatting>
  <conditionalFormatting sqref="Q412">
    <cfRule type="iconSet" priority="1">
      <iconSet iconSet="3Arrows">
        <cfvo type="percent" val="0"/>
        <cfvo type="percent" val="33"/>
        <cfvo type="percent" val="67"/>
      </iconSet>
    </cfRule>
  </conditionalFormatting>
  <conditionalFormatting sqref="Q413 Q415:R419 R414:S414">
    <cfRule type="iconSet" priority="16">
      <iconSet iconSet="3Arrows">
        <cfvo type="percent" val="0"/>
        <cfvo type="percent" val="33"/>
        <cfvo type="percent" val="67"/>
      </iconSet>
    </cfRule>
  </conditionalFormatting>
  <conditionalFormatting sqref="Q414">
    <cfRule type="iconSet" priority="7">
      <iconSet iconSet="3Arrows">
        <cfvo type="percent" val="0"/>
        <cfvo type="percent" val="33"/>
        <cfvo type="percent" val="67"/>
      </iconSet>
    </cfRule>
  </conditionalFormatting>
  <conditionalFormatting sqref="Q373:R380">
    <cfRule type="iconSet" priority="23">
      <iconSet iconSet="3Arrows">
        <cfvo type="percent" val="0"/>
        <cfvo type="percent" val="33"/>
        <cfvo type="percent" val="67"/>
      </iconSet>
    </cfRule>
  </conditionalFormatting>
  <conditionalFormatting sqref="R345:R346">
    <cfRule type="iconSet" priority="11">
      <iconSet iconSet="3Arrows">
        <cfvo type="percent" val="0"/>
        <cfvo type="percent" val="33"/>
        <cfvo type="percent" val="67"/>
      </iconSet>
    </cfRule>
  </conditionalFormatting>
  <conditionalFormatting sqref="R347:R352">
    <cfRule type="iconSet" priority="10">
      <iconSet iconSet="3Arrows">
        <cfvo type="percent" val="0"/>
        <cfvo type="percent" val="33"/>
        <cfvo type="percent" val="67"/>
      </iconSet>
    </cfRule>
  </conditionalFormatting>
  <conditionalFormatting sqref="R354:R355">
    <cfRule type="iconSet" priority="12">
      <iconSet iconSet="3Arrows">
        <cfvo type="percent" val="0"/>
        <cfvo type="percent" val="33"/>
        <cfvo type="percent" val="67"/>
      </iconSet>
    </cfRule>
  </conditionalFormatting>
  <conditionalFormatting sqref="R356:R371">
    <cfRule type="iconSet" priority="22">
      <iconSet iconSet="3Arrows">
        <cfvo type="percent" val="0"/>
        <cfvo type="percent" val="33"/>
        <cfvo type="percent" val="67"/>
      </iconSet>
    </cfRule>
  </conditionalFormatting>
  <conditionalFormatting sqref="R381:R391">
    <cfRule type="iconSet" priority="18">
      <iconSet iconSet="3Arrows">
        <cfvo type="percent" val="0"/>
        <cfvo type="percent" val="33"/>
        <cfvo type="percent" val="67"/>
      </iconSet>
    </cfRule>
  </conditionalFormatting>
  <conditionalFormatting sqref="R393:R394">
    <cfRule type="iconSet" priority="9">
      <iconSet iconSet="3Arrows">
        <cfvo type="percent" val="0"/>
        <cfvo type="percent" val="33"/>
        <cfvo type="percent" val="67"/>
      </iconSet>
    </cfRule>
  </conditionalFormatting>
  <conditionalFormatting sqref="R395:R398">
    <cfRule type="iconSet" priority="19">
      <iconSet iconSet="3Arrows">
        <cfvo type="percent" val="0"/>
        <cfvo type="percent" val="33"/>
        <cfvo type="percent" val="67"/>
      </iconSet>
    </cfRule>
  </conditionalFormatting>
  <conditionalFormatting sqref="R405:R407 Q404:R404 R403">
    <cfRule type="iconSet" priority="15">
      <iconSet iconSet="3Arrows">
        <cfvo type="percent" val="0"/>
        <cfvo type="percent" val="33"/>
        <cfvo type="percent" val="67"/>
      </iconSet>
    </cfRule>
  </conditionalFormatting>
  <conditionalFormatting sqref="R408">
    <cfRule type="iconSet" priority="5">
      <iconSet iconSet="3Arrows">
        <cfvo type="percent" val="0"/>
        <cfvo type="percent" val="33"/>
        <cfvo type="percent" val="67"/>
      </iconSet>
    </cfRule>
  </conditionalFormatting>
  <conditionalFormatting sqref="R410">
    <cfRule type="iconSet" priority="4">
      <iconSet iconSet="3Arrows">
        <cfvo type="percent" val="0"/>
        <cfvo type="percent" val="33"/>
        <cfvo type="percent" val="67"/>
      </iconSet>
    </cfRule>
  </conditionalFormatting>
  <conditionalFormatting sqref="R412">
    <cfRule type="iconSet" priority="6">
      <iconSet iconSet="3Arrows">
        <cfvo type="percent" val="0"/>
        <cfvo type="percent" val="33"/>
        <cfvo type="percent" val="67"/>
      </iconSet>
    </cfRule>
  </conditionalFormatting>
  <conditionalFormatting sqref="R413">
    <cfRule type="iconSet" priority="14">
      <iconSet iconSet="3Arrows">
        <cfvo type="percent" val="0"/>
        <cfvo type="percent" val="33"/>
        <cfvo type="percent" val="67"/>
      </iconSet>
    </cfRule>
  </conditionalFormatting>
  <pageMargins left="0.23622047244094491" right="0.27559055118110237" top="0.27559055118110237" bottom="0.15748031496062992" header="0.23622047244094491" footer="0.27559055118110237"/>
  <pageSetup paperSize="9" scale="13" orientation="landscape" r:id="rId1"/>
  <headerFooter alignWithMargins="0">
    <oddFooter>&amp;C&amp;"Times New Roman Cyr,курсив"Сторінка &amp;P з &amp;N</oddFooter>
  </headerFooter>
  <rowBreaks count="2" manualBreakCount="2">
    <brk id="214" max="15" man="1"/>
    <brk id="304" max="15"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T457"/>
  <sheetViews>
    <sheetView view="pageBreakPreview" zoomScale="24" zoomScaleNormal="25" zoomScaleSheetLayoutView="24" zoomScalePageLayoutView="10" workbookViewId="0">
      <pane ySplit="14" topLeftCell="A15" activePane="bottomLeft" state="frozen"/>
      <selection activeCell="B52" sqref="B52:E52"/>
      <selection pane="bottomLeft" activeCell="A23" sqref="A23:D24"/>
    </sheetView>
  </sheetViews>
  <sheetFormatPr defaultColWidth="9.140625" defaultRowHeight="12.75" x14ac:dyDescent="0.2"/>
  <cols>
    <col min="1" max="1" width="48" style="18" customWidth="1"/>
    <col min="2" max="2" width="52.5703125" style="18" customWidth="1"/>
    <col min="3" max="3" width="65.7109375" style="18" customWidth="1"/>
    <col min="4" max="4" width="256.140625" style="18" customWidth="1"/>
    <col min="5" max="5" width="66.42578125" style="57" customWidth="1"/>
    <col min="6" max="6" width="62.5703125" style="18" customWidth="1"/>
    <col min="7" max="7" width="59.7109375" style="18" customWidth="1"/>
    <col min="8" max="8" width="53.140625" style="18" customWidth="1"/>
    <col min="9" max="9" width="41.85546875" style="18" customWidth="1"/>
    <col min="10" max="10" width="50.5703125" style="57" customWidth="1"/>
    <col min="11" max="11" width="52.5703125" style="57" customWidth="1"/>
    <col min="12" max="12" width="56.140625" style="18" customWidth="1"/>
    <col min="13" max="13" width="54.85546875" style="18" customWidth="1"/>
    <col min="14" max="14" width="51" style="18" customWidth="1"/>
    <col min="15" max="15" width="56.140625" style="18" bestFit="1" customWidth="1"/>
    <col min="16" max="16" width="86.28515625" style="57" customWidth="1"/>
    <col min="17" max="17" width="52.140625" style="81" customWidth="1"/>
    <col min="18" max="18" width="33.85546875" style="20" customWidth="1"/>
    <col min="19" max="19" width="40.140625" style="21" bestFit="1" customWidth="1"/>
    <col min="20" max="20" width="43.5703125" style="21" bestFit="1" customWidth="1"/>
    <col min="21" max="16384" width="9.140625" style="21"/>
  </cols>
  <sheetData>
    <row r="1" spans="1:18" ht="45.75" x14ac:dyDescent="0.2">
      <c r="A1" s="75"/>
      <c r="B1" s="75"/>
      <c r="C1" s="75"/>
      <c r="D1" s="76"/>
      <c r="E1" s="77"/>
      <c r="F1" s="78"/>
      <c r="G1" s="77"/>
      <c r="H1" s="77"/>
      <c r="I1" s="77"/>
      <c r="J1" s="77"/>
      <c r="K1" s="77"/>
      <c r="L1" s="77"/>
      <c r="M1" s="77"/>
      <c r="N1" s="806" t="s">
        <v>493</v>
      </c>
      <c r="O1" s="807"/>
      <c r="P1" s="807"/>
      <c r="Q1" s="807"/>
    </row>
    <row r="2" spans="1:18" ht="45.75" x14ac:dyDescent="0.2">
      <c r="A2" s="76"/>
      <c r="B2" s="76"/>
      <c r="C2" s="76"/>
      <c r="D2" s="76"/>
      <c r="E2" s="77"/>
      <c r="F2" s="78"/>
      <c r="G2" s="77"/>
      <c r="H2" s="77"/>
      <c r="I2" s="77"/>
      <c r="J2" s="77"/>
      <c r="K2" s="77"/>
      <c r="L2" s="77"/>
      <c r="M2" s="77"/>
      <c r="N2" s="806" t="s">
        <v>1583</v>
      </c>
      <c r="O2" s="808"/>
      <c r="P2" s="808"/>
      <c r="Q2" s="808"/>
    </row>
    <row r="3" spans="1:18" ht="40.700000000000003" customHeight="1" x14ac:dyDescent="0.2">
      <c r="A3" s="76"/>
      <c r="B3" s="76"/>
      <c r="C3" s="76"/>
      <c r="D3" s="76"/>
      <c r="E3" s="77"/>
      <c r="F3" s="78"/>
      <c r="G3" s="77"/>
      <c r="H3" s="77"/>
      <c r="I3" s="77"/>
      <c r="J3" s="77"/>
      <c r="K3" s="77"/>
      <c r="L3" s="77"/>
      <c r="M3" s="77"/>
      <c r="N3" s="77"/>
      <c r="O3" s="806"/>
      <c r="P3" s="809"/>
      <c r="Q3" s="80"/>
    </row>
    <row r="4" spans="1:18" ht="45.75" hidden="1" x14ac:dyDescent="0.2">
      <c r="A4" s="76"/>
      <c r="B4" s="76"/>
      <c r="C4" s="76"/>
      <c r="D4" s="76"/>
      <c r="E4" s="77"/>
      <c r="F4" s="78"/>
      <c r="G4" s="77"/>
      <c r="H4" s="77"/>
      <c r="I4" s="77"/>
      <c r="J4" s="77"/>
      <c r="K4" s="77"/>
      <c r="L4" s="77"/>
      <c r="M4" s="77"/>
      <c r="N4" s="77"/>
      <c r="O4" s="76"/>
      <c r="P4" s="78"/>
      <c r="Q4" s="80"/>
    </row>
    <row r="5" spans="1:18" ht="45" x14ac:dyDescent="0.2">
      <c r="A5" s="810" t="s">
        <v>1623</v>
      </c>
      <c r="B5" s="810"/>
      <c r="C5" s="810"/>
      <c r="D5" s="810"/>
      <c r="E5" s="810"/>
      <c r="F5" s="810"/>
      <c r="G5" s="810"/>
      <c r="H5" s="810"/>
      <c r="I5" s="810"/>
      <c r="J5" s="810"/>
      <c r="K5" s="810"/>
      <c r="L5" s="810"/>
      <c r="M5" s="810"/>
      <c r="N5" s="810"/>
      <c r="O5" s="810"/>
      <c r="P5" s="810"/>
      <c r="Q5" s="80"/>
    </row>
    <row r="6" spans="1:18" ht="45" x14ac:dyDescent="0.2">
      <c r="A6" s="810" t="s">
        <v>1498</v>
      </c>
      <c r="B6" s="810"/>
      <c r="C6" s="810"/>
      <c r="D6" s="810"/>
      <c r="E6" s="810"/>
      <c r="F6" s="810"/>
      <c r="G6" s="810"/>
      <c r="H6" s="810"/>
      <c r="I6" s="810"/>
      <c r="J6" s="810"/>
      <c r="K6" s="810"/>
      <c r="L6" s="810"/>
      <c r="M6" s="810"/>
      <c r="N6" s="810"/>
      <c r="O6" s="810"/>
      <c r="P6" s="810"/>
      <c r="Q6" s="80"/>
    </row>
    <row r="7" spans="1:18" ht="45" x14ac:dyDescent="0.2">
      <c r="A7" s="77"/>
      <c r="B7" s="77"/>
      <c r="C7" s="77"/>
      <c r="D7" s="77"/>
      <c r="E7" s="77"/>
      <c r="F7" s="77"/>
      <c r="G7" s="77"/>
      <c r="H7" s="77"/>
      <c r="I7" s="77"/>
      <c r="J7" s="77"/>
      <c r="K7" s="77"/>
      <c r="L7" s="77"/>
      <c r="M7" s="77"/>
      <c r="N7" s="77"/>
      <c r="O7" s="77"/>
      <c r="P7" s="77"/>
      <c r="Q7" s="80"/>
    </row>
    <row r="8" spans="1:18" ht="45.75" x14ac:dyDescent="0.65">
      <c r="A8" s="811">
        <v>2256400000</v>
      </c>
      <c r="B8" s="812"/>
      <c r="C8" s="77"/>
      <c r="D8" s="398"/>
      <c r="E8" s="398"/>
      <c r="F8" s="398"/>
      <c r="G8" s="398"/>
      <c r="H8" s="398"/>
      <c r="I8" s="398"/>
      <c r="J8" s="398"/>
      <c r="K8" s="398"/>
      <c r="L8" s="398"/>
      <c r="M8" s="398"/>
      <c r="N8" s="398"/>
      <c r="O8" s="398"/>
      <c r="P8" s="398"/>
      <c r="Q8" s="13"/>
    </row>
    <row r="9" spans="1:18" ht="45.75" x14ac:dyDescent="0.2">
      <c r="A9" s="816" t="s">
        <v>490</v>
      </c>
      <c r="B9" s="817"/>
      <c r="C9" s="77"/>
      <c r="D9" s="398"/>
      <c r="E9" s="398"/>
      <c r="F9" s="398"/>
      <c r="G9" s="398"/>
      <c r="H9" s="398"/>
      <c r="I9" s="398"/>
      <c r="J9" s="398"/>
      <c r="K9" s="398"/>
      <c r="L9" s="398"/>
      <c r="M9" s="398"/>
      <c r="N9" s="398"/>
      <c r="O9" s="398"/>
      <c r="P9" s="398"/>
      <c r="Q9" s="13"/>
    </row>
    <row r="10" spans="1:18" ht="53.45" customHeight="1" thickBot="1" x14ac:dyDescent="0.25">
      <c r="A10" s="77"/>
      <c r="B10" s="77"/>
      <c r="C10" s="77"/>
      <c r="D10" s="398"/>
      <c r="E10" s="398"/>
      <c r="F10" s="399"/>
      <c r="G10" s="398"/>
      <c r="H10" s="398"/>
      <c r="I10" s="398"/>
      <c r="J10" s="398"/>
      <c r="K10" s="398"/>
      <c r="L10" s="398"/>
      <c r="M10" s="398"/>
      <c r="N10" s="398"/>
      <c r="O10" s="398"/>
      <c r="P10" s="316" t="s">
        <v>404</v>
      </c>
      <c r="Q10" s="13"/>
    </row>
    <row r="11" spans="1:18" ht="62.45" customHeight="1" thickTop="1" thickBot="1" x14ac:dyDescent="0.25">
      <c r="A11" s="815" t="s">
        <v>491</v>
      </c>
      <c r="B11" s="815" t="s">
        <v>492</v>
      </c>
      <c r="C11" s="815" t="s">
        <v>390</v>
      </c>
      <c r="D11" s="815" t="s">
        <v>573</v>
      </c>
      <c r="E11" s="813" t="s">
        <v>12</v>
      </c>
      <c r="F11" s="813"/>
      <c r="G11" s="813"/>
      <c r="H11" s="813"/>
      <c r="I11" s="813"/>
      <c r="J11" s="813" t="s">
        <v>52</v>
      </c>
      <c r="K11" s="813"/>
      <c r="L11" s="813"/>
      <c r="M11" s="813"/>
      <c r="N11" s="813"/>
      <c r="O11" s="814"/>
      <c r="P11" s="813" t="s">
        <v>11</v>
      </c>
      <c r="Q11" s="20"/>
    </row>
    <row r="12" spans="1:18" ht="96" customHeight="1" thickTop="1" thickBot="1" x14ac:dyDescent="0.25">
      <c r="A12" s="813"/>
      <c r="B12" s="818"/>
      <c r="C12" s="818"/>
      <c r="D12" s="813"/>
      <c r="E12" s="815" t="s">
        <v>384</v>
      </c>
      <c r="F12" s="815" t="s">
        <v>53</v>
      </c>
      <c r="G12" s="815" t="s">
        <v>13</v>
      </c>
      <c r="H12" s="815"/>
      <c r="I12" s="815" t="s">
        <v>55</v>
      </c>
      <c r="J12" s="815" t="s">
        <v>384</v>
      </c>
      <c r="K12" s="815" t="s">
        <v>385</v>
      </c>
      <c r="L12" s="815" t="s">
        <v>53</v>
      </c>
      <c r="M12" s="815" t="s">
        <v>13</v>
      </c>
      <c r="N12" s="815"/>
      <c r="O12" s="815" t="s">
        <v>55</v>
      </c>
      <c r="P12" s="813"/>
      <c r="Q12" s="20"/>
    </row>
    <row r="13" spans="1:18" ht="328.7" customHeight="1" thickTop="1" thickBot="1" x14ac:dyDescent="0.25">
      <c r="A13" s="818"/>
      <c r="B13" s="818"/>
      <c r="C13" s="818"/>
      <c r="D13" s="818"/>
      <c r="E13" s="815"/>
      <c r="F13" s="815"/>
      <c r="G13" s="317" t="s">
        <v>54</v>
      </c>
      <c r="H13" s="317" t="s">
        <v>15</v>
      </c>
      <c r="I13" s="815"/>
      <c r="J13" s="815"/>
      <c r="K13" s="815"/>
      <c r="L13" s="815"/>
      <c r="M13" s="317" t="s">
        <v>54</v>
      </c>
      <c r="N13" s="317" t="s">
        <v>15</v>
      </c>
      <c r="O13" s="815"/>
      <c r="P13" s="813"/>
      <c r="Q13" s="20"/>
    </row>
    <row r="14" spans="1:18" s="24" customFormat="1" ht="47.25" thickTop="1" thickBot="1" x14ac:dyDescent="0.25">
      <c r="A14" s="311" t="s">
        <v>2</v>
      </c>
      <c r="B14" s="311" t="s">
        <v>3</v>
      </c>
      <c r="C14" s="311" t="s">
        <v>14</v>
      </c>
      <c r="D14" s="311" t="s">
        <v>5</v>
      </c>
      <c r="E14" s="311" t="s">
        <v>392</v>
      </c>
      <c r="F14" s="311" t="s">
        <v>393</v>
      </c>
      <c r="G14" s="311" t="s">
        <v>394</v>
      </c>
      <c r="H14" s="311" t="s">
        <v>395</v>
      </c>
      <c r="I14" s="311" t="s">
        <v>396</v>
      </c>
      <c r="J14" s="311" t="s">
        <v>397</v>
      </c>
      <c r="K14" s="311" t="s">
        <v>398</v>
      </c>
      <c r="L14" s="311" t="s">
        <v>399</v>
      </c>
      <c r="M14" s="311" t="s">
        <v>400</v>
      </c>
      <c r="N14" s="311" t="s">
        <v>401</v>
      </c>
      <c r="O14" s="311" t="s">
        <v>402</v>
      </c>
      <c r="P14" s="311" t="s">
        <v>403</v>
      </c>
      <c r="Q14" s="126"/>
      <c r="R14" s="23"/>
    </row>
    <row r="15" spans="1:18" s="24" customFormat="1" ht="120" customHeight="1" thickTop="1" thickBot="1" x14ac:dyDescent="0.25">
      <c r="A15" s="661" t="s">
        <v>148</v>
      </c>
      <c r="B15" s="661"/>
      <c r="C15" s="661"/>
      <c r="D15" s="662" t="s">
        <v>150</v>
      </c>
      <c r="E15" s="663">
        <f>E16</f>
        <v>0</v>
      </c>
      <c r="F15" s="664">
        <f t="shared" ref="F15:N15" si="0">F16</f>
        <v>0</v>
      </c>
      <c r="G15" s="664">
        <f t="shared" si="0"/>
        <v>0</v>
      </c>
      <c r="H15" s="664">
        <f t="shared" si="0"/>
        <v>0</v>
      </c>
      <c r="I15" s="664">
        <f t="shared" si="0"/>
        <v>0</v>
      </c>
      <c r="J15" s="663">
        <f t="shared" si="0"/>
        <v>0</v>
      </c>
      <c r="K15" s="664">
        <f t="shared" si="0"/>
        <v>0</v>
      </c>
      <c r="L15" s="664">
        <f t="shared" si="0"/>
        <v>0</v>
      </c>
      <c r="M15" s="664">
        <f t="shared" si="0"/>
        <v>0</v>
      </c>
      <c r="N15" s="664">
        <f t="shared" si="0"/>
        <v>0</v>
      </c>
      <c r="O15" s="663">
        <f>O16</f>
        <v>0</v>
      </c>
      <c r="P15" s="664">
        <f t="shared" ref="P15" si="1">P16</f>
        <v>0</v>
      </c>
      <c r="Q15" s="25"/>
      <c r="R15" s="25"/>
    </row>
    <row r="16" spans="1:18" s="24" customFormat="1" ht="120" customHeight="1" thickTop="1" thickBot="1" x14ac:dyDescent="0.25">
      <c r="A16" s="658" t="s">
        <v>149</v>
      </c>
      <c r="B16" s="658"/>
      <c r="C16" s="658"/>
      <c r="D16" s="659" t="s">
        <v>151</v>
      </c>
      <c r="E16" s="660">
        <f>E17+E25+E36+E42</f>
        <v>0</v>
      </c>
      <c r="F16" s="660">
        <f>F17+F25+F36+F42</f>
        <v>0</v>
      </c>
      <c r="G16" s="660">
        <f>G17+G25+G36+G42</f>
        <v>0</v>
      </c>
      <c r="H16" s="660">
        <f>H17+H25+H36+H42</f>
        <v>0</v>
      </c>
      <c r="I16" s="660">
        <f>I17+I25+I36+I42</f>
        <v>0</v>
      </c>
      <c r="J16" s="660">
        <f>L16+O16</f>
        <v>0</v>
      </c>
      <c r="K16" s="660">
        <f>K17+K25+K36+K42</f>
        <v>0</v>
      </c>
      <c r="L16" s="660">
        <f>L17+L25+L36+L42</f>
        <v>0</v>
      </c>
      <c r="M16" s="660">
        <f>M17+M25+M36+M42</f>
        <v>0</v>
      </c>
      <c r="N16" s="660">
        <f>N17+N25+N36+N42</f>
        <v>0</v>
      </c>
      <c r="O16" s="660">
        <f>O17+O25+O36+O42</f>
        <v>0</v>
      </c>
      <c r="P16" s="660">
        <f>E16+J16</f>
        <v>0</v>
      </c>
      <c r="Q16" s="565" t="b">
        <f>P16=P18+P21+P27+P31+P33+P35+P38+P39+P41+P44+P45+P46</f>
        <v>1</v>
      </c>
      <c r="R16" s="26"/>
    </row>
    <row r="17" spans="1:18" s="28" customFormat="1" ht="47.25" thickTop="1" thickBot="1" x14ac:dyDescent="0.25">
      <c r="A17" s="311" t="s">
        <v>683</v>
      </c>
      <c r="B17" s="311" t="s">
        <v>684</v>
      </c>
      <c r="C17" s="311"/>
      <c r="D17" s="311" t="s">
        <v>685</v>
      </c>
      <c r="E17" s="328">
        <f>d3М!E17-d3П!E17</f>
        <v>0</v>
      </c>
      <c r="F17" s="328">
        <f>d3М!F17-d3П!F17</f>
        <v>0</v>
      </c>
      <c r="G17" s="328">
        <f>d3М!G17-d3П!G17</f>
        <v>0</v>
      </c>
      <c r="H17" s="328">
        <f>d3М!H17-d3П!H17</f>
        <v>0</v>
      </c>
      <c r="I17" s="328">
        <f>d3М!I17-d3П!I17</f>
        <v>0</v>
      </c>
      <c r="J17" s="328">
        <f>d3М!J17-d3П!J17</f>
        <v>0</v>
      </c>
      <c r="K17" s="328">
        <f>d3М!K17-d3П!K17</f>
        <v>0</v>
      </c>
      <c r="L17" s="328">
        <f>d3М!L17-d3П!L17</f>
        <v>0</v>
      </c>
      <c r="M17" s="328">
        <f>d3М!M17-d3П!M17</f>
        <v>0</v>
      </c>
      <c r="N17" s="328">
        <f>d3М!N17-d3П!N17</f>
        <v>0</v>
      </c>
      <c r="O17" s="328">
        <f>d3М!O17-d3П!O17</f>
        <v>0</v>
      </c>
      <c r="P17" s="328">
        <f>d3М!P17-d3П!P17</f>
        <v>0</v>
      </c>
      <c r="Q17" s="31"/>
      <c r="R17" s="27"/>
    </row>
    <row r="18" spans="1:18" ht="173.25" customHeight="1" thickTop="1" thickBot="1" x14ac:dyDescent="0.25">
      <c r="A18" s="103" t="s">
        <v>232</v>
      </c>
      <c r="B18" s="103" t="s">
        <v>233</v>
      </c>
      <c r="C18" s="103" t="s">
        <v>234</v>
      </c>
      <c r="D18" s="103" t="s">
        <v>231</v>
      </c>
      <c r="E18" s="328">
        <f>d3М!E18-d3П!E18</f>
        <v>0</v>
      </c>
      <c r="F18" s="328">
        <f>d3М!F18-d3П!F18</f>
        <v>0</v>
      </c>
      <c r="G18" s="328">
        <f>d3М!G18-d3П!G18</f>
        <v>0</v>
      </c>
      <c r="H18" s="328">
        <f>d3М!H18-d3П!H18</f>
        <v>0</v>
      </c>
      <c r="I18" s="328">
        <f>d3М!I18-d3П!I18</f>
        <v>0</v>
      </c>
      <c r="J18" s="328">
        <f>d3М!J18-d3П!J18</f>
        <v>0</v>
      </c>
      <c r="K18" s="328">
        <f>d3М!K18-d3П!K18</f>
        <v>0</v>
      </c>
      <c r="L18" s="328">
        <f>d3М!L18-d3П!L18</f>
        <v>0</v>
      </c>
      <c r="M18" s="328">
        <f>d3М!M18-d3П!M18</f>
        <v>0</v>
      </c>
      <c r="N18" s="328">
        <f>d3М!N18-d3П!N18</f>
        <v>0</v>
      </c>
      <c r="O18" s="328">
        <f>d3М!O18-d3П!O18</f>
        <v>0</v>
      </c>
      <c r="P18" s="328">
        <f>d3М!P18-d3П!P18</f>
        <v>0</v>
      </c>
      <c r="Q18" s="133"/>
      <c r="R18" s="29"/>
    </row>
    <row r="19" spans="1:18" ht="93" hidden="1" customHeight="1" thickTop="1" thickBot="1" x14ac:dyDescent="0.25">
      <c r="A19" s="128" t="s">
        <v>584</v>
      </c>
      <c r="B19" s="128" t="s">
        <v>236</v>
      </c>
      <c r="C19" s="128" t="s">
        <v>234</v>
      </c>
      <c r="D19" s="128" t="s">
        <v>235</v>
      </c>
      <c r="E19" s="328">
        <f>d3М!E19-d3П!E19</f>
        <v>0</v>
      </c>
      <c r="F19" s="328">
        <f>d3М!F19-d3П!F19</f>
        <v>0</v>
      </c>
      <c r="G19" s="328">
        <f>d3М!G19-d3П!G19</f>
        <v>0</v>
      </c>
      <c r="H19" s="328">
        <f>d3М!H19-d3П!H19</f>
        <v>0</v>
      </c>
      <c r="I19" s="328">
        <f>d3М!I19-d3П!I19</f>
        <v>0</v>
      </c>
      <c r="J19" s="328">
        <f>d3М!J19-d3П!J19</f>
        <v>0</v>
      </c>
      <c r="K19" s="328">
        <f>d3М!K19-d3П!K19</f>
        <v>0</v>
      </c>
      <c r="L19" s="328">
        <f>d3М!L19-d3П!L19</f>
        <v>0</v>
      </c>
      <c r="M19" s="328">
        <f>d3М!M19-d3П!M19</f>
        <v>0</v>
      </c>
      <c r="N19" s="328">
        <f>d3М!N19-d3П!N19</f>
        <v>0</v>
      </c>
      <c r="O19" s="328">
        <f>d3М!O19-d3П!O19</f>
        <v>0</v>
      </c>
      <c r="P19" s="328">
        <f>d3М!P19-d3П!P19</f>
        <v>0</v>
      </c>
      <c r="Q19" s="133"/>
      <c r="R19" s="29"/>
    </row>
    <row r="20" spans="1:18" ht="93" hidden="1" customHeight="1" thickTop="1" thickBot="1" x14ac:dyDescent="0.25">
      <c r="A20" s="128" t="s">
        <v>624</v>
      </c>
      <c r="B20" s="128" t="s">
        <v>362</v>
      </c>
      <c r="C20" s="128" t="s">
        <v>625</v>
      </c>
      <c r="D20" s="128" t="s">
        <v>626</v>
      </c>
      <c r="E20" s="328">
        <f>d3М!E20-d3П!E20</f>
        <v>0</v>
      </c>
      <c r="F20" s="328">
        <f>d3М!F20-d3П!F20</f>
        <v>0</v>
      </c>
      <c r="G20" s="328">
        <f>d3М!G20-d3П!G20</f>
        <v>0</v>
      </c>
      <c r="H20" s="328">
        <f>d3М!H20-d3П!H20</f>
        <v>0</v>
      </c>
      <c r="I20" s="328">
        <f>d3М!I20-d3П!I20</f>
        <v>0</v>
      </c>
      <c r="J20" s="328">
        <f>d3М!J20-d3П!J20</f>
        <v>0</v>
      </c>
      <c r="K20" s="328">
        <f>d3М!K20-d3П!K20</f>
        <v>0</v>
      </c>
      <c r="L20" s="328">
        <f>d3М!L20-d3П!L20</f>
        <v>0</v>
      </c>
      <c r="M20" s="328">
        <f>d3М!M20-d3П!M20</f>
        <v>0</v>
      </c>
      <c r="N20" s="328">
        <f>d3М!N20-d3П!N20</f>
        <v>0</v>
      </c>
      <c r="O20" s="328">
        <f>d3М!O20-d3П!O20</f>
        <v>0</v>
      </c>
      <c r="P20" s="328">
        <f>d3М!P20-d3П!P20</f>
        <v>0</v>
      </c>
      <c r="Q20" s="133"/>
      <c r="R20" s="30"/>
    </row>
    <row r="21" spans="1:18" ht="47.25" thickTop="1" thickBot="1" x14ac:dyDescent="0.25">
      <c r="A21" s="103" t="s">
        <v>247</v>
      </c>
      <c r="B21" s="103" t="s">
        <v>43</v>
      </c>
      <c r="C21" s="103" t="s">
        <v>42</v>
      </c>
      <c r="D21" s="103" t="s">
        <v>248</v>
      </c>
      <c r="E21" s="328">
        <f>d3М!E21-d3П!E21</f>
        <v>0</v>
      </c>
      <c r="F21" s="328">
        <f>d3М!F21-d3П!F21</f>
        <v>0</v>
      </c>
      <c r="G21" s="328">
        <f>d3М!G21-d3П!G21</f>
        <v>0</v>
      </c>
      <c r="H21" s="328">
        <f>d3М!H21-d3П!H21</f>
        <v>0</v>
      </c>
      <c r="I21" s="328">
        <f>d3М!I21-d3П!I21</f>
        <v>0</v>
      </c>
      <c r="J21" s="328">
        <f>d3М!J21-d3П!J21</f>
        <v>0</v>
      </c>
      <c r="K21" s="328">
        <f>d3М!K21-d3П!K21</f>
        <v>0</v>
      </c>
      <c r="L21" s="328">
        <f>d3М!L21-d3П!L21</f>
        <v>0</v>
      </c>
      <c r="M21" s="328">
        <f>d3М!M21-d3П!M21</f>
        <v>0</v>
      </c>
      <c r="N21" s="328">
        <f>d3М!N21-d3П!N21</f>
        <v>0</v>
      </c>
      <c r="O21" s="328">
        <f>d3М!O21-d3П!O21</f>
        <v>0</v>
      </c>
      <c r="P21" s="328">
        <f>d3М!P21-d3П!P21</f>
        <v>0</v>
      </c>
      <c r="Q21" s="133"/>
      <c r="R21" s="30"/>
    </row>
    <row r="22" spans="1:18" ht="47.25" thickTop="1" thickBot="1" x14ac:dyDescent="0.25">
      <c r="A22" s="311" t="s">
        <v>1626</v>
      </c>
      <c r="B22" s="311" t="s">
        <v>711</v>
      </c>
      <c r="C22" s="311"/>
      <c r="D22" s="311" t="s">
        <v>712</v>
      </c>
      <c r="E22" s="328">
        <f>0-0</f>
        <v>0</v>
      </c>
      <c r="F22" s="328">
        <f t="shared" ref="F22:P22" si="2">0-0</f>
        <v>0</v>
      </c>
      <c r="G22" s="328">
        <f t="shared" si="2"/>
        <v>0</v>
      </c>
      <c r="H22" s="328">
        <f t="shared" si="2"/>
        <v>0</v>
      </c>
      <c r="I22" s="328">
        <f t="shared" si="2"/>
        <v>0</v>
      </c>
      <c r="J22" s="328">
        <f t="shared" si="2"/>
        <v>0</v>
      </c>
      <c r="K22" s="328">
        <f t="shared" si="2"/>
        <v>0</v>
      </c>
      <c r="L22" s="328">
        <f t="shared" si="2"/>
        <v>0</v>
      </c>
      <c r="M22" s="328">
        <f t="shared" si="2"/>
        <v>0</v>
      </c>
      <c r="N22" s="328">
        <f t="shared" si="2"/>
        <v>0</v>
      </c>
      <c r="O22" s="328">
        <f t="shared" si="2"/>
        <v>0</v>
      </c>
      <c r="P22" s="328">
        <f t="shared" si="2"/>
        <v>0</v>
      </c>
      <c r="Q22" s="133"/>
      <c r="R22" s="30"/>
    </row>
    <row r="23" spans="1:18" ht="47.25" thickTop="1" thickBot="1" x14ac:dyDescent="0.25">
      <c r="A23" s="669" t="s">
        <v>1627</v>
      </c>
      <c r="B23" s="669" t="s">
        <v>739</v>
      </c>
      <c r="C23" s="669"/>
      <c r="D23" s="669" t="s">
        <v>740</v>
      </c>
      <c r="E23" s="328">
        <f t="shared" ref="E23:P24" si="3">0-0</f>
        <v>0</v>
      </c>
      <c r="F23" s="328">
        <f t="shared" si="3"/>
        <v>0</v>
      </c>
      <c r="G23" s="328">
        <f t="shared" si="3"/>
        <v>0</v>
      </c>
      <c r="H23" s="328">
        <f t="shared" si="3"/>
        <v>0</v>
      </c>
      <c r="I23" s="328">
        <f t="shared" si="3"/>
        <v>0</v>
      </c>
      <c r="J23" s="328">
        <f t="shared" si="3"/>
        <v>0</v>
      </c>
      <c r="K23" s="328">
        <f t="shared" si="3"/>
        <v>0</v>
      </c>
      <c r="L23" s="328">
        <f t="shared" si="3"/>
        <v>0</v>
      </c>
      <c r="M23" s="328">
        <f t="shared" si="3"/>
        <v>0</v>
      </c>
      <c r="N23" s="328">
        <f t="shared" si="3"/>
        <v>0</v>
      </c>
      <c r="O23" s="328">
        <f t="shared" si="3"/>
        <v>0</v>
      </c>
      <c r="P23" s="328">
        <f t="shared" si="3"/>
        <v>0</v>
      </c>
      <c r="Q23" s="133"/>
      <c r="R23" s="30"/>
    </row>
    <row r="24" spans="1:18" ht="93" thickTop="1" thickBot="1" x14ac:dyDescent="0.25">
      <c r="A24" s="665" t="s">
        <v>1628</v>
      </c>
      <c r="B24" s="665" t="s">
        <v>329</v>
      </c>
      <c r="C24" s="665" t="s">
        <v>191</v>
      </c>
      <c r="D24" s="742" t="s">
        <v>331</v>
      </c>
      <c r="E24" s="328">
        <f t="shared" si="3"/>
        <v>0</v>
      </c>
      <c r="F24" s="328">
        <f t="shared" si="3"/>
        <v>0</v>
      </c>
      <c r="G24" s="328">
        <f t="shared" si="3"/>
        <v>0</v>
      </c>
      <c r="H24" s="328">
        <f t="shared" si="3"/>
        <v>0</v>
      </c>
      <c r="I24" s="328">
        <f t="shared" si="3"/>
        <v>0</v>
      </c>
      <c r="J24" s="328">
        <f t="shared" si="3"/>
        <v>0</v>
      </c>
      <c r="K24" s="328">
        <f t="shared" si="3"/>
        <v>0</v>
      </c>
      <c r="L24" s="328">
        <f t="shared" si="3"/>
        <v>0</v>
      </c>
      <c r="M24" s="328">
        <f t="shared" si="3"/>
        <v>0</v>
      </c>
      <c r="N24" s="328">
        <f t="shared" si="3"/>
        <v>0</v>
      </c>
      <c r="O24" s="328">
        <f t="shared" si="3"/>
        <v>0</v>
      </c>
      <c r="P24" s="328">
        <f t="shared" si="3"/>
        <v>0</v>
      </c>
      <c r="Q24" s="133"/>
      <c r="R24" s="30"/>
    </row>
    <row r="25" spans="1:18" s="28" customFormat="1" ht="47.25" thickTop="1" thickBot="1" x14ac:dyDescent="0.3">
      <c r="A25" s="311" t="s">
        <v>747</v>
      </c>
      <c r="B25" s="311" t="s">
        <v>748</v>
      </c>
      <c r="C25" s="311"/>
      <c r="D25" s="311" t="s">
        <v>749</v>
      </c>
      <c r="E25" s="328">
        <f>d3М!E22-d3П!E22</f>
        <v>0</v>
      </c>
      <c r="F25" s="328">
        <f>d3М!F22-d3П!F22</f>
        <v>0</v>
      </c>
      <c r="G25" s="328">
        <f>d3М!G22-d3П!G22</f>
        <v>0</v>
      </c>
      <c r="H25" s="328">
        <f>d3М!H22-d3П!H22</f>
        <v>0</v>
      </c>
      <c r="I25" s="328">
        <f>d3М!I22-d3П!I22</f>
        <v>0</v>
      </c>
      <c r="J25" s="328">
        <f>d3М!J22-d3П!J22</f>
        <v>0</v>
      </c>
      <c r="K25" s="328">
        <f>d3М!K22-d3П!K22</f>
        <v>0</v>
      </c>
      <c r="L25" s="328">
        <f>d3М!L22-d3П!L22</f>
        <v>0</v>
      </c>
      <c r="M25" s="328">
        <f>d3М!M22-d3П!M22</f>
        <v>0</v>
      </c>
      <c r="N25" s="328">
        <f>d3М!N22-d3П!N22</f>
        <v>0</v>
      </c>
      <c r="O25" s="328">
        <f>d3М!O22-d3П!O22</f>
        <v>0</v>
      </c>
      <c r="P25" s="328">
        <f>d3М!P22-d3П!P22</f>
        <v>0</v>
      </c>
      <c r="Q25" s="135"/>
      <c r="R25" s="31"/>
    </row>
    <row r="26" spans="1:18" s="33" customFormat="1" ht="47.25" thickTop="1" thickBot="1" x14ac:dyDescent="0.25">
      <c r="A26" s="313" t="s">
        <v>686</v>
      </c>
      <c r="B26" s="313" t="s">
        <v>687</v>
      </c>
      <c r="C26" s="313"/>
      <c r="D26" s="313" t="s">
        <v>688</v>
      </c>
      <c r="E26" s="328">
        <f>d3М!E23-d3П!E23</f>
        <v>0</v>
      </c>
      <c r="F26" s="328">
        <f>d3М!F23-d3П!F23</f>
        <v>0</v>
      </c>
      <c r="G26" s="328">
        <f>d3М!G23-d3П!G23</f>
        <v>0</v>
      </c>
      <c r="H26" s="328">
        <f>d3М!H23-d3П!H23</f>
        <v>0</v>
      </c>
      <c r="I26" s="328">
        <f>d3М!I23-d3П!I23</f>
        <v>0</v>
      </c>
      <c r="J26" s="328">
        <f>d3М!J23-d3П!J23</f>
        <v>0</v>
      </c>
      <c r="K26" s="328">
        <f>d3М!K23-d3П!K23</f>
        <v>0</v>
      </c>
      <c r="L26" s="328">
        <f>d3М!L23-d3П!L23</f>
        <v>0</v>
      </c>
      <c r="M26" s="328">
        <f>d3М!M23-d3П!M23</f>
        <v>0</v>
      </c>
      <c r="N26" s="328">
        <f>d3М!N23-d3П!N23</f>
        <v>0</v>
      </c>
      <c r="O26" s="328">
        <f>d3М!O23-d3П!O23</f>
        <v>0</v>
      </c>
      <c r="P26" s="328">
        <f>d3М!P23-d3П!P23</f>
        <v>0</v>
      </c>
      <c r="Q26" s="138"/>
      <c r="R26" s="32"/>
    </row>
    <row r="27" spans="1:18" ht="47.25" thickTop="1" thickBot="1" x14ac:dyDescent="0.25">
      <c r="A27" s="103" t="s">
        <v>238</v>
      </c>
      <c r="B27" s="103" t="s">
        <v>239</v>
      </c>
      <c r="C27" s="103" t="s">
        <v>240</v>
      </c>
      <c r="D27" s="103" t="s">
        <v>237</v>
      </c>
      <c r="E27" s="328">
        <f>d3М!E24-d3П!E24</f>
        <v>0</v>
      </c>
      <c r="F27" s="328">
        <f>d3М!F24-d3П!F24</f>
        <v>0</v>
      </c>
      <c r="G27" s="328">
        <f>d3М!G24-d3П!G24</f>
        <v>0</v>
      </c>
      <c r="H27" s="328">
        <f>d3М!H24-d3П!H24</f>
        <v>0</v>
      </c>
      <c r="I27" s="328">
        <f>d3М!I24-d3П!I24</f>
        <v>0</v>
      </c>
      <c r="J27" s="328">
        <f>d3М!J24-d3П!J24</f>
        <v>0</v>
      </c>
      <c r="K27" s="328">
        <f>d3М!K24-d3П!K24</f>
        <v>0</v>
      </c>
      <c r="L27" s="328">
        <f>d3М!L24-d3П!L24</f>
        <v>0</v>
      </c>
      <c r="M27" s="328">
        <f>d3М!M24-d3П!M24</f>
        <v>0</v>
      </c>
      <c r="N27" s="328">
        <f>d3М!N24-d3П!N24</f>
        <v>0</v>
      </c>
      <c r="O27" s="328">
        <f>d3М!O24-d3П!O24</f>
        <v>0</v>
      </c>
      <c r="P27" s="328">
        <f>d3М!P24-d3П!P24</f>
        <v>0</v>
      </c>
      <c r="Q27" s="133"/>
      <c r="R27" s="29"/>
    </row>
    <row r="28" spans="1:18" ht="93" hidden="1" customHeight="1" thickTop="1" thickBot="1" x14ac:dyDescent="0.25">
      <c r="A28" s="41" t="s">
        <v>976</v>
      </c>
      <c r="B28" s="41" t="s">
        <v>977</v>
      </c>
      <c r="C28" s="41" t="s">
        <v>240</v>
      </c>
      <c r="D28" s="41" t="s">
        <v>978</v>
      </c>
      <c r="E28" s="328">
        <f>d3М!E25-d3П!E25</f>
        <v>0</v>
      </c>
      <c r="F28" s="328">
        <f>d3М!F25-d3П!F25</f>
        <v>0</v>
      </c>
      <c r="G28" s="328">
        <f>d3М!G25-d3П!G25</f>
        <v>0</v>
      </c>
      <c r="H28" s="328">
        <f>d3М!H25-d3П!H25</f>
        <v>0</v>
      </c>
      <c r="I28" s="328">
        <f>d3М!I25-d3П!I25</f>
        <v>0</v>
      </c>
      <c r="J28" s="328">
        <f>d3М!J25-d3П!J25</f>
        <v>0</v>
      </c>
      <c r="K28" s="328">
        <f>d3М!K25-d3П!K25</f>
        <v>0</v>
      </c>
      <c r="L28" s="328">
        <f>d3М!L25-d3П!L25</f>
        <v>0</v>
      </c>
      <c r="M28" s="328">
        <f>d3М!M25-d3П!M25</f>
        <v>0</v>
      </c>
      <c r="N28" s="328">
        <f>d3М!N25-d3П!N25</f>
        <v>0</v>
      </c>
      <c r="O28" s="328">
        <f>d3М!O25-d3П!O25</f>
        <v>0</v>
      </c>
      <c r="P28" s="328">
        <f>d3М!P25-d3П!P25</f>
        <v>0</v>
      </c>
      <c r="Q28" s="133"/>
      <c r="R28" s="29"/>
    </row>
    <row r="29" spans="1:18" ht="47.25" thickTop="1" thickBot="1" x14ac:dyDescent="0.25">
      <c r="A29" s="313" t="s">
        <v>690</v>
      </c>
      <c r="B29" s="313" t="s">
        <v>691</v>
      </c>
      <c r="C29" s="313"/>
      <c r="D29" s="313" t="s">
        <v>689</v>
      </c>
      <c r="E29" s="328">
        <f>d3М!E26-d3П!E26</f>
        <v>0</v>
      </c>
      <c r="F29" s="328">
        <f>d3М!F26-d3П!F26</f>
        <v>0</v>
      </c>
      <c r="G29" s="328">
        <f>d3М!G26-d3П!G26</f>
        <v>0</v>
      </c>
      <c r="H29" s="328">
        <f>d3М!H26-d3П!H26</f>
        <v>0</v>
      </c>
      <c r="I29" s="328">
        <f>d3М!I26-d3П!I26</f>
        <v>0</v>
      </c>
      <c r="J29" s="328">
        <f>d3М!J26-d3П!J26</f>
        <v>0</v>
      </c>
      <c r="K29" s="328">
        <f>d3М!K26-d3П!K26</f>
        <v>0</v>
      </c>
      <c r="L29" s="328">
        <f>d3М!L26-d3П!L26</f>
        <v>0</v>
      </c>
      <c r="M29" s="328">
        <f>d3М!M26-d3П!M26</f>
        <v>0</v>
      </c>
      <c r="N29" s="328">
        <f>d3М!N26-d3П!N26</f>
        <v>0</v>
      </c>
      <c r="O29" s="328">
        <f>d3М!O26-d3П!O26</f>
        <v>0</v>
      </c>
      <c r="P29" s="328">
        <f>d3М!P26-d3П!P26</f>
        <v>0</v>
      </c>
      <c r="Q29" s="139"/>
      <c r="R29" s="34"/>
    </row>
    <row r="30" spans="1:18" ht="48" hidden="1" customHeight="1" thickTop="1" thickBot="1" x14ac:dyDescent="0.25">
      <c r="A30" s="103" t="s">
        <v>1404</v>
      </c>
      <c r="B30" s="103" t="s">
        <v>212</v>
      </c>
      <c r="C30" s="103" t="s">
        <v>213</v>
      </c>
      <c r="D30" s="103" t="s">
        <v>41</v>
      </c>
      <c r="E30" s="328">
        <f>d3М!E27-d3П!E27</f>
        <v>0</v>
      </c>
      <c r="F30" s="328">
        <f>d3М!F27-d3П!F27</f>
        <v>0</v>
      </c>
      <c r="G30" s="328">
        <f>d3М!G27-d3П!G27</f>
        <v>0</v>
      </c>
      <c r="H30" s="328">
        <f>d3М!H27-d3П!H27</f>
        <v>0</v>
      </c>
      <c r="I30" s="328">
        <f>d3М!I27-d3П!I27</f>
        <v>0</v>
      </c>
      <c r="J30" s="328">
        <f>d3М!J27-d3П!J27</f>
        <v>0</v>
      </c>
      <c r="K30" s="328">
        <f>d3М!K27-d3П!K27</f>
        <v>0</v>
      </c>
      <c r="L30" s="328">
        <f>d3М!L27-d3П!L27</f>
        <v>0</v>
      </c>
      <c r="M30" s="328">
        <f>d3М!M27-d3П!M27</f>
        <v>0</v>
      </c>
      <c r="N30" s="328">
        <f>d3М!N27-d3П!N27</f>
        <v>0</v>
      </c>
      <c r="O30" s="328">
        <f>d3М!O27-d3П!O27</f>
        <v>0</v>
      </c>
      <c r="P30" s="328">
        <f>d3М!P27-d3П!P27</f>
        <v>0</v>
      </c>
      <c r="Q30" s="139"/>
      <c r="R30" s="34"/>
    </row>
    <row r="31" spans="1:18" ht="47.25" thickTop="1" thickBot="1" x14ac:dyDescent="0.25">
      <c r="A31" s="103" t="s">
        <v>299</v>
      </c>
      <c r="B31" s="103" t="s">
        <v>300</v>
      </c>
      <c r="C31" s="103" t="s">
        <v>170</v>
      </c>
      <c r="D31" s="103" t="s">
        <v>442</v>
      </c>
      <c r="E31" s="328">
        <f>d3М!E28-d3П!E28</f>
        <v>0</v>
      </c>
      <c r="F31" s="328">
        <f>d3М!F28-d3П!F28</f>
        <v>0</v>
      </c>
      <c r="G31" s="328">
        <f>d3М!G28-d3П!G28</f>
        <v>0</v>
      </c>
      <c r="H31" s="328">
        <f>d3М!H28-d3П!H28</f>
        <v>0</v>
      </c>
      <c r="I31" s="328">
        <f>d3М!I28-d3П!I28</f>
        <v>0</v>
      </c>
      <c r="J31" s="328">
        <f>d3М!J28-d3П!J28</f>
        <v>0</v>
      </c>
      <c r="K31" s="328">
        <f>d3М!K28-d3П!K28</f>
        <v>0</v>
      </c>
      <c r="L31" s="328">
        <f>d3М!L28-d3П!L28</f>
        <v>0</v>
      </c>
      <c r="M31" s="328">
        <f>d3М!M28-d3П!M28</f>
        <v>0</v>
      </c>
      <c r="N31" s="328">
        <f>d3М!N28-d3П!N28</f>
        <v>0</v>
      </c>
      <c r="O31" s="328">
        <f>d3М!O28-d3П!O28</f>
        <v>0</v>
      </c>
      <c r="P31" s="328">
        <f>d3М!P28-d3П!P28</f>
        <v>0</v>
      </c>
      <c r="Q31" s="133"/>
      <c r="R31" s="30"/>
    </row>
    <row r="32" spans="1:18" ht="47.25" thickTop="1" thickBot="1" x14ac:dyDescent="0.25">
      <c r="A32" s="329" t="s">
        <v>693</v>
      </c>
      <c r="B32" s="329" t="s">
        <v>694</v>
      </c>
      <c r="C32" s="329"/>
      <c r="D32" s="566" t="s">
        <v>692</v>
      </c>
      <c r="E32" s="328">
        <f>d3М!E29-d3П!E29</f>
        <v>0</v>
      </c>
      <c r="F32" s="328">
        <f>d3М!F29-d3П!F29</f>
        <v>0</v>
      </c>
      <c r="G32" s="328">
        <f>d3М!G29-d3П!G29</f>
        <v>0</v>
      </c>
      <c r="H32" s="328">
        <f>d3М!H29-d3П!H29</f>
        <v>0</v>
      </c>
      <c r="I32" s="328">
        <f>d3М!I29-d3П!I29</f>
        <v>0</v>
      </c>
      <c r="J32" s="328">
        <f>d3М!J29-d3П!J29</f>
        <v>0</v>
      </c>
      <c r="K32" s="328">
        <f>d3М!K29-d3П!K29</f>
        <v>0</v>
      </c>
      <c r="L32" s="328">
        <f>d3М!L29-d3П!L29</f>
        <v>0</v>
      </c>
      <c r="M32" s="328">
        <f>d3М!M29-d3П!M29</f>
        <v>0</v>
      </c>
      <c r="N32" s="328">
        <f>d3М!N29-d3П!N29</f>
        <v>0</v>
      </c>
      <c r="O32" s="328">
        <f>d3М!O29-d3П!O29</f>
        <v>0</v>
      </c>
      <c r="P32" s="328">
        <f>d3М!P29-d3П!P29</f>
        <v>0</v>
      </c>
      <c r="Q32" s="139"/>
      <c r="R32" s="35"/>
    </row>
    <row r="33" spans="1:18" s="33" customFormat="1" ht="156.75" customHeight="1" thickTop="1" thickBot="1" x14ac:dyDescent="0.7">
      <c r="A33" s="796" t="s">
        <v>339</v>
      </c>
      <c r="B33" s="796" t="s">
        <v>338</v>
      </c>
      <c r="C33" s="796" t="s">
        <v>170</v>
      </c>
      <c r="D33" s="567" t="s">
        <v>440</v>
      </c>
      <c r="E33" s="827">
        <f>d3М!E30-d3П!E30</f>
        <v>0</v>
      </c>
      <c r="F33" s="827">
        <f>d3М!F30-d3П!F30</f>
        <v>0</v>
      </c>
      <c r="G33" s="827">
        <f>d3М!G30-d3П!G30</f>
        <v>0</v>
      </c>
      <c r="H33" s="827">
        <f>d3М!H30-d3П!H30</f>
        <v>0</v>
      </c>
      <c r="I33" s="827">
        <f>d3М!I30-d3П!I30</f>
        <v>0</v>
      </c>
      <c r="J33" s="827">
        <f>d3М!J30-d3П!J30</f>
        <v>0</v>
      </c>
      <c r="K33" s="827">
        <f>d3М!K30-d3П!K30</f>
        <v>0</v>
      </c>
      <c r="L33" s="827">
        <f>d3М!L30-d3П!L30</f>
        <v>0</v>
      </c>
      <c r="M33" s="827">
        <f>d3М!M30-d3П!M30</f>
        <v>0</v>
      </c>
      <c r="N33" s="827">
        <f>d3М!N30-d3П!N30</f>
        <v>0</v>
      </c>
      <c r="O33" s="827">
        <f>d3М!O30-d3П!O30</f>
        <v>0</v>
      </c>
      <c r="P33" s="827">
        <f>d3М!P30-d3П!P30</f>
        <v>0</v>
      </c>
      <c r="Q33" s="142"/>
      <c r="R33" s="36"/>
    </row>
    <row r="34" spans="1:18" s="33" customFormat="1" ht="120.75" customHeight="1" thickTop="1" thickBot="1" x14ac:dyDescent="0.25">
      <c r="A34" s="804"/>
      <c r="B34" s="803"/>
      <c r="C34" s="804"/>
      <c r="D34" s="568" t="s">
        <v>441</v>
      </c>
      <c r="E34" s="828"/>
      <c r="F34" s="828">
        <f>d3М!F31-d3П!F31</f>
        <v>0</v>
      </c>
      <c r="G34" s="828">
        <f>d3М!G31-d3П!G31</f>
        <v>0</v>
      </c>
      <c r="H34" s="828">
        <f>d3М!H31-d3П!H31</f>
        <v>0</v>
      </c>
      <c r="I34" s="828">
        <f>d3М!I31-d3П!I31</f>
        <v>0</v>
      </c>
      <c r="J34" s="828">
        <f>d3М!J31-d3П!J31</f>
        <v>0</v>
      </c>
      <c r="K34" s="828">
        <f>d3М!K31-d3П!K31</f>
        <v>0</v>
      </c>
      <c r="L34" s="828">
        <f>d3М!L31-d3П!L31</f>
        <v>0</v>
      </c>
      <c r="M34" s="828">
        <f>d3М!M31-d3П!M31</f>
        <v>0</v>
      </c>
      <c r="N34" s="828">
        <f>d3М!N31-d3П!N31</f>
        <v>0</v>
      </c>
      <c r="O34" s="828">
        <f>d3М!O31-d3П!O31</f>
        <v>0</v>
      </c>
      <c r="P34" s="828">
        <f>d3М!P31-d3П!P31</f>
        <v>0</v>
      </c>
      <c r="Q34" s="36"/>
      <c r="R34" s="36"/>
    </row>
    <row r="35" spans="1:18" s="33" customFormat="1" ht="47.25" thickTop="1" thickBot="1" x14ac:dyDescent="0.25">
      <c r="A35" s="103" t="s">
        <v>914</v>
      </c>
      <c r="B35" s="103" t="s">
        <v>257</v>
      </c>
      <c r="C35" s="103" t="s">
        <v>170</v>
      </c>
      <c r="D35" s="103" t="s">
        <v>255</v>
      </c>
      <c r="E35" s="328">
        <f>d3М!E32-d3П!E32</f>
        <v>0</v>
      </c>
      <c r="F35" s="328">
        <f>d3М!F32-d3П!F32</f>
        <v>0</v>
      </c>
      <c r="G35" s="328">
        <f>d3М!G32-d3П!G32</f>
        <v>0</v>
      </c>
      <c r="H35" s="328">
        <f>d3М!H32-d3П!H32</f>
        <v>0</v>
      </c>
      <c r="I35" s="328">
        <f>d3М!I32-d3П!I32</f>
        <v>0</v>
      </c>
      <c r="J35" s="328">
        <f>d3М!J32-d3П!J32</f>
        <v>0</v>
      </c>
      <c r="K35" s="328">
        <f>d3М!K32-d3П!K32</f>
        <v>0</v>
      </c>
      <c r="L35" s="328">
        <f>d3М!L32-d3П!L32</f>
        <v>0</v>
      </c>
      <c r="M35" s="328">
        <f>d3М!M32-d3П!M32</f>
        <v>0</v>
      </c>
      <c r="N35" s="328">
        <f>d3М!N32-d3П!N32</f>
        <v>0</v>
      </c>
      <c r="O35" s="328">
        <f>d3М!O32-d3П!O32</f>
        <v>0</v>
      </c>
      <c r="P35" s="328">
        <f>d3М!P32-d3П!P32</f>
        <v>0</v>
      </c>
      <c r="Q35" s="36"/>
      <c r="R35" s="36"/>
    </row>
    <row r="36" spans="1:18" s="33" customFormat="1" ht="46.5" customHeight="1" thickTop="1" thickBot="1" x14ac:dyDescent="0.25">
      <c r="A36" s="311" t="s">
        <v>695</v>
      </c>
      <c r="B36" s="311" t="s">
        <v>696</v>
      </c>
      <c r="C36" s="311"/>
      <c r="D36" s="311" t="s">
        <v>697</v>
      </c>
      <c r="E36" s="328">
        <f>d3М!E33-d3П!E33</f>
        <v>0</v>
      </c>
      <c r="F36" s="328">
        <f>d3М!F33-d3П!F33</f>
        <v>0</v>
      </c>
      <c r="G36" s="328">
        <f>d3М!G33-d3П!G33</f>
        <v>0</v>
      </c>
      <c r="H36" s="328">
        <f>d3М!H33-d3П!H33</f>
        <v>0</v>
      </c>
      <c r="I36" s="328">
        <f>d3М!I33-d3П!I33</f>
        <v>0</v>
      </c>
      <c r="J36" s="328">
        <f>d3М!J33-d3П!J33</f>
        <v>0</v>
      </c>
      <c r="K36" s="328">
        <f>d3М!K33-d3П!K33</f>
        <v>0</v>
      </c>
      <c r="L36" s="328">
        <f>d3М!L33-d3П!L33</f>
        <v>0</v>
      </c>
      <c r="M36" s="328">
        <f>d3М!M33-d3П!M33</f>
        <v>0</v>
      </c>
      <c r="N36" s="328">
        <f>d3М!N33-d3П!N33</f>
        <v>0</v>
      </c>
      <c r="O36" s="328">
        <f>d3М!O33-d3П!O33</f>
        <v>0</v>
      </c>
      <c r="P36" s="328">
        <f>d3М!P33-d3П!P33</f>
        <v>0</v>
      </c>
      <c r="Q36" s="36"/>
      <c r="R36" s="36"/>
    </row>
    <row r="37" spans="1:18" s="33" customFormat="1" ht="47.25" thickTop="1" thickBot="1" x14ac:dyDescent="0.25">
      <c r="A37" s="313" t="s">
        <v>1185</v>
      </c>
      <c r="B37" s="313" t="s">
        <v>1186</v>
      </c>
      <c r="C37" s="313"/>
      <c r="D37" s="313" t="s">
        <v>1184</v>
      </c>
      <c r="E37" s="328">
        <f>d3М!E34-d3П!E34</f>
        <v>0</v>
      </c>
      <c r="F37" s="328">
        <f>d3М!F34-d3П!F34</f>
        <v>0</v>
      </c>
      <c r="G37" s="328">
        <f>d3М!G34-d3П!G34</f>
        <v>0</v>
      </c>
      <c r="H37" s="328">
        <f>d3М!H34-d3П!H34</f>
        <v>0</v>
      </c>
      <c r="I37" s="328">
        <f>d3М!I34-d3П!I34</f>
        <v>0</v>
      </c>
      <c r="J37" s="328">
        <f>d3М!J34-d3П!J34</f>
        <v>0</v>
      </c>
      <c r="K37" s="328">
        <f>d3М!K34-d3П!K34</f>
        <v>0</v>
      </c>
      <c r="L37" s="328">
        <f>d3М!L34-d3П!L34</f>
        <v>0</v>
      </c>
      <c r="M37" s="328">
        <f>d3М!M34-d3П!M34</f>
        <v>0</v>
      </c>
      <c r="N37" s="328">
        <f>d3М!N34-d3П!N34</f>
        <v>0</v>
      </c>
      <c r="O37" s="328">
        <f>d3М!O34-d3П!O34</f>
        <v>0</v>
      </c>
      <c r="P37" s="328">
        <f>d3М!P34-d3П!P34</f>
        <v>0</v>
      </c>
      <c r="Q37" s="36"/>
      <c r="R37" s="36"/>
    </row>
    <row r="38" spans="1:18" s="33" customFormat="1" ht="47.25" thickTop="1" thickBot="1" x14ac:dyDescent="0.25">
      <c r="A38" s="103" t="s">
        <v>1212</v>
      </c>
      <c r="B38" s="103" t="s">
        <v>1213</v>
      </c>
      <c r="C38" s="103" t="s">
        <v>1188</v>
      </c>
      <c r="D38" s="103" t="s">
        <v>1214</v>
      </c>
      <c r="E38" s="328">
        <f>d3М!E35-d3П!E35</f>
        <v>0</v>
      </c>
      <c r="F38" s="328">
        <f>d3М!F35-d3П!F35</f>
        <v>0</v>
      </c>
      <c r="G38" s="328">
        <f>d3М!G35-d3П!G35</f>
        <v>0</v>
      </c>
      <c r="H38" s="328">
        <f>d3М!H35-d3П!H35</f>
        <v>0</v>
      </c>
      <c r="I38" s="328">
        <f>d3М!I35-d3П!I35</f>
        <v>0</v>
      </c>
      <c r="J38" s="328">
        <f>d3М!J35-d3П!J35</f>
        <v>0</v>
      </c>
      <c r="K38" s="328">
        <f>d3М!K35-d3П!K35</f>
        <v>0</v>
      </c>
      <c r="L38" s="328">
        <f>d3М!L35-d3П!L35</f>
        <v>0</v>
      </c>
      <c r="M38" s="328">
        <f>d3М!M35-d3П!M35</f>
        <v>0</v>
      </c>
      <c r="N38" s="328">
        <f>d3М!N35-d3П!N35</f>
        <v>0</v>
      </c>
      <c r="O38" s="328">
        <f>d3М!O35-d3П!O35</f>
        <v>0</v>
      </c>
      <c r="P38" s="328">
        <f>d3М!P35-d3П!P35</f>
        <v>0</v>
      </c>
      <c r="Q38" s="36"/>
      <c r="R38" s="36"/>
    </row>
    <row r="39" spans="1:18" s="33" customFormat="1" ht="47.25" thickTop="1" thickBot="1" x14ac:dyDescent="0.25">
      <c r="A39" s="103" t="s">
        <v>1189</v>
      </c>
      <c r="B39" s="103" t="s">
        <v>1190</v>
      </c>
      <c r="C39" s="103" t="s">
        <v>1188</v>
      </c>
      <c r="D39" s="103" t="s">
        <v>1187</v>
      </c>
      <c r="E39" s="328">
        <f>d3М!E36-d3П!E36</f>
        <v>0</v>
      </c>
      <c r="F39" s="328">
        <f>d3М!F36-d3П!F36</f>
        <v>0</v>
      </c>
      <c r="G39" s="328">
        <f>d3М!G36-d3П!G36</f>
        <v>0</v>
      </c>
      <c r="H39" s="328">
        <f>d3М!H36-d3П!H36</f>
        <v>0</v>
      </c>
      <c r="I39" s="328">
        <f>d3М!I36-d3П!I36</f>
        <v>0</v>
      </c>
      <c r="J39" s="328">
        <f>d3М!J36-d3П!J36</f>
        <v>0</v>
      </c>
      <c r="K39" s="328">
        <f>d3М!K36-d3П!K36</f>
        <v>0</v>
      </c>
      <c r="L39" s="328">
        <f>d3М!L36-d3П!L36</f>
        <v>0</v>
      </c>
      <c r="M39" s="328">
        <f>d3М!M36-d3П!M36</f>
        <v>0</v>
      </c>
      <c r="N39" s="328">
        <f>d3М!N36-d3П!N36</f>
        <v>0</v>
      </c>
      <c r="O39" s="328">
        <f>d3М!O36-d3П!O36</f>
        <v>0</v>
      </c>
      <c r="P39" s="328">
        <f>d3М!P36-d3П!P36</f>
        <v>0</v>
      </c>
      <c r="Q39" s="36"/>
      <c r="R39" s="36"/>
    </row>
    <row r="40" spans="1:18" s="33" customFormat="1" ht="47.25" thickTop="1" thickBot="1" x14ac:dyDescent="0.25">
      <c r="A40" s="313" t="s">
        <v>698</v>
      </c>
      <c r="B40" s="313" t="s">
        <v>699</v>
      </c>
      <c r="C40" s="313"/>
      <c r="D40" s="313" t="s">
        <v>700</v>
      </c>
      <c r="E40" s="328">
        <f>d3М!E37-d3П!E37</f>
        <v>0</v>
      </c>
      <c r="F40" s="328">
        <f>d3М!F37-d3П!F37</f>
        <v>0</v>
      </c>
      <c r="G40" s="328">
        <f>d3М!G37-d3П!G37</f>
        <v>0</v>
      </c>
      <c r="H40" s="328">
        <f>d3М!H37-d3П!H37</f>
        <v>0</v>
      </c>
      <c r="I40" s="328">
        <f>d3М!I37-d3П!I37</f>
        <v>0</v>
      </c>
      <c r="J40" s="328">
        <f>d3М!J37-d3П!J37</f>
        <v>0</v>
      </c>
      <c r="K40" s="328">
        <f>d3М!K37-d3П!K37</f>
        <v>0</v>
      </c>
      <c r="L40" s="328">
        <f>d3М!L37-d3П!L37</f>
        <v>0</v>
      </c>
      <c r="M40" s="328">
        <f>d3М!M37-d3П!M37</f>
        <v>0</v>
      </c>
      <c r="N40" s="328">
        <f>d3М!N37-d3П!N37</f>
        <v>0</v>
      </c>
      <c r="O40" s="328">
        <f>d3М!O37-d3П!O37</f>
        <v>0</v>
      </c>
      <c r="P40" s="328">
        <f>d3М!P37-d3П!P37</f>
        <v>0</v>
      </c>
      <c r="Q40" s="36"/>
    </row>
    <row r="41" spans="1:18" ht="47.25" thickTop="1" thickBot="1" x14ac:dyDescent="0.25">
      <c r="A41" s="103" t="s">
        <v>241</v>
      </c>
      <c r="B41" s="103" t="s">
        <v>242</v>
      </c>
      <c r="C41" s="103" t="s">
        <v>243</v>
      </c>
      <c r="D41" s="103" t="s">
        <v>244</v>
      </c>
      <c r="E41" s="328">
        <f>d3М!E38-d3П!E38</f>
        <v>0</v>
      </c>
      <c r="F41" s="328">
        <f>d3М!F38-d3П!F38</f>
        <v>0</v>
      </c>
      <c r="G41" s="328">
        <f>d3М!G38-d3П!G38</f>
        <v>0</v>
      </c>
      <c r="H41" s="328">
        <f>d3М!H38-d3П!H38</f>
        <v>0</v>
      </c>
      <c r="I41" s="328">
        <f>d3М!I38-d3П!I38</f>
        <v>0</v>
      </c>
      <c r="J41" s="328">
        <f>d3М!J38-d3П!J38</f>
        <v>0</v>
      </c>
      <c r="K41" s="328">
        <f>d3М!K38-d3П!K38</f>
        <v>0</v>
      </c>
      <c r="L41" s="328">
        <f>d3М!L38-d3П!L38</f>
        <v>0</v>
      </c>
      <c r="M41" s="328">
        <f>d3М!M38-d3П!M38</f>
        <v>0</v>
      </c>
      <c r="N41" s="328">
        <f>d3М!N38-d3П!N38</f>
        <v>0</v>
      </c>
      <c r="O41" s="328">
        <f>d3М!O38-d3П!O38</f>
        <v>0</v>
      </c>
      <c r="P41" s="328">
        <f>d3М!P38-d3П!P38</f>
        <v>0</v>
      </c>
      <c r="Q41" s="20"/>
    </row>
    <row r="42" spans="1:18" ht="47.25" thickTop="1" thickBot="1" x14ac:dyDescent="0.25">
      <c r="A42" s="311" t="s">
        <v>701</v>
      </c>
      <c r="B42" s="311" t="s">
        <v>702</v>
      </c>
      <c r="C42" s="311"/>
      <c r="D42" s="311" t="s">
        <v>703</v>
      </c>
      <c r="E42" s="328">
        <f>d3М!E39-d3П!E39</f>
        <v>0</v>
      </c>
      <c r="F42" s="328">
        <f>d3М!F39-d3П!F39</f>
        <v>0</v>
      </c>
      <c r="G42" s="328">
        <f>d3М!G39-d3П!G39</f>
        <v>0</v>
      </c>
      <c r="H42" s="328">
        <f>d3М!H39-d3П!H39</f>
        <v>0</v>
      </c>
      <c r="I42" s="328">
        <f>d3М!I39-d3П!I39</f>
        <v>0</v>
      </c>
      <c r="J42" s="328">
        <f>d3М!J39-d3П!J39</f>
        <v>0</v>
      </c>
      <c r="K42" s="328">
        <f>d3М!K39-d3П!K39</f>
        <v>0</v>
      </c>
      <c r="L42" s="328">
        <f>d3М!L39-d3П!L39</f>
        <v>0</v>
      </c>
      <c r="M42" s="328">
        <f>d3М!M39-d3П!M39</f>
        <v>0</v>
      </c>
      <c r="N42" s="328">
        <f>d3М!N39-d3П!N39</f>
        <v>0</v>
      </c>
      <c r="O42" s="328">
        <f>d3М!O39-d3П!O39</f>
        <v>0</v>
      </c>
      <c r="P42" s="328">
        <f>d3М!P39-d3П!P39</f>
        <v>0</v>
      </c>
      <c r="Q42" s="20"/>
    </row>
    <row r="43" spans="1:18" s="33" customFormat="1" ht="91.5" thickTop="1" thickBot="1" x14ac:dyDescent="0.25">
      <c r="A43" s="313" t="s">
        <v>704</v>
      </c>
      <c r="B43" s="313" t="s">
        <v>705</v>
      </c>
      <c r="C43" s="313"/>
      <c r="D43" s="313" t="s">
        <v>706</v>
      </c>
      <c r="E43" s="328">
        <f>d3М!E40-d3П!E40</f>
        <v>0</v>
      </c>
      <c r="F43" s="328">
        <f>d3М!F40-d3П!F40</f>
        <v>0</v>
      </c>
      <c r="G43" s="328">
        <f>d3М!G40-d3П!G40</f>
        <v>0</v>
      </c>
      <c r="H43" s="328">
        <f>d3М!H40-d3П!H40</f>
        <v>0</v>
      </c>
      <c r="I43" s="328">
        <f>d3М!I40-d3П!I40</f>
        <v>0</v>
      </c>
      <c r="J43" s="328">
        <f>d3М!J40-d3П!J40</f>
        <v>0</v>
      </c>
      <c r="K43" s="328">
        <f>d3М!K40-d3П!K40</f>
        <v>0</v>
      </c>
      <c r="L43" s="328">
        <f>d3М!L40-d3П!L40</f>
        <v>0</v>
      </c>
      <c r="M43" s="328">
        <f>d3М!M40-d3П!M40</f>
        <v>0</v>
      </c>
      <c r="N43" s="328">
        <f>d3М!N40-d3П!N40</f>
        <v>0</v>
      </c>
      <c r="O43" s="328">
        <f>d3М!O40-d3П!O40</f>
        <v>0</v>
      </c>
      <c r="P43" s="328">
        <f>d3М!P40-d3П!P40</f>
        <v>0</v>
      </c>
      <c r="Q43" s="36"/>
      <c r="R43" s="36"/>
    </row>
    <row r="44" spans="1:18" ht="93" thickTop="1" thickBot="1" x14ac:dyDescent="0.25">
      <c r="A44" s="103" t="s">
        <v>245</v>
      </c>
      <c r="B44" s="103" t="s">
        <v>246</v>
      </c>
      <c r="C44" s="103" t="s">
        <v>43</v>
      </c>
      <c r="D44" s="103" t="s">
        <v>443</v>
      </c>
      <c r="E44" s="328">
        <f>d3М!E41-d3П!E41</f>
        <v>0</v>
      </c>
      <c r="F44" s="328">
        <f>d3М!F41-d3П!F41</f>
        <v>0</v>
      </c>
      <c r="G44" s="328">
        <f>d3М!G41-d3П!G41</f>
        <v>0</v>
      </c>
      <c r="H44" s="328">
        <f>d3М!H41-d3П!H41</f>
        <v>0</v>
      </c>
      <c r="I44" s="328">
        <f>d3М!I41-d3П!I41</f>
        <v>0</v>
      </c>
      <c r="J44" s="328">
        <f>d3М!J41-d3П!J41</f>
        <v>0</v>
      </c>
      <c r="K44" s="328">
        <f>d3М!K41-d3П!K41</f>
        <v>0</v>
      </c>
      <c r="L44" s="328">
        <f>d3М!L41-d3П!L41</f>
        <v>0</v>
      </c>
      <c r="M44" s="328">
        <f>d3М!M41-d3П!M41</f>
        <v>0</v>
      </c>
      <c r="N44" s="328">
        <f>d3М!N41-d3П!N41</f>
        <v>0</v>
      </c>
      <c r="O44" s="328">
        <f>d3М!O41-d3П!O41</f>
        <v>0</v>
      </c>
      <c r="P44" s="328">
        <f>d3М!P41-d3П!P41</f>
        <v>0</v>
      </c>
      <c r="Q44" s="20"/>
    </row>
    <row r="45" spans="1:18" ht="47.25" thickTop="1" thickBot="1" x14ac:dyDescent="0.25">
      <c r="A45" s="103" t="s">
        <v>575</v>
      </c>
      <c r="B45" s="103" t="s">
        <v>363</v>
      </c>
      <c r="C45" s="103" t="s">
        <v>43</v>
      </c>
      <c r="D45" s="103" t="s">
        <v>364</v>
      </c>
      <c r="E45" s="328">
        <f>d3М!E42-d3П!E42</f>
        <v>0</v>
      </c>
      <c r="F45" s="328">
        <f>d3М!F42-d3П!F42</f>
        <v>0</v>
      </c>
      <c r="G45" s="328">
        <f>d3М!G42-d3П!G42</f>
        <v>0</v>
      </c>
      <c r="H45" s="328">
        <f>d3М!H42-d3П!H42</f>
        <v>0</v>
      </c>
      <c r="I45" s="328">
        <f>d3М!I42-d3П!I42</f>
        <v>0</v>
      </c>
      <c r="J45" s="328">
        <f>d3М!J42-d3П!J42</f>
        <v>0</v>
      </c>
      <c r="K45" s="328">
        <f>d3М!K42-d3П!K42</f>
        <v>0</v>
      </c>
      <c r="L45" s="328">
        <f>d3М!L42-d3П!L42</f>
        <v>0</v>
      </c>
      <c r="M45" s="328">
        <f>d3М!M42-d3П!M42</f>
        <v>0</v>
      </c>
      <c r="N45" s="328">
        <f>d3М!N42-d3П!N42</f>
        <v>0</v>
      </c>
      <c r="O45" s="328">
        <f>d3М!O42-d3П!O42</f>
        <v>0</v>
      </c>
      <c r="P45" s="328">
        <f>d3М!P42-d3П!P42</f>
        <v>0</v>
      </c>
      <c r="Q45" s="20"/>
    </row>
    <row r="46" spans="1:18" ht="91.5" thickTop="1" thickBot="1" x14ac:dyDescent="0.25">
      <c r="A46" s="313" t="s">
        <v>513</v>
      </c>
      <c r="B46" s="313" t="s">
        <v>514</v>
      </c>
      <c r="C46" s="313" t="s">
        <v>43</v>
      </c>
      <c r="D46" s="313" t="s">
        <v>515</v>
      </c>
      <c r="E46" s="328">
        <f>d3М!E43-d3П!E43</f>
        <v>0</v>
      </c>
      <c r="F46" s="328">
        <f>d3М!F43-d3П!F43</f>
        <v>0</v>
      </c>
      <c r="G46" s="328">
        <f>d3М!G43-d3П!G43</f>
        <v>0</v>
      </c>
      <c r="H46" s="328">
        <f>d3М!H43-d3П!H43</f>
        <v>0</v>
      </c>
      <c r="I46" s="328">
        <f>d3М!I43-d3П!I43</f>
        <v>0</v>
      </c>
      <c r="J46" s="328">
        <f>d3М!J43-d3П!J43</f>
        <v>0</v>
      </c>
      <c r="K46" s="328">
        <f>d3М!K43-d3П!K43</f>
        <v>0</v>
      </c>
      <c r="L46" s="328">
        <f>d3М!L43-d3П!L43</f>
        <v>0</v>
      </c>
      <c r="M46" s="328">
        <f>d3М!M43-d3П!M43</f>
        <v>0</v>
      </c>
      <c r="N46" s="328">
        <f>d3М!N43-d3П!N43</f>
        <v>0</v>
      </c>
      <c r="O46" s="328">
        <f>d3М!O43-d3П!O43</f>
        <v>0</v>
      </c>
      <c r="P46" s="328">
        <f>d3М!P43-d3П!P43</f>
        <v>0</v>
      </c>
      <c r="Q46" s="20"/>
      <c r="R46" s="26"/>
    </row>
    <row r="47" spans="1:18" ht="120" customHeight="1" thickTop="1" thickBot="1" x14ac:dyDescent="0.25">
      <c r="A47" s="661" t="s">
        <v>152</v>
      </c>
      <c r="B47" s="661"/>
      <c r="C47" s="661"/>
      <c r="D47" s="662" t="s">
        <v>0</v>
      </c>
      <c r="E47" s="663">
        <f>E48</f>
        <v>5494224.5100002289</v>
      </c>
      <c r="F47" s="664">
        <f t="shared" ref="F47" si="4">F48</f>
        <v>5494224.5100002289</v>
      </c>
      <c r="G47" s="664">
        <f>G48</f>
        <v>4393852</v>
      </c>
      <c r="H47" s="664">
        <f>H48</f>
        <v>133727.50999999046</v>
      </c>
      <c r="I47" s="664">
        <f t="shared" ref="I47" si="5">I48</f>
        <v>0</v>
      </c>
      <c r="J47" s="663">
        <f>J48</f>
        <v>7672111</v>
      </c>
      <c r="K47" s="664">
        <f>K48</f>
        <v>0</v>
      </c>
      <c r="L47" s="664">
        <f>L48</f>
        <v>0</v>
      </c>
      <c r="M47" s="664">
        <f t="shared" ref="M47" si="6">M48</f>
        <v>0</v>
      </c>
      <c r="N47" s="664">
        <f>N48</f>
        <v>0</v>
      </c>
      <c r="O47" s="663">
        <f>O48</f>
        <v>7672111</v>
      </c>
      <c r="P47" s="664">
        <f t="shared" ref="P47" si="7">P48</f>
        <v>13166335.510000229</v>
      </c>
      <c r="Q47" s="20"/>
    </row>
    <row r="48" spans="1:18" ht="120" customHeight="1" thickTop="1" thickBot="1" x14ac:dyDescent="0.25">
      <c r="A48" s="658" t="s">
        <v>153</v>
      </c>
      <c r="B48" s="658"/>
      <c r="C48" s="658"/>
      <c r="D48" s="659" t="s">
        <v>1</v>
      </c>
      <c r="E48" s="660">
        <f>E49+E92+E104+E95+E101</f>
        <v>5494224.5100002289</v>
      </c>
      <c r="F48" s="660">
        <f>F49+F92+F104+F95+F101</f>
        <v>5494224.5100002289</v>
      </c>
      <c r="G48" s="660">
        <f>G49+G92+G104+G95+G101</f>
        <v>4393852</v>
      </c>
      <c r="H48" s="660">
        <f>H49+H92+H104+H95+H101</f>
        <v>133727.50999999046</v>
      </c>
      <c r="I48" s="660">
        <f>I49+I92+I104+I95+I101</f>
        <v>0</v>
      </c>
      <c r="J48" s="660">
        <f>L48+O48</f>
        <v>7672111</v>
      </c>
      <c r="K48" s="660">
        <f>K49+K92+K104+K95+K101</f>
        <v>0</v>
      </c>
      <c r="L48" s="660">
        <f>L49+L92+L104+L95+L101</f>
        <v>0</v>
      </c>
      <c r="M48" s="660">
        <f>M49+M92+M104+M95+M101</f>
        <v>0</v>
      </c>
      <c r="N48" s="660">
        <f>N49+N92+N104+N95+N101</f>
        <v>0</v>
      </c>
      <c r="O48" s="660">
        <f>O49+O92+O104+O95+O101</f>
        <v>7672111</v>
      </c>
      <c r="P48" s="660">
        <f>E48+J48</f>
        <v>13166335.510000229</v>
      </c>
      <c r="Q48" s="565" t="b">
        <f>P48=P50+P52+P53+P54+P56+P57+P60+P62+P63+P65+P66+P68+P69+P70+P84+P93+P94+P98+P100+P59+P90+P91+P78+P79+P81+P82</f>
        <v>0</v>
      </c>
      <c r="R48" s="26"/>
    </row>
    <row r="49" spans="1:20" ht="47.25" thickTop="1" thickBot="1" x14ac:dyDescent="0.25">
      <c r="A49" s="311" t="s">
        <v>707</v>
      </c>
      <c r="B49" s="311" t="s">
        <v>708</v>
      </c>
      <c r="C49" s="311"/>
      <c r="D49" s="311" t="s">
        <v>709</v>
      </c>
      <c r="E49" s="328">
        <f>d3М!E46-d3П!E46</f>
        <v>5494224.5100002289</v>
      </c>
      <c r="F49" s="328">
        <f>d3М!F46-d3П!F46</f>
        <v>5494224.5100002289</v>
      </c>
      <c r="G49" s="328">
        <f>d3М!G46-d3П!G46</f>
        <v>4393852</v>
      </c>
      <c r="H49" s="328">
        <f>d3М!H46-d3П!H46</f>
        <v>133727.50999999046</v>
      </c>
      <c r="I49" s="328">
        <f>d3М!I46-d3П!I46</f>
        <v>0</v>
      </c>
      <c r="J49" s="328">
        <f>d3М!J46-d3П!J46</f>
        <v>7672111</v>
      </c>
      <c r="K49" s="328">
        <f>d3М!K46-d3П!K46</f>
        <v>0</v>
      </c>
      <c r="L49" s="328">
        <f>d3М!L46-d3П!L46</f>
        <v>0</v>
      </c>
      <c r="M49" s="328">
        <f>d3М!M46-d3П!M46</f>
        <v>0</v>
      </c>
      <c r="N49" s="328">
        <f>d3М!N46-d3П!N46</f>
        <v>0</v>
      </c>
      <c r="O49" s="328">
        <f>d3М!O46-d3П!O46</f>
        <v>7672111</v>
      </c>
      <c r="P49" s="328">
        <f>d3М!P46-d3П!P46</f>
        <v>13166335.510000229</v>
      </c>
      <c r="Q49" s="30"/>
      <c r="R49" s="26"/>
    </row>
    <row r="50" spans="1:20" ht="47.25" thickTop="1" thickBot="1" x14ac:dyDescent="0.6">
      <c r="A50" s="103" t="s">
        <v>198</v>
      </c>
      <c r="B50" s="103" t="s">
        <v>199</v>
      </c>
      <c r="C50" s="103" t="s">
        <v>201</v>
      </c>
      <c r="D50" s="103" t="s">
        <v>202</v>
      </c>
      <c r="E50" s="328">
        <f>d3М!E47-d3П!E47</f>
        <v>0</v>
      </c>
      <c r="F50" s="328">
        <f>d3М!F47-d3П!F47</f>
        <v>0</v>
      </c>
      <c r="G50" s="328">
        <f>d3М!G47-d3П!G47</f>
        <v>0</v>
      </c>
      <c r="H50" s="328">
        <f>d3М!H47-d3П!H47</f>
        <v>0</v>
      </c>
      <c r="I50" s="328">
        <f>d3М!I47-d3П!I47</f>
        <v>0</v>
      </c>
      <c r="J50" s="328">
        <f>d3М!J47-d3П!J47</f>
        <v>0</v>
      </c>
      <c r="K50" s="328">
        <f>d3М!K47-d3П!K47</f>
        <v>0</v>
      </c>
      <c r="L50" s="328">
        <f>d3М!L47-d3П!L47</f>
        <v>0</v>
      </c>
      <c r="M50" s="328">
        <f>d3М!M47-d3П!M47</f>
        <v>0</v>
      </c>
      <c r="N50" s="328">
        <f>d3М!N47-d3П!N47</f>
        <v>0</v>
      </c>
      <c r="O50" s="328">
        <f>d3М!O47-d3П!O47</f>
        <v>0</v>
      </c>
      <c r="P50" s="328">
        <f>d3М!P47-d3П!P47</f>
        <v>0</v>
      </c>
      <c r="Q50" s="143"/>
      <c r="R50" s="26"/>
    </row>
    <row r="51" spans="1:20" ht="47.25" thickTop="1" thickBot="1" x14ac:dyDescent="0.6">
      <c r="A51" s="329" t="s">
        <v>203</v>
      </c>
      <c r="B51" s="329" t="s">
        <v>200</v>
      </c>
      <c r="C51" s="329"/>
      <c r="D51" s="329" t="s">
        <v>643</v>
      </c>
      <c r="E51" s="328">
        <f>d3М!E48-d3П!E48</f>
        <v>0</v>
      </c>
      <c r="F51" s="328">
        <f>d3М!F48-d3П!F48</f>
        <v>0</v>
      </c>
      <c r="G51" s="328">
        <f>d3М!G48-d3П!G48</f>
        <v>0</v>
      </c>
      <c r="H51" s="328">
        <f>d3М!H48-d3П!H48</f>
        <v>0</v>
      </c>
      <c r="I51" s="328">
        <f>d3М!I48-d3П!I48</f>
        <v>0</v>
      </c>
      <c r="J51" s="328">
        <f>d3М!J48-d3П!J48</f>
        <v>0</v>
      </c>
      <c r="K51" s="328">
        <f>d3М!K48-d3П!K48</f>
        <v>0</v>
      </c>
      <c r="L51" s="328">
        <f>d3М!L48-d3П!L48</f>
        <v>0</v>
      </c>
      <c r="M51" s="328">
        <f>d3М!M48-d3П!M48</f>
        <v>0</v>
      </c>
      <c r="N51" s="328">
        <f>d3М!N48-d3П!N48</f>
        <v>0</v>
      </c>
      <c r="O51" s="328">
        <f>d3М!O48-d3П!O48</f>
        <v>0</v>
      </c>
      <c r="P51" s="328">
        <f>d3М!P48-d3П!P48</f>
        <v>0</v>
      </c>
      <c r="Q51" s="143"/>
      <c r="R51" s="37"/>
    </row>
    <row r="52" spans="1:20" ht="93" thickTop="1" thickBot="1" x14ac:dyDescent="0.6">
      <c r="A52" s="103" t="s">
        <v>641</v>
      </c>
      <c r="B52" s="103" t="s">
        <v>642</v>
      </c>
      <c r="C52" s="103" t="s">
        <v>204</v>
      </c>
      <c r="D52" s="103" t="s">
        <v>1276</v>
      </c>
      <c r="E52" s="328">
        <f>d3М!E49-d3П!E49</f>
        <v>0</v>
      </c>
      <c r="F52" s="328">
        <f>d3М!F49-d3П!F49</f>
        <v>0</v>
      </c>
      <c r="G52" s="328">
        <f>d3М!G49-d3П!G49</f>
        <v>0</v>
      </c>
      <c r="H52" s="328">
        <f>d3М!H49-d3П!H49</f>
        <v>0</v>
      </c>
      <c r="I52" s="328">
        <f>d3М!I49-d3П!I49</f>
        <v>0</v>
      </c>
      <c r="J52" s="328">
        <f>d3М!J49-d3П!J49</f>
        <v>0</v>
      </c>
      <c r="K52" s="328">
        <f>d3М!K49-d3П!K49</f>
        <v>0</v>
      </c>
      <c r="L52" s="328">
        <f>d3М!L49-d3П!L49</f>
        <v>0</v>
      </c>
      <c r="M52" s="328">
        <f>d3М!M49-d3П!M49</f>
        <v>0</v>
      </c>
      <c r="N52" s="328">
        <f>d3М!N49-d3П!N49</f>
        <v>0</v>
      </c>
      <c r="O52" s="328">
        <f>d3М!O49-d3П!O49</f>
        <v>0</v>
      </c>
      <c r="P52" s="328">
        <f>d3М!P49-d3П!P49</f>
        <v>0</v>
      </c>
      <c r="Q52" s="143"/>
      <c r="R52" s="26"/>
      <c r="T52" s="38"/>
    </row>
    <row r="53" spans="1:20" ht="138.75" thickTop="1" thickBot="1" x14ac:dyDescent="0.25">
      <c r="A53" s="103" t="s">
        <v>650</v>
      </c>
      <c r="B53" s="103" t="s">
        <v>651</v>
      </c>
      <c r="C53" s="103" t="s">
        <v>207</v>
      </c>
      <c r="D53" s="103" t="s">
        <v>1277</v>
      </c>
      <c r="E53" s="328">
        <f>d3М!E50-d3П!E50</f>
        <v>0</v>
      </c>
      <c r="F53" s="328">
        <f>d3М!F50-d3П!F50</f>
        <v>0</v>
      </c>
      <c r="G53" s="328">
        <f>d3М!G50-d3П!G50</f>
        <v>0</v>
      </c>
      <c r="H53" s="328">
        <f>d3М!H50-d3П!H50</f>
        <v>0</v>
      </c>
      <c r="I53" s="328">
        <f>d3М!I50-d3П!I50</f>
        <v>0</v>
      </c>
      <c r="J53" s="328">
        <f>d3М!J50-d3П!J50</f>
        <v>0</v>
      </c>
      <c r="K53" s="328">
        <f>d3М!K50-d3П!K50</f>
        <v>0</v>
      </c>
      <c r="L53" s="328">
        <f>d3М!L50-d3П!L50</f>
        <v>0</v>
      </c>
      <c r="M53" s="328">
        <f>d3М!M50-d3П!M50</f>
        <v>0</v>
      </c>
      <c r="N53" s="328">
        <f>d3М!N50-d3П!N50</f>
        <v>0</v>
      </c>
      <c r="O53" s="328">
        <f>d3М!O50-d3П!O50</f>
        <v>0</v>
      </c>
      <c r="P53" s="328">
        <f>d3М!P50-d3П!P50</f>
        <v>0</v>
      </c>
      <c r="Q53" s="20"/>
      <c r="R53" s="27"/>
    </row>
    <row r="54" spans="1:20" ht="93" thickTop="1" thickBot="1" x14ac:dyDescent="0.25">
      <c r="A54" s="103" t="s">
        <v>996</v>
      </c>
      <c r="B54" s="103" t="s">
        <v>997</v>
      </c>
      <c r="C54" s="103" t="s">
        <v>207</v>
      </c>
      <c r="D54" s="103" t="s">
        <v>1278</v>
      </c>
      <c r="E54" s="328">
        <f>d3М!E51-d3П!E51</f>
        <v>0</v>
      </c>
      <c r="F54" s="328">
        <f>d3М!F51-d3П!F51</f>
        <v>0</v>
      </c>
      <c r="G54" s="328">
        <f>d3М!G51-d3П!G51</f>
        <v>0</v>
      </c>
      <c r="H54" s="328">
        <f>d3М!H51-d3П!H51</f>
        <v>0</v>
      </c>
      <c r="I54" s="328">
        <f>d3М!I51-d3П!I51</f>
        <v>0</v>
      </c>
      <c r="J54" s="328">
        <f>d3М!J51-d3П!J51</f>
        <v>0</v>
      </c>
      <c r="K54" s="328">
        <f>d3М!K51-d3П!K51</f>
        <v>0</v>
      </c>
      <c r="L54" s="328">
        <f>d3М!L51-d3П!L51</f>
        <v>0</v>
      </c>
      <c r="M54" s="328">
        <f>d3М!M51-d3П!M51</f>
        <v>0</v>
      </c>
      <c r="N54" s="328">
        <f>d3М!N51-d3П!N51</f>
        <v>0</v>
      </c>
      <c r="O54" s="328">
        <f>d3М!O51-d3П!O51</f>
        <v>0</v>
      </c>
      <c r="P54" s="328">
        <f>d3М!P51-d3П!P51</f>
        <v>0</v>
      </c>
      <c r="Q54" s="20"/>
      <c r="R54" s="27"/>
    </row>
    <row r="55" spans="1:20" ht="47.25" thickTop="1" thickBot="1" x14ac:dyDescent="0.25">
      <c r="A55" s="329" t="s">
        <v>498</v>
      </c>
      <c r="B55" s="329" t="s">
        <v>205</v>
      </c>
      <c r="C55" s="329"/>
      <c r="D55" s="329" t="s">
        <v>658</v>
      </c>
      <c r="E55" s="328">
        <f>d3М!E52-d3П!E52</f>
        <v>1158900</v>
      </c>
      <c r="F55" s="328">
        <f>d3М!F52-d3П!F52</f>
        <v>1158900</v>
      </c>
      <c r="G55" s="328">
        <f>d3М!G52-d3П!G52</f>
        <v>949920</v>
      </c>
      <c r="H55" s="328">
        <f>d3М!H52-d3П!H52</f>
        <v>0</v>
      </c>
      <c r="I55" s="328">
        <f>d3М!I52-d3П!I52</f>
        <v>0</v>
      </c>
      <c r="J55" s="328">
        <f>d3М!J52-d3П!J52</f>
        <v>0</v>
      </c>
      <c r="K55" s="328">
        <f>d3М!K52-d3П!K52</f>
        <v>0</v>
      </c>
      <c r="L55" s="328">
        <f>d3М!L52-d3П!L52</f>
        <v>0</v>
      </c>
      <c r="M55" s="328">
        <f>d3М!M52-d3П!M52</f>
        <v>0</v>
      </c>
      <c r="N55" s="328">
        <f>d3М!N52-d3П!N52</f>
        <v>0</v>
      </c>
      <c r="O55" s="328">
        <f>d3М!O52-d3П!O52</f>
        <v>0</v>
      </c>
      <c r="P55" s="328">
        <f>d3М!P52-d3П!P52</f>
        <v>1158900</v>
      </c>
      <c r="Q55" s="20"/>
      <c r="R55" s="35"/>
    </row>
    <row r="56" spans="1:20" ht="93" thickTop="1" thickBot="1" x14ac:dyDescent="0.25">
      <c r="A56" s="103" t="s">
        <v>659</v>
      </c>
      <c r="B56" s="103" t="s">
        <v>660</v>
      </c>
      <c r="C56" s="103" t="s">
        <v>204</v>
      </c>
      <c r="D56" s="103" t="s">
        <v>1279</v>
      </c>
      <c r="E56" s="328">
        <f>d3М!E53-d3П!E53</f>
        <v>1158900</v>
      </c>
      <c r="F56" s="328">
        <f>d3М!F53-d3П!F53</f>
        <v>1158900</v>
      </c>
      <c r="G56" s="328">
        <f>d3М!G53-d3П!G53</f>
        <v>949920</v>
      </c>
      <c r="H56" s="328">
        <f>d3М!H53-d3П!H53</f>
        <v>0</v>
      </c>
      <c r="I56" s="328">
        <f>d3М!I53-d3П!I53</f>
        <v>0</v>
      </c>
      <c r="J56" s="328">
        <f>d3М!J53-d3П!J53</f>
        <v>0</v>
      </c>
      <c r="K56" s="328">
        <f>d3М!K53-d3П!K53</f>
        <v>0</v>
      </c>
      <c r="L56" s="328">
        <f>d3М!L53-d3П!L53</f>
        <v>0</v>
      </c>
      <c r="M56" s="328">
        <f>d3М!M53-d3П!M53</f>
        <v>0</v>
      </c>
      <c r="N56" s="328">
        <f>d3М!N53-d3П!N53</f>
        <v>0</v>
      </c>
      <c r="O56" s="328">
        <f>d3М!O53-d3П!O53</f>
        <v>0</v>
      </c>
      <c r="P56" s="328">
        <f>d3М!P53-d3П!P53</f>
        <v>1158900</v>
      </c>
      <c r="Q56" s="20"/>
      <c r="R56" s="30"/>
    </row>
    <row r="57" spans="1:20" ht="93" thickTop="1" thickBot="1" x14ac:dyDescent="0.25">
      <c r="A57" s="103" t="s">
        <v>1130</v>
      </c>
      <c r="B57" s="343" t="s">
        <v>1131</v>
      </c>
      <c r="C57" s="103" t="s">
        <v>207</v>
      </c>
      <c r="D57" s="103" t="s">
        <v>1280</v>
      </c>
      <c r="E57" s="328">
        <f>d3М!E54-d3П!E54</f>
        <v>0</v>
      </c>
      <c r="F57" s="328">
        <f>d3М!F54-d3П!F54</f>
        <v>0</v>
      </c>
      <c r="G57" s="328">
        <f>d3М!G54-d3П!G54</f>
        <v>0</v>
      </c>
      <c r="H57" s="328">
        <f>d3М!H54-d3П!H54</f>
        <v>0</v>
      </c>
      <c r="I57" s="328">
        <f>d3М!I54-d3П!I54</f>
        <v>0</v>
      </c>
      <c r="J57" s="328">
        <f>d3М!J54-d3П!J54</f>
        <v>0</v>
      </c>
      <c r="K57" s="328">
        <f>d3М!K54-d3П!K54</f>
        <v>0</v>
      </c>
      <c r="L57" s="328">
        <f>d3М!L54-d3П!L54</f>
        <v>0</v>
      </c>
      <c r="M57" s="328">
        <f>d3М!M54-d3П!M54</f>
        <v>0</v>
      </c>
      <c r="N57" s="328">
        <f>d3М!N54-d3П!N54</f>
        <v>0</v>
      </c>
      <c r="O57" s="328">
        <f>d3М!O54-d3П!O54</f>
        <v>0</v>
      </c>
      <c r="P57" s="328">
        <f>d3М!P54-d3П!P54</f>
        <v>0</v>
      </c>
      <c r="Q57" s="20"/>
      <c r="R57" s="30"/>
    </row>
    <row r="58" spans="1:20" ht="230.25" thickTop="1" thickBot="1" x14ac:dyDescent="0.25">
      <c r="A58" s="566" t="s">
        <v>930</v>
      </c>
      <c r="B58" s="566" t="s">
        <v>50</v>
      </c>
      <c r="C58" s="566"/>
      <c r="D58" s="656" t="s">
        <v>1565</v>
      </c>
      <c r="E58" s="328">
        <f>d3М!E55-d3П!E55</f>
        <v>0</v>
      </c>
      <c r="F58" s="328">
        <f>d3М!F55-d3П!F55</f>
        <v>0</v>
      </c>
      <c r="G58" s="328">
        <f>d3М!G55-d3П!G55</f>
        <v>0</v>
      </c>
      <c r="H58" s="328">
        <f>d3М!H55-d3П!H55</f>
        <v>0</v>
      </c>
      <c r="I58" s="328">
        <f>d3М!I55-d3П!I55</f>
        <v>0</v>
      </c>
      <c r="J58" s="328">
        <f>d3М!J55-d3П!J55</f>
        <v>0</v>
      </c>
      <c r="K58" s="328">
        <f>d3М!K55-d3П!K55</f>
        <v>0</v>
      </c>
      <c r="L58" s="328">
        <f>d3М!L55-d3П!L55</f>
        <v>0</v>
      </c>
      <c r="M58" s="328">
        <f>d3М!M55-d3П!M55</f>
        <v>0</v>
      </c>
      <c r="N58" s="328">
        <f>d3М!N55-d3П!N55</f>
        <v>0</v>
      </c>
      <c r="O58" s="328">
        <f>d3М!O55-d3П!O55</f>
        <v>0</v>
      </c>
      <c r="P58" s="328">
        <f>d3М!P55-d3П!P55</f>
        <v>0</v>
      </c>
      <c r="Q58" s="20"/>
      <c r="R58" s="30"/>
    </row>
    <row r="59" spans="1:20" ht="310.5" customHeight="1" thickTop="1" thickBot="1" x14ac:dyDescent="0.25">
      <c r="A59" s="103" t="s">
        <v>931</v>
      </c>
      <c r="B59" s="103" t="s">
        <v>932</v>
      </c>
      <c r="C59" s="103" t="s">
        <v>204</v>
      </c>
      <c r="D59" s="103" t="s">
        <v>1566</v>
      </c>
      <c r="E59" s="328">
        <f>d3М!E56-d3П!E56</f>
        <v>0</v>
      </c>
      <c r="F59" s="328">
        <f>d3М!F56-d3П!F56</f>
        <v>0</v>
      </c>
      <c r="G59" s="328">
        <f>d3М!G56-d3П!G56</f>
        <v>0</v>
      </c>
      <c r="H59" s="328">
        <f>d3М!H56-d3П!H56</f>
        <v>0</v>
      </c>
      <c r="I59" s="328">
        <f>d3М!I56-d3П!I56</f>
        <v>0</v>
      </c>
      <c r="J59" s="328">
        <f>d3М!J56-d3П!J56</f>
        <v>0</v>
      </c>
      <c r="K59" s="328">
        <f>d3М!K56-d3П!K56</f>
        <v>0</v>
      </c>
      <c r="L59" s="328">
        <f>d3М!L56-d3П!L56</f>
        <v>0</v>
      </c>
      <c r="M59" s="328">
        <f>d3М!M56-d3П!M56</f>
        <v>0</v>
      </c>
      <c r="N59" s="328">
        <f>d3М!N56-d3П!N56</f>
        <v>0</v>
      </c>
      <c r="O59" s="328">
        <f>d3М!O56-d3П!O56</f>
        <v>0</v>
      </c>
      <c r="P59" s="328">
        <f>d3М!P56-d3П!P56</f>
        <v>0</v>
      </c>
      <c r="Q59" s="20"/>
      <c r="R59" s="26"/>
    </row>
    <row r="60" spans="1:20" ht="93" thickTop="1" thickBot="1" x14ac:dyDescent="0.25">
      <c r="A60" s="103" t="s">
        <v>661</v>
      </c>
      <c r="B60" s="103" t="s">
        <v>206</v>
      </c>
      <c r="C60" s="103" t="s">
        <v>181</v>
      </c>
      <c r="D60" s="103" t="s">
        <v>499</v>
      </c>
      <c r="E60" s="328">
        <f>d3М!E57-d3П!E57</f>
        <v>0</v>
      </c>
      <c r="F60" s="328">
        <f>d3М!F57-d3П!F57</f>
        <v>0</v>
      </c>
      <c r="G60" s="328">
        <f>d3М!G57-d3П!G57</f>
        <v>0</v>
      </c>
      <c r="H60" s="328">
        <f>d3М!H57-d3П!H57</f>
        <v>0</v>
      </c>
      <c r="I60" s="328">
        <f>d3М!I57-d3П!I57</f>
        <v>0</v>
      </c>
      <c r="J60" s="328">
        <f>d3М!J57-d3П!J57</f>
        <v>0</v>
      </c>
      <c r="K60" s="328">
        <f>d3М!K57-d3П!K57</f>
        <v>0</v>
      </c>
      <c r="L60" s="328">
        <f>d3М!L57-d3П!L57</f>
        <v>0</v>
      </c>
      <c r="M60" s="328">
        <f>d3М!M57-d3П!M57</f>
        <v>0</v>
      </c>
      <c r="N60" s="328">
        <f>d3М!N57-d3П!N57</f>
        <v>0</v>
      </c>
      <c r="O60" s="328">
        <f>d3М!O57-d3П!O57</f>
        <v>0</v>
      </c>
      <c r="P60" s="328">
        <f>d3М!P57-d3П!P57</f>
        <v>0</v>
      </c>
      <c r="Q60" s="20"/>
      <c r="R60" s="26"/>
    </row>
    <row r="61" spans="1:20" ht="93" thickTop="1" thickBot="1" x14ac:dyDescent="0.25">
      <c r="A61" s="329" t="s">
        <v>208</v>
      </c>
      <c r="B61" s="329" t="s">
        <v>191</v>
      </c>
      <c r="C61" s="329"/>
      <c r="D61" s="329" t="s">
        <v>500</v>
      </c>
      <c r="E61" s="328">
        <f>d3М!E58-d3П!E58</f>
        <v>133727.50999999046</v>
      </c>
      <c r="F61" s="328">
        <f>d3М!F58-d3П!F58</f>
        <v>133727.50999999046</v>
      </c>
      <c r="G61" s="328">
        <f>d3М!G58-d3П!G58</f>
        <v>0</v>
      </c>
      <c r="H61" s="328">
        <f>d3М!H58-d3П!H58</f>
        <v>133727.51000000164</v>
      </c>
      <c r="I61" s="328">
        <f>d3М!I58-d3П!I58</f>
        <v>0</v>
      </c>
      <c r="J61" s="328">
        <f>d3М!J58-d3П!J58</f>
        <v>0</v>
      </c>
      <c r="K61" s="328">
        <f>d3М!K58-d3П!K58</f>
        <v>0</v>
      </c>
      <c r="L61" s="328">
        <f>d3М!L58-d3П!L58</f>
        <v>0</v>
      </c>
      <c r="M61" s="328">
        <f>d3М!M58-d3П!M58</f>
        <v>0</v>
      </c>
      <c r="N61" s="328">
        <f>d3М!N58-d3П!N58</f>
        <v>0</v>
      </c>
      <c r="O61" s="328">
        <f>d3М!O58-d3П!O58</f>
        <v>0</v>
      </c>
      <c r="P61" s="328">
        <f>d3М!P58-d3П!P58</f>
        <v>133727.50999999046</v>
      </c>
      <c r="Q61" s="20"/>
      <c r="R61" s="35"/>
    </row>
    <row r="62" spans="1:20" ht="93" thickTop="1" thickBot="1" x14ac:dyDescent="0.25">
      <c r="A62" s="103" t="s">
        <v>662</v>
      </c>
      <c r="B62" s="103" t="s">
        <v>663</v>
      </c>
      <c r="C62" s="103" t="s">
        <v>209</v>
      </c>
      <c r="D62" s="103" t="s">
        <v>664</v>
      </c>
      <c r="E62" s="328">
        <f>d3М!E59-d3П!E59</f>
        <v>133727.50999999046</v>
      </c>
      <c r="F62" s="328">
        <f>d3М!F59-d3П!F59</f>
        <v>133727.50999999046</v>
      </c>
      <c r="G62" s="328">
        <f>d3М!G59-d3П!G59</f>
        <v>0</v>
      </c>
      <c r="H62" s="328">
        <f>d3М!H59-d3П!H59</f>
        <v>133727.51000000164</v>
      </c>
      <c r="I62" s="328">
        <f>d3М!I59-d3П!I59</f>
        <v>0</v>
      </c>
      <c r="J62" s="328">
        <f>d3М!J59-d3П!J59</f>
        <v>0</v>
      </c>
      <c r="K62" s="328">
        <f>d3М!K59-d3П!K59</f>
        <v>0</v>
      </c>
      <c r="L62" s="328">
        <f>d3М!L59-d3П!L59</f>
        <v>0</v>
      </c>
      <c r="M62" s="328">
        <f>d3М!M59-d3П!M59</f>
        <v>0</v>
      </c>
      <c r="N62" s="328">
        <f>d3М!N59-d3П!N59</f>
        <v>0</v>
      </c>
      <c r="O62" s="328">
        <f>d3М!O59-d3П!O59</f>
        <v>0</v>
      </c>
      <c r="P62" s="328">
        <f>d3М!P59-d3П!P59</f>
        <v>133727.50999999046</v>
      </c>
      <c r="Q62" s="20"/>
      <c r="R62" s="26"/>
    </row>
    <row r="63" spans="1:20" ht="93" thickTop="1" thickBot="1" x14ac:dyDescent="0.25">
      <c r="A63" s="103" t="s">
        <v>666</v>
      </c>
      <c r="B63" s="103" t="s">
        <v>665</v>
      </c>
      <c r="C63" s="103" t="s">
        <v>209</v>
      </c>
      <c r="D63" s="103" t="s">
        <v>667</v>
      </c>
      <c r="E63" s="328">
        <f>d3М!E60-d3П!E60</f>
        <v>0</v>
      </c>
      <c r="F63" s="328">
        <f>d3М!F60-d3П!F60</f>
        <v>0</v>
      </c>
      <c r="G63" s="328">
        <f>d3М!G60-d3П!G60</f>
        <v>0</v>
      </c>
      <c r="H63" s="328">
        <f>d3М!H60-d3П!H60</f>
        <v>0</v>
      </c>
      <c r="I63" s="328">
        <f>d3М!I60-d3П!I60</f>
        <v>0</v>
      </c>
      <c r="J63" s="328">
        <f>d3М!J60-d3П!J60</f>
        <v>0</v>
      </c>
      <c r="K63" s="328">
        <f>d3М!K60-d3П!K60</f>
        <v>0</v>
      </c>
      <c r="L63" s="328">
        <f>d3М!L60-d3П!L60</f>
        <v>0</v>
      </c>
      <c r="M63" s="328">
        <f>d3М!M60-d3П!M60</f>
        <v>0</v>
      </c>
      <c r="N63" s="328">
        <f>d3М!N60-d3П!N60</f>
        <v>0</v>
      </c>
      <c r="O63" s="328">
        <f>d3М!O60-d3П!O60</f>
        <v>0</v>
      </c>
      <c r="P63" s="328">
        <f>d3М!P60-d3П!P60</f>
        <v>0</v>
      </c>
      <c r="Q63" s="20"/>
      <c r="R63" s="30"/>
    </row>
    <row r="64" spans="1:20" ht="47.25" thickTop="1" thickBot="1" x14ac:dyDescent="0.25">
      <c r="A64" s="329" t="s">
        <v>669</v>
      </c>
      <c r="B64" s="329" t="s">
        <v>668</v>
      </c>
      <c r="C64" s="329"/>
      <c r="D64" s="329" t="s">
        <v>670</v>
      </c>
      <c r="E64" s="328">
        <f>d3М!E61-d3П!E61</f>
        <v>0</v>
      </c>
      <c r="F64" s="328">
        <f>d3М!F61-d3П!F61</f>
        <v>0</v>
      </c>
      <c r="G64" s="328">
        <f>d3М!G61-d3П!G61</f>
        <v>0</v>
      </c>
      <c r="H64" s="328">
        <f>d3М!H61-d3П!H61</f>
        <v>0</v>
      </c>
      <c r="I64" s="328">
        <f>d3М!I61-d3П!I61</f>
        <v>0</v>
      </c>
      <c r="J64" s="328">
        <f>d3М!J61-d3П!J61</f>
        <v>0</v>
      </c>
      <c r="K64" s="328">
        <f>d3М!K61-d3П!K61</f>
        <v>0</v>
      </c>
      <c r="L64" s="328">
        <f>d3М!L61-d3П!L61</f>
        <v>0</v>
      </c>
      <c r="M64" s="328">
        <f>d3М!M61-d3П!M61</f>
        <v>0</v>
      </c>
      <c r="N64" s="328">
        <f>d3М!N61-d3П!N61</f>
        <v>0</v>
      </c>
      <c r="O64" s="328">
        <f>d3М!O61-d3П!O61</f>
        <v>0</v>
      </c>
      <c r="P64" s="328">
        <f>d3М!P61-d3П!P61</f>
        <v>0</v>
      </c>
      <c r="Q64" s="20"/>
      <c r="R64" s="35"/>
    </row>
    <row r="65" spans="1:18" ht="47.25" thickTop="1" thickBot="1" x14ac:dyDescent="0.25">
      <c r="A65" s="103" t="s">
        <v>671</v>
      </c>
      <c r="B65" s="103" t="s">
        <v>672</v>
      </c>
      <c r="C65" s="103" t="s">
        <v>210</v>
      </c>
      <c r="D65" s="103" t="s">
        <v>501</v>
      </c>
      <c r="E65" s="328">
        <f>d3М!E62-d3П!E62</f>
        <v>0</v>
      </c>
      <c r="F65" s="328">
        <f>d3М!F62-d3П!F62</f>
        <v>0</v>
      </c>
      <c r="G65" s="328">
        <f>d3М!G62-d3П!G62</f>
        <v>0</v>
      </c>
      <c r="H65" s="328">
        <f>d3М!H62-d3П!H62</f>
        <v>0</v>
      </c>
      <c r="I65" s="328">
        <f>d3М!I62-d3П!I62</f>
        <v>0</v>
      </c>
      <c r="J65" s="328">
        <f>d3М!J62-d3П!J62</f>
        <v>0</v>
      </c>
      <c r="K65" s="328">
        <f>d3М!K62-d3П!K62</f>
        <v>0</v>
      </c>
      <c r="L65" s="328">
        <f>d3М!L62-d3П!L62</f>
        <v>0</v>
      </c>
      <c r="M65" s="328">
        <f>d3М!M62-d3П!M62</f>
        <v>0</v>
      </c>
      <c r="N65" s="328">
        <f>d3М!N62-d3П!N62</f>
        <v>0</v>
      </c>
      <c r="O65" s="328">
        <f>d3М!O62-d3П!O62</f>
        <v>0</v>
      </c>
      <c r="P65" s="328">
        <f>d3М!P62-d3П!P62</f>
        <v>0</v>
      </c>
      <c r="Q65" s="20"/>
      <c r="R65" s="30"/>
    </row>
    <row r="66" spans="1:18" ht="47.25" thickTop="1" thickBot="1" x14ac:dyDescent="0.25">
      <c r="A66" s="103" t="s">
        <v>673</v>
      </c>
      <c r="B66" s="103" t="s">
        <v>674</v>
      </c>
      <c r="C66" s="103" t="s">
        <v>210</v>
      </c>
      <c r="D66" s="103" t="s">
        <v>337</v>
      </c>
      <c r="E66" s="328">
        <f>d3М!E63-d3П!E63</f>
        <v>0</v>
      </c>
      <c r="F66" s="328">
        <f>d3М!F63-d3П!F63</f>
        <v>0</v>
      </c>
      <c r="G66" s="328">
        <f>d3М!G63-d3П!G63</f>
        <v>0</v>
      </c>
      <c r="H66" s="328">
        <f>d3М!H63-d3П!H63</f>
        <v>0</v>
      </c>
      <c r="I66" s="328">
        <f>d3М!I63-d3П!I63</f>
        <v>0</v>
      </c>
      <c r="J66" s="328">
        <f>d3М!J63-d3П!J63</f>
        <v>0</v>
      </c>
      <c r="K66" s="328">
        <f>d3М!K63-d3П!K63</f>
        <v>0</v>
      </c>
      <c r="L66" s="328">
        <f>d3М!L63-d3П!L63</f>
        <v>0</v>
      </c>
      <c r="M66" s="328">
        <f>d3М!M63-d3П!M63</f>
        <v>0</v>
      </c>
      <c r="N66" s="328">
        <f>d3М!N63-d3П!N63</f>
        <v>0</v>
      </c>
      <c r="O66" s="328">
        <f>d3М!O63-d3П!O63</f>
        <v>0</v>
      </c>
      <c r="P66" s="328">
        <f>d3М!P63-d3П!P63</f>
        <v>0</v>
      </c>
      <c r="Q66" s="20"/>
      <c r="R66" s="30"/>
    </row>
    <row r="67" spans="1:18" ht="47.25" thickTop="1" thickBot="1" x14ac:dyDescent="0.25">
      <c r="A67" s="329" t="s">
        <v>675</v>
      </c>
      <c r="B67" s="329" t="s">
        <v>676</v>
      </c>
      <c r="C67" s="329"/>
      <c r="D67" s="329" t="s">
        <v>429</v>
      </c>
      <c r="E67" s="328">
        <f>d3М!E64-d3П!E64</f>
        <v>0</v>
      </c>
      <c r="F67" s="328">
        <f>d3М!F64-d3П!F64</f>
        <v>0</v>
      </c>
      <c r="G67" s="328">
        <f>d3М!G64-d3П!G64</f>
        <v>0</v>
      </c>
      <c r="H67" s="328">
        <f>d3М!H64-d3П!H64</f>
        <v>0</v>
      </c>
      <c r="I67" s="328">
        <f>d3М!I64-d3П!I64</f>
        <v>0</v>
      </c>
      <c r="J67" s="328">
        <f>d3М!J64-d3П!J64</f>
        <v>0</v>
      </c>
      <c r="K67" s="328">
        <f>d3М!K64-d3П!K64</f>
        <v>0</v>
      </c>
      <c r="L67" s="328">
        <f>d3М!L64-d3П!L64</f>
        <v>0</v>
      </c>
      <c r="M67" s="328">
        <f>d3М!M64-d3П!M64</f>
        <v>0</v>
      </c>
      <c r="N67" s="328">
        <f>d3М!N64-d3П!N64</f>
        <v>0</v>
      </c>
      <c r="O67" s="328">
        <f>d3М!O64-d3П!O64</f>
        <v>0</v>
      </c>
      <c r="P67" s="328">
        <f>d3М!P64-d3П!P64</f>
        <v>0</v>
      </c>
      <c r="Q67" s="20"/>
      <c r="R67" s="35"/>
    </row>
    <row r="68" spans="1:18" ht="93" thickTop="1" thickBot="1" x14ac:dyDescent="0.25">
      <c r="A68" s="103" t="s">
        <v>677</v>
      </c>
      <c r="B68" s="103" t="s">
        <v>678</v>
      </c>
      <c r="C68" s="103" t="s">
        <v>210</v>
      </c>
      <c r="D68" s="103" t="s">
        <v>679</v>
      </c>
      <c r="E68" s="328">
        <f>d3М!E65-d3П!E65</f>
        <v>0</v>
      </c>
      <c r="F68" s="328">
        <f>d3М!F65-d3П!F65</f>
        <v>0</v>
      </c>
      <c r="G68" s="328">
        <f>d3М!G65-d3П!G65</f>
        <v>0</v>
      </c>
      <c r="H68" s="328">
        <f>d3М!H65-d3П!H65</f>
        <v>0</v>
      </c>
      <c r="I68" s="328">
        <f>d3М!I65-d3П!I65</f>
        <v>0</v>
      </c>
      <c r="J68" s="328">
        <f>d3М!J65-d3П!J65</f>
        <v>0</v>
      </c>
      <c r="K68" s="328">
        <f>d3М!K65-d3П!K65</f>
        <v>0</v>
      </c>
      <c r="L68" s="328">
        <f>d3М!L65-d3П!L65</f>
        <v>0</v>
      </c>
      <c r="M68" s="328">
        <f>d3М!M65-d3П!M65</f>
        <v>0</v>
      </c>
      <c r="N68" s="328">
        <f>d3М!N65-d3П!N65</f>
        <v>0</v>
      </c>
      <c r="O68" s="328">
        <f>d3М!O65-d3П!O65</f>
        <v>0</v>
      </c>
      <c r="P68" s="328">
        <f>d3М!P65-d3П!P65</f>
        <v>0</v>
      </c>
      <c r="Q68" s="20"/>
      <c r="R68" s="26"/>
    </row>
    <row r="69" spans="1:18" ht="93" thickTop="1" thickBot="1" x14ac:dyDescent="0.25">
      <c r="A69" s="103" t="s">
        <v>680</v>
      </c>
      <c r="B69" s="103" t="s">
        <v>681</v>
      </c>
      <c r="C69" s="103" t="s">
        <v>210</v>
      </c>
      <c r="D69" s="103" t="s">
        <v>682</v>
      </c>
      <c r="E69" s="328">
        <f>d3М!E66-d3П!E66</f>
        <v>0</v>
      </c>
      <c r="F69" s="328">
        <f>d3М!F66-d3П!F66</f>
        <v>0</v>
      </c>
      <c r="G69" s="328">
        <f>d3М!G66-d3П!G66</f>
        <v>0</v>
      </c>
      <c r="H69" s="328">
        <f>d3М!H66-d3П!H66</f>
        <v>0</v>
      </c>
      <c r="I69" s="328">
        <f>d3М!I66-d3П!I66</f>
        <v>0</v>
      </c>
      <c r="J69" s="328">
        <f>d3М!J66-d3П!J66</f>
        <v>0</v>
      </c>
      <c r="K69" s="328">
        <f>d3М!K66-d3П!K66</f>
        <v>0</v>
      </c>
      <c r="L69" s="328">
        <f>d3М!L66-d3П!L66</f>
        <v>0</v>
      </c>
      <c r="M69" s="328">
        <f>d3М!M66-d3П!M66</f>
        <v>0</v>
      </c>
      <c r="N69" s="328">
        <f>d3М!N66-d3П!N66</f>
        <v>0</v>
      </c>
      <c r="O69" s="328">
        <f>d3М!O66-d3П!O66</f>
        <v>0</v>
      </c>
      <c r="P69" s="328">
        <f>d3М!P66-d3П!P66</f>
        <v>0</v>
      </c>
      <c r="Q69" s="20"/>
      <c r="R69" s="30"/>
    </row>
    <row r="70" spans="1:18" ht="47.25" thickTop="1" thickBot="1" x14ac:dyDescent="0.25">
      <c r="A70" s="103" t="s">
        <v>647</v>
      </c>
      <c r="B70" s="103" t="s">
        <v>648</v>
      </c>
      <c r="C70" s="103" t="s">
        <v>210</v>
      </c>
      <c r="D70" s="103" t="s">
        <v>649</v>
      </c>
      <c r="E70" s="328">
        <f>d3М!E67-d3П!E67</f>
        <v>0</v>
      </c>
      <c r="F70" s="328">
        <f>d3М!F67-d3П!F67</f>
        <v>0</v>
      </c>
      <c r="G70" s="328">
        <f>d3М!G67-d3П!G67</f>
        <v>0</v>
      </c>
      <c r="H70" s="328">
        <f>d3М!H67-d3П!H67</f>
        <v>0</v>
      </c>
      <c r="I70" s="328">
        <f>d3М!I67-d3П!I67</f>
        <v>0</v>
      </c>
      <c r="J70" s="328">
        <f>d3М!J67-d3П!J67</f>
        <v>0</v>
      </c>
      <c r="K70" s="328">
        <f>d3М!K67-d3П!K67</f>
        <v>0</v>
      </c>
      <c r="L70" s="328">
        <f>d3М!L67-d3П!L67</f>
        <v>0</v>
      </c>
      <c r="M70" s="328">
        <f>d3М!M67-d3П!M67</f>
        <v>0</v>
      </c>
      <c r="N70" s="328">
        <f>d3М!N67-d3П!N67</f>
        <v>0</v>
      </c>
      <c r="O70" s="328">
        <f>d3М!O67-d3П!O67</f>
        <v>0</v>
      </c>
      <c r="P70" s="328">
        <f>d3М!P67-d3П!P67</f>
        <v>0</v>
      </c>
      <c r="Q70" s="20"/>
      <c r="R70" s="26"/>
    </row>
    <row r="71" spans="1:18" s="33" customFormat="1" ht="93" hidden="1" customHeight="1" thickTop="1" thickBot="1" x14ac:dyDescent="0.25">
      <c r="A71" s="144" t="s">
        <v>652</v>
      </c>
      <c r="B71" s="144" t="s">
        <v>653</v>
      </c>
      <c r="C71" s="144"/>
      <c r="D71" s="144" t="s">
        <v>654</v>
      </c>
      <c r="E71" s="328">
        <f>d3М!E68-d3П!E68</f>
        <v>0</v>
      </c>
      <c r="F71" s="328">
        <f>d3М!F68-d3П!F68</f>
        <v>0</v>
      </c>
      <c r="G71" s="328">
        <f>d3М!G68-d3П!G68</f>
        <v>0</v>
      </c>
      <c r="H71" s="328">
        <f>d3М!H68-d3П!H68</f>
        <v>0</v>
      </c>
      <c r="I71" s="328">
        <f>d3М!I68-d3П!I68</f>
        <v>0</v>
      </c>
      <c r="J71" s="328">
        <f>d3М!J68-d3П!J68</f>
        <v>0</v>
      </c>
      <c r="K71" s="328">
        <f>d3М!K68-d3П!K68</f>
        <v>0</v>
      </c>
      <c r="L71" s="328">
        <f>d3М!L68-d3П!L68</f>
        <v>0</v>
      </c>
      <c r="M71" s="328">
        <f>d3М!M68-d3П!M68</f>
        <v>0</v>
      </c>
      <c r="N71" s="328">
        <f>d3М!N68-d3П!N68</f>
        <v>0</v>
      </c>
      <c r="O71" s="328">
        <f>d3М!O68-d3П!O68</f>
        <v>0</v>
      </c>
      <c r="P71" s="328">
        <f>d3М!P68-d3П!P68</f>
        <v>0</v>
      </c>
      <c r="Q71" s="36"/>
      <c r="R71" s="37"/>
    </row>
    <row r="72" spans="1:18" s="33" customFormat="1" ht="138.75" hidden="1" customHeight="1" thickTop="1" thickBot="1" x14ac:dyDescent="0.25">
      <c r="A72" s="41" t="s">
        <v>655</v>
      </c>
      <c r="B72" s="41" t="s">
        <v>656</v>
      </c>
      <c r="C72" s="41" t="s">
        <v>210</v>
      </c>
      <c r="D72" s="41" t="s">
        <v>657</v>
      </c>
      <c r="E72" s="328">
        <f>d3М!E69-d3П!E69</f>
        <v>0</v>
      </c>
      <c r="F72" s="328">
        <f>d3М!F69-d3П!F69</f>
        <v>0</v>
      </c>
      <c r="G72" s="328">
        <f>d3М!G69-d3П!G69</f>
        <v>0</v>
      </c>
      <c r="H72" s="328">
        <f>d3М!H69-d3П!H69</f>
        <v>0</v>
      </c>
      <c r="I72" s="328">
        <f>d3М!I69-d3П!I69</f>
        <v>0</v>
      </c>
      <c r="J72" s="328">
        <f>d3М!J69-d3П!J69</f>
        <v>0</v>
      </c>
      <c r="K72" s="328">
        <f>d3М!K69-d3П!K69</f>
        <v>0</v>
      </c>
      <c r="L72" s="328">
        <f>d3М!L69-d3П!L69</f>
        <v>0</v>
      </c>
      <c r="M72" s="328">
        <f>d3М!M69-d3П!M69</f>
        <v>0</v>
      </c>
      <c r="N72" s="328">
        <f>d3М!N69-d3П!N69</f>
        <v>0</v>
      </c>
      <c r="O72" s="328">
        <f>d3М!O69-d3П!O69</f>
        <v>0</v>
      </c>
      <c r="P72" s="328">
        <f>d3М!P69-d3П!P69</f>
        <v>0</v>
      </c>
      <c r="Q72" s="36"/>
      <c r="R72" s="26"/>
    </row>
    <row r="73" spans="1:18" s="33" customFormat="1" ht="138.75" hidden="1" customHeight="1" thickTop="1" thickBot="1" x14ac:dyDescent="0.25">
      <c r="A73" s="41" t="s">
        <v>979</v>
      </c>
      <c r="B73" s="41" t="s">
        <v>980</v>
      </c>
      <c r="C73" s="41" t="s">
        <v>210</v>
      </c>
      <c r="D73" s="41" t="s">
        <v>981</v>
      </c>
      <c r="E73" s="328">
        <f>d3М!E70-d3П!E70</f>
        <v>0</v>
      </c>
      <c r="F73" s="328">
        <f>d3М!F70-d3П!F70</f>
        <v>0</v>
      </c>
      <c r="G73" s="328">
        <f>d3М!G70-d3П!G70</f>
        <v>0</v>
      </c>
      <c r="H73" s="328">
        <f>d3М!H70-d3П!H70</f>
        <v>0</v>
      </c>
      <c r="I73" s="328">
        <f>d3М!I70-d3П!I70</f>
        <v>0</v>
      </c>
      <c r="J73" s="328">
        <f>d3М!J70-d3П!J70</f>
        <v>0</v>
      </c>
      <c r="K73" s="328">
        <f>d3М!K70-d3П!K70</f>
        <v>0</v>
      </c>
      <c r="L73" s="328">
        <f>d3М!L70-d3П!L70</f>
        <v>0</v>
      </c>
      <c r="M73" s="328">
        <f>d3М!M70-d3П!M70</f>
        <v>0</v>
      </c>
      <c r="N73" s="328">
        <f>d3М!N70-d3П!N70</f>
        <v>0</v>
      </c>
      <c r="O73" s="328">
        <f>d3М!O70-d3П!O70</f>
        <v>0</v>
      </c>
      <c r="P73" s="328">
        <f>d3М!P70-d3П!P70</f>
        <v>0</v>
      </c>
      <c r="Q73" s="36"/>
      <c r="R73" s="26"/>
    </row>
    <row r="74" spans="1:18" s="33" customFormat="1" ht="184.5" hidden="1" customHeight="1" thickTop="1" thickBot="1" x14ac:dyDescent="0.25">
      <c r="A74" s="144" t="s">
        <v>998</v>
      </c>
      <c r="B74" s="144" t="s">
        <v>1000</v>
      </c>
      <c r="C74" s="144"/>
      <c r="D74" s="144" t="s">
        <v>1002</v>
      </c>
      <c r="E74" s="328">
        <f>d3М!E71-d3П!E71</f>
        <v>0</v>
      </c>
      <c r="F74" s="328">
        <f>d3М!F71-d3П!F71</f>
        <v>0</v>
      </c>
      <c r="G74" s="328">
        <f>d3М!G71-d3П!G71</f>
        <v>0</v>
      </c>
      <c r="H74" s="328">
        <f>d3М!H71-d3П!H71</f>
        <v>0</v>
      </c>
      <c r="I74" s="328">
        <f>d3М!I71-d3П!I71</f>
        <v>0</v>
      </c>
      <c r="J74" s="328">
        <f>d3М!J71-d3П!J71</f>
        <v>0</v>
      </c>
      <c r="K74" s="328">
        <f>d3М!K71-d3П!K71</f>
        <v>0</v>
      </c>
      <c r="L74" s="328">
        <f>d3М!L71-d3П!L71</f>
        <v>0</v>
      </c>
      <c r="M74" s="328">
        <f>d3М!M71-d3П!M71</f>
        <v>0</v>
      </c>
      <c r="N74" s="328">
        <f>d3М!N71-d3П!N71</f>
        <v>0</v>
      </c>
      <c r="O74" s="328">
        <f>d3М!O71-d3П!O71</f>
        <v>0</v>
      </c>
      <c r="P74" s="328">
        <f>d3М!P71-d3П!P71</f>
        <v>0</v>
      </c>
      <c r="Q74" s="36"/>
      <c r="R74" s="26"/>
    </row>
    <row r="75" spans="1:18" s="33" customFormat="1" ht="230.25" hidden="1" customHeight="1" thickTop="1" thickBot="1" x14ac:dyDescent="0.25">
      <c r="A75" s="41" t="s">
        <v>999</v>
      </c>
      <c r="B75" s="41" t="s">
        <v>1001</v>
      </c>
      <c r="C75" s="41" t="s">
        <v>210</v>
      </c>
      <c r="D75" s="41" t="s">
        <v>1003</v>
      </c>
      <c r="E75" s="328">
        <f>d3М!E72-d3П!E72</f>
        <v>0</v>
      </c>
      <c r="F75" s="328">
        <f>d3М!F72-d3П!F72</f>
        <v>0</v>
      </c>
      <c r="G75" s="328">
        <f>d3М!G72-d3П!G72</f>
        <v>0</v>
      </c>
      <c r="H75" s="328">
        <f>d3М!H72-d3П!H72</f>
        <v>0</v>
      </c>
      <c r="I75" s="328">
        <f>d3М!I72-d3П!I72</f>
        <v>0</v>
      </c>
      <c r="J75" s="328">
        <f>d3М!J72-d3П!J72</f>
        <v>0</v>
      </c>
      <c r="K75" s="328">
        <f>d3М!K72-d3П!K72</f>
        <v>0</v>
      </c>
      <c r="L75" s="328">
        <f>d3М!L72-d3П!L72</f>
        <v>0</v>
      </c>
      <c r="M75" s="328">
        <f>d3М!M72-d3П!M72</f>
        <v>0</v>
      </c>
      <c r="N75" s="328">
        <f>d3М!N72-d3П!N72</f>
        <v>0</v>
      </c>
      <c r="O75" s="328">
        <f>d3М!O72-d3П!O72</f>
        <v>0</v>
      </c>
      <c r="P75" s="328">
        <f>d3М!P72-d3П!P72</f>
        <v>0</v>
      </c>
      <c r="Q75" s="36"/>
      <c r="R75" s="26"/>
    </row>
    <row r="76" spans="1:18" s="33" customFormat="1" ht="46.5" hidden="1" customHeight="1" thickTop="1" thickBot="1" x14ac:dyDescent="0.25">
      <c r="A76" s="777" t="s">
        <v>1017</v>
      </c>
      <c r="B76" s="777" t="s">
        <v>1018</v>
      </c>
      <c r="C76" s="777" t="s">
        <v>210</v>
      </c>
      <c r="D76" s="777" t="s">
        <v>1019</v>
      </c>
      <c r="E76" s="328">
        <f>d3М!E73-d3П!E73</f>
        <v>0</v>
      </c>
      <c r="F76" s="328">
        <f>d3М!F73-d3П!F73</f>
        <v>0</v>
      </c>
      <c r="G76" s="328">
        <f>d3М!G73-d3П!G73</f>
        <v>0</v>
      </c>
      <c r="H76" s="328">
        <f>d3М!H73-d3П!H73</f>
        <v>0</v>
      </c>
      <c r="I76" s="328">
        <f>d3М!I73-d3П!I73</f>
        <v>0</v>
      </c>
      <c r="J76" s="328">
        <f>d3М!J73-d3П!J73</f>
        <v>0</v>
      </c>
      <c r="K76" s="328">
        <f>d3М!K73-d3П!K73</f>
        <v>0</v>
      </c>
      <c r="L76" s="328">
        <f>d3М!L73-d3П!L73</f>
        <v>0</v>
      </c>
      <c r="M76" s="328">
        <f>d3М!M73-d3П!M73</f>
        <v>0</v>
      </c>
      <c r="N76" s="328">
        <f>d3М!N73-d3П!N73</f>
        <v>0</v>
      </c>
      <c r="O76" s="328">
        <f>d3М!O73-d3П!O73</f>
        <v>0</v>
      </c>
      <c r="P76" s="328">
        <f>d3М!P73-d3П!P73</f>
        <v>0</v>
      </c>
      <c r="Q76" s="36"/>
      <c r="R76" s="26"/>
    </row>
    <row r="77" spans="1:18" s="33" customFormat="1" ht="46.5" hidden="1" customHeight="1" thickTop="1" thickBot="1" x14ac:dyDescent="0.25">
      <c r="A77" s="773"/>
      <c r="B77" s="773"/>
      <c r="C77" s="773"/>
      <c r="D77" s="773"/>
      <c r="E77" s="328">
        <f>d3М!E74-d3П!E74</f>
        <v>0</v>
      </c>
      <c r="F77" s="328">
        <f>d3М!F74-d3П!F74</f>
        <v>0</v>
      </c>
      <c r="G77" s="328">
        <f>d3М!G74-d3П!G74</f>
        <v>0</v>
      </c>
      <c r="H77" s="328">
        <f>d3М!H74-d3П!H74</f>
        <v>0</v>
      </c>
      <c r="I77" s="328">
        <f>d3М!I74-d3П!I74</f>
        <v>0</v>
      </c>
      <c r="J77" s="328">
        <f>d3М!J74-d3П!J74</f>
        <v>0</v>
      </c>
      <c r="K77" s="328">
        <f>d3М!K74-d3П!K74</f>
        <v>0</v>
      </c>
      <c r="L77" s="328">
        <f>d3М!L74-d3П!L74</f>
        <v>0</v>
      </c>
      <c r="M77" s="328">
        <f>d3М!M74-d3П!M74</f>
        <v>0</v>
      </c>
      <c r="N77" s="328">
        <f>d3М!N74-d3П!N74</f>
        <v>0</v>
      </c>
      <c r="O77" s="328">
        <f>d3М!O74-d3П!O74</f>
        <v>0</v>
      </c>
      <c r="P77" s="328">
        <f>d3М!P74-d3П!P74</f>
        <v>0</v>
      </c>
      <c r="Q77" s="36"/>
      <c r="R77" s="26"/>
    </row>
    <row r="78" spans="1:18" s="33" customFormat="1" ht="93" thickTop="1" thickBot="1" x14ac:dyDescent="0.25">
      <c r="A78" s="665" t="s">
        <v>644</v>
      </c>
      <c r="B78" s="665" t="s">
        <v>645</v>
      </c>
      <c r="C78" s="665" t="s">
        <v>210</v>
      </c>
      <c r="D78" s="665" t="s">
        <v>646</v>
      </c>
      <c r="E78" s="328">
        <f>d3М!E75-d3П!E75</f>
        <v>3668858</v>
      </c>
      <c r="F78" s="328">
        <f>d3М!F75-d3П!F75</f>
        <v>3668858</v>
      </c>
      <c r="G78" s="328">
        <f>d3М!G75-d3П!G75</f>
        <v>3007261</v>
      </c>
      <c r="H78" s="328">
        <f>d3М!H75-d3П!H75</f>
        <v>0</v>
      </c>
      <c r="I78" s="328">
        <f>d3М!I75-d3П!I75</f>
        <v>0</v>
      </c>
      <c r="J78" s="328">
        <f>d3М!J75-d3П!J75</f>
        <v>0</v>
      </c>
      <c r="K78" s="328">
        <f>d3М!K75-d3П!K75</f>
        <v>0</v>
      </c>
      <c r="L78" s="328">
        <f>d3М!L75-d3П!L75</f>
        <v>0</v>
      </c>
      <c r="M78" s="328">
        <f>d3М!M75-d3П!M75</f>
        <v>0</v>
      </c>
      <c r="N78" s="328">
        <f>d3М!N75-d3П!N75</f>
        <v>0</v>
      </c>
      <c r="O78" s="328">
        <f>d3М!O75-d3П!O75</f>
        <v>0</v>
      </c>
      <c r="P78" s="328">
        <f>d3М!P75-d3П!P75</f>
        <v>3668858</v>
      </c>
      <c r="Q78" s="36"/>
      <c r="R78" s="26"/>
    </row>
    <row r="79" spans="1:18" s="33" customFormat="1" ht="160.5" customHeight="1" thickTop="1" thickBot="1" x14ac:dyDescent="0.25">
      <c r="A79" s="665" t="s">
        <v>941</v>
      </c>
      <c r="B79" s="665" t="s">
        <v>942</v>
      </c>
      <c r="C79" s="665" t="s">
        <v>210</v>
      </c>
      <c r="D79" s="665" t="s">
        <v>1449</v>
      </c>
      <c r="E79" s="328">
        <f>d3М!E76-d3П!E76</f>
        <v>532739</v>
      </c>
      <c r="F79" s="328">
        <f>d3М!F76-d3П!F76</f>
        <v>532739</v>
      </c>
      <c r="G79" s="328">
        <f>d3М!G76-d3П!G76</f>
        <v>436671</v>
      </c>
      <c r="H79" s="328">
        <f>d3М!H76-d3П!H76</f>
        <v>0</v>
      </c>
      <c r="I79" s="328">
        <f>d3М!I76-d3П!I76</f>
        <v>0</v>
      </c>
      <c r="J79" s="328">
        <f>d3М!J76-d3П!J76</f>
        <v>0</v>
      </c>
      <c r="K79" s="328">
        <f>d3М!K76-d3П!K76</f>
        <v>0</v>
      </c>
      <c r="L79" s="328">
        <f>d3М!L76-d3П!L76</f>
        <v>0</v>
      </c>
      <c r="M79" s="328">
        <f>d3М!M76-d3П!M76</f>
        <v>0</v>
      </c>
      <c r="N79" s="328">
        <f>d3М!N76-d3П!N76</f>
        <v>0</v>
      </c>
      <c r="O79" s="328">
        <f>d3М!O76-d3П!O76</f>
        <v>0</v>
      </c>
      <c r="P79" s="328">
        <f>d3М!P76-d3П!P76</f>
        <v>532739</v>
      </c>
      <c r="Q79" s="36"/>
      <c r="R79" s="26"/>
    </row>
    <row r="80" spans="1:18" s="33" customFormat="1" ht="93" thickTop="1" thickBot="1" x14ac:dyDescent="0.25">
      <c r="A80" s="693" t="s">
        <v>1004</v>
      </c>
      <c r="B80" s="693" t="s">
        <v>1006</v>
      </c>
      <c r="C80" s="693"/>
      <c r="D80" s="693" t="s">
        <v>1441</v>
      </c>
      <c r="E80" s="328">
        <f>d3М!E77-d3П!E77</f>
        <v>0</v>
      </c>
      <c r="F80" s="328">
        <f>d3М!F77-d3П!F77</f>
        <v>0</v>
      </c>
      <c r="G80" s="328">
        <f>d3М!G77-d3П!G77</f>
        <v>0</v>
      </c>
      <c r="H80" s="328">
        <f>d3М!H77-d3П!H77</f>
        <v>0</v>
      </c>
      <c r="I80" s="328">
        <f>d3М!I77-d3П!I77</f>
        <v>0</v>
      </c>
      <c r="J80" s="328">
        <f>d3М!J77-d3П!J77</f>
        <v>0</v>
      </c>
      <c r="K80" s="328">
        <f>d3М!K77-d3П!K77</f>
        <v>0</v>
      </c>
      <c r="L80" s="328">
        <f>d3М!L77-d3П!L77</f>
        <v>0</v>
      </c>
      <c r="M80" s="328">
        <f>d3М!M77-d3П!M77</f>
        <v>0</v>
      </c>
      <c r="N80" s="328">
        <f>d3М!N77-d3П!N77</f>
        <v>0</v>
      </c>
      <c r="O80" s="328">
        <f>d3М!O77-d3П!O77</f>
        <v>0</v>
      </c>
      <c r="P80" s="328">
        <f>d3М!P77-d3П!P77</f>
        <v>0</v>
      </c>
      <c r="Q80" s="36"/>
      <c r="R80" s="26"/>
    </row>
    <row r="81" spans="1:18" s="33" customFormat="1" ht="189" customHeight="1" thickTop="1" thickBot="1" x14ac:dyDescent="0.25">
      <c r="A81" s="694" t="s">
        <v>1005</v>
      </c>
      <c r="B81" s="694" t="s">
        <v>1007</v>
      </c>
      <c r="C81" s="694" t="s">
        <v>210</v>
      </c>
      <c r="D81" s="694" t="s">
        <v>1251</v>
      </c>
      <c r="E81" s="328">
        <f>d3М!E78-d3П!E78</f>
        <v>0</v>
      </c>
      <c r="F81" s="328">
        <f>d3М!F78-d3П!F78</f>
        <v>0</v>
      </c>
      <c r="G81" s="328">
        <f>d3М!G78-d3П!G78</f>
        <v>0</v>
      </c>
      <c r="H81" s="328">
        <f>d3М!H78-d3П!H78</f>
        <v>0</v>
      </c>
      <c r="I81" s="328">
        <f>d3М!I78-d3П!I78</f>
        <v>0</v>
      </c>
      <c r="J81" s="328">
        <f>d3М!J78-d3П!J78</f>
        <v>0</v>
      </c>
      <c r="K81" s="328">
        <f>d3М!K78-d3П!K78</f>
        <v>0</v>
      </c>
      <c r="L81" s="328">
        <f>d3М!L78-d3П!L78</f>
        <v>0</v>
      </c>
      <c r="M81" s="328">
        <f>d3М!M78-d3П!M78</f>
        <v>0</v>
      </c>
      <c r="N81" s="328">
        <f>d3М!N78-d3П!N78</f>
        <v>0</v>
      </c>
      <c r="O81" s="328">
        <f>d3М!O78-d3П!O78</f>
        <v>0</v>
      </c>
      <c r="P81" s="328">
        <f>d3М!P78-d3П!P78</f>
        <v>0</v>
      </c>
      <c r="Q81" s="36"/>
      <c r="R81" s="26"/>
    </row>
    <row r="82" spans="1:18" s="33" customFormat="1" ht="176.25" customHeight="1" thickTop="1" thickBot="1" x14ac:dyDescent="0.25">
      <c r="A82" s="694" t="s">
        <v>1049</v>
      </c>
      <c r="B82" s="694" t="s">
        <v>1050</v>
      </c>
      <c r="C82" s="694" t="s">
        <v>210</v>
      </c>
      <c r="D82" s="694" t="s">
        <v>1596</v>
      </c>
      <c r="E82" s="328">
        <f>d3М!E79-d3П!E79</f>
        <v>0</v>
      </c>
      <c r="F82" s="328">
        <f>d3М!F79-d3П!F79</f>
        <v>0</v>
      </c>
      <c r="G82" s="328">
        <f>d3М!G79-d3П!G79</f>
        <v>0</v>
      </c>
      <c r="H82" s="328">
        <f>d3М!H79-d3П!H79</f>
        <v>0</v>
      </c>
      <c r="I82" s="328">
        <f>d3М!I79-d3П!I79</f>
        <v>0</v>
      </c>
      <c r="J82" s="328">
        <f>d3М!J79-d3П!J79</f>
        <v>0</v>
      </c>
      <c r="K82" s="328">
        <f>d3М!K79-d3П!K79</f>
        <v>0</v>
      </c>
      <c r="L82" s="328">
        <f>d3М!L79-d3П!L79</f>
        <v>0</v>
      </c>
      <c r="M82" s="328">
        <f>d3М!M79-d3П!M79</f>
        <v>0</v>
      </c>
      <c r="N82" s="328">
        <f>d3М!N79-d3П!N79</f>
        <v>0</v>
      </c>
      <c r="O82" s="328">
        <f>d3М!O79-d3П!O79</f>
        <v>0</v>
      </c>
      <c r="P82" s="328">
        <f>d3М!P79-d3П!P79</f>
        <v>0</v>
      </c>
      <c r="Q82" s="36"/>
      <c r="R82" s="26"/>
    </row>
    <row r="83" spans="1:18" s="33" customFormat="1" ht="114.75" customHeight="1" thickTop="1" thickBot="1" x14ac:dyDescent="0.25">
      <c r="A83" s="329" t="s">
        <v>1391</v>
      </c>
      <c r="B83" s="329" t="s">
        <v>1392</v>
      </c>
      <c r="C83" s="329"/>
      <c r="D83" s="329" t="s">
        <v>1552</v>
      </c>
      <c r="E83" s="328">
        <f>d3М!E80-d3П!E80</f>
        <v>0</v>
      </c>
      <c r="F83" s="328">
        <f>d3М!F80-d3П!F80</f>
        <v>0</v>
      </c>
      <c r="G83" s="328">
        <f>d3М!G80-d3П!G80</f>
        <v>0</v>
      </c>
      <c r="H83" s="328">
        <f>d3М!H80-d3П!H80</f>
        <v>0</v>
      </c>
      <c r="I83" s="328">
        <f>d3М!I80-d3П!I80</f>
        <v>0</v>
      </c>
      <c r="J83" s="328">
        <f>d3М!J80-d3П!J80</f>
        <v>0</v>
      </c>
      <c r="K83" s="328">
        <f>d3М!K80-d3П!K80</f>
        <v>0</v>
      </c>
      <c r="L83" s="328">
        <f>d3М!L80-d3П!L80</f>
        <v>0</v>
      </c>
      <c r="M83" s="328">
        <f>d3М!M80-d3П!M80</f>
        <v>0</v>
      </c>
      <c r="N83" s="328">
        <f>d3М!N80-d3П!N80</f>
        <v>0</v>
      </c>
      <c r="O83" s="328">
        <f>d3М!O80-d3П!O80</f>
        <v>0</v>
      </c>
      <c r="P83" s="328">
        <f>d3М!P80-d3П!P80</f>
        <v>0</v>
      </c>
      <c r="Q83" s="36"/>
      <c r="R83" s="26"/>
    </row>
    <row r="84" spans="1:18" s="33" customFormat="1" ht="163.5" customHeight="1" thickTop="1" thickBot="1" x14ac:dyDescent="0.25">
      <c r="A84" s="103" t="s">
        <v>1393</v>
      </c>
      <c r="B84" s="103" t="s">
        <v>1394</v>
      </c>
      <c r="C84" s="103" t="s">
        <v>210</v>
      </c>
      <c r="D84" s="103" t="s">
        <v>1553</v>
      </c>
      <c r="E84" s="328">
        <f>d3М!E81-d3П!E81</f>
        <v>0</v>
      </c>
      <c r="F84" s="328">
        <f>d3М!F81-d3П!F81</f>
        <v>0</v>
      </c>
      <c r="G84" s="328">
        <f>d3М!G81-d3П!G81</f>
        <v>0</v>
      </c>
      <c r="H84" s="328">
        <f>d3М!H81-d3П!H81</f>
        <v>0</v>
      </c>
      <c r="I84" s="328">
        <f>d3М!I81-d3П!I81</f>
        <v>0</v>
      </c>
      <c r="J84" s="328">
        <f>d3М!J81-d3П!J81</f>
        <v>0</v>
      </c>
      <c r="K84" s="328">
        <f>d3М!K81-d3П!K81</f>
        <v>0</v>
      </c>
      <c r="L84" s="328">
        <f>d3М!L81-d3П!L81</f>
        <v>0</v>
      </c>
      <c r="M84" s="328">
        <f>d3М!M81-d3П!M81</f>
        <v>0</v>
      </c>
      <c r="N84" s="328">
        <f>d3М!N81-d3П!N81</f>
        <v>0</v>
      </c>
      <c r="O84" s="328">
        <f>d3М!O81-d3П!O81</f>
        <v>0</v>
      </c>
      <c r="P84" s="328">
        <f>d3М!P81-d3П!P81</f>
        <v>0</v>
      </c>
      <c r="Q84" s="36"/>
      <c r="R84" s="26"/>
    </row>
    <row r="85" spans="1:18" s="33" customFormat="1" ht="93" hidden="1" thickTop="1" thickBot="1" x14ac:dyDescent="0.25">
      <c r="A85" s="128" t="s">
        <v>1395</v>
      </c>
      <c r="B85" s="128" t="s">
        <v>1396</v>
      </c>
      <c r="C85" s="128" t="s">
        <v>210</v>
      </c>
      <c r="D85" s="128" t="s">
        <v>1397</v>
      </c>
      <c r="E85" s="328"/>
      <c r="F85" s="328"/>
      <c r="G85" s="328"/>
      <c r="H85" s="328"/>
      <c r="I85" s="328"/>
      <c r="J85" s="328"/>
      <c r="K85" s="328"/>
      <c r="L85" s="328"/>
      <c r="M85" s="328"/>
      <c r="N85" s="328"/>
      <c r="O85" s="328"/>
      <c r="P85" s="328"/>
      <c r="Q85" s="36"/>
      <c r="R85" s="26"/>
    </row>
    <row r="86" spans="1:18" s="33" customFormat="1" ht="93" hidden="1" thickTop="1" thickBot="1" x14ac:dyDescent="0.25">
      <c r="A86" s="140" t="s">
        <v>1462</v>
      </c>
      <c r="B86" s="140" t="s">
        <v>1461</v>
      </c>
      <c r="C86" s="140"/>
      <c r="D86" s="140" t="s">
        <v>1463</v>
      </c>
      <c r="E86" s="328"/>
      <c r="F86" s="328"/>
      <c r="G86" s="328"/>
      <c r="H86" s="328"/>
      <c r="I86" s="328"/>
      <c r="J86" s="328"/>
      <c r="K86" s="328"/>
      <c r="L86" s="328"/>
      <c r="M86" s="328"/>
      <c r="N86" s="328"/>
      <c r="O86" s="328"/>
      <c r="P86" s="328"/>
      <c r="Q86" s="36"/>
      <c r="R86" s="26"/>
    </row>
    <row r="87" spans="1:18" s="33" customFormat="1" ht="93" hidden="1" thickTop="1" thickBot="1" x14ac:dyDescent="0.25">
      <c r="A87" s="128" t="s">
        <v>1464</v>
      </c>
      <c r="B87" s="128" t="s">
        <v>1465</v>
      </c>
      <c r="C87" s="128" t="s">
        <v>210</v>
      </c>
      <c r="D87" s="128" t="s">
        <v>1469</v>
      </c>
      <c r="E87" s="328"/>
      <c r="F87" s="328"/>
      <c r="G87" s="328"/>
      <c r="H87" s="328"/>
      <c r="I87" s="328"/>
      <c r="J87" s="328"/>
      <c r="K87" s="328"/>
      <c r="L87" s="328"/>
      <c r="M87" s="328"/>
      <c r="N87" s="328"/>
      <c r="O87" s="328"/>
      <c r="P87" s="328"/>
      <c r="Q87" s="36"/>
      <c r="R87" s="26"/>
    </row>
    <row r="88" spans="1:18" s="33" customFormat="1" ht="93" hidden="1" thickTop="1" thickBot="1" x14ac:dyDescent="0.25">
      <c r="A88" s="128" t="s">
        <v>1466</v>
      </c>
      <c r="B88" s="128" t="s">
        <v>1467</v>
      </c>
      <c r="C88" s="128" t="s">
        <v>210</v>
      </c>
      <c r="D88" s="128" t="s">
        <v>1468</v>
      </c>
      <c r="E88" s="328"/>
      <c r="F88" s="328"/>
      <c r="G88" s="328"/>
      <c r="H88" s="328"/>
      <c r="I88" s="328"/>
      <c r="J88" s="328"/>
      <c r="K88" s="328"/>
      <c r="L88" s="328"/>
      <c r="M88" s="328"/>
      <c r="N88" s="328"/>
      <c r="O88" s="328"/>
      <c r="P88" s="328"/>
      <c r="Q88" s="36"/>
      <c r="R88" s="26"/>
    </row>
    <row r="89" spans="1:18" s="33" customFormat="1" ht="213" customHeight="1" thickTop="1" thickBot="1" x14ac:dyDescent="0.25">
      <c r="A89" s="329" t="s">
        <v>1568</v>
      </c>
      <c r="B89" s="329" t="s">
        <v>1570</v>
      </c>
      <c r="C89" s="128"/>
      <c r="D89" s="329" t="s">
        <v>1567</v>
      </c>
      <c r="E89" s="328">
        <f>d3М!E86-d3П!E86</f>
        <v>0</v>
      </c>
      <c r="F89" s="328">
        <f>d3М!F86-d3П!F86</f>
        <v>0</v>
      </c>
      <c r="G89" s="328">
        <f>d3М!G86-d3П!G86</f>
        <v>0</v>
      </c>
      <c r="H89" s="328">
        <f>d3М!H86-d3П!H86</f>
        <v>0</v>
      </c>
      <c r="I89" s="328">
        <f>d3М!I86-d3П!I86</f>
        <v>0</v>
      </c>
      <c r="J89" s="328">
        <f>d3М!J86-d3П!J86</f>
        <v>7672111</v>
      </c>
      <c r="K89" s="328">
        <f>d3М!K86-d3П!K86</f>
        <v>0</v>
      </c>
      <c r="L89" s="328">
        <f>d3М!L86-d3П!L86</f>
        <v>0</v>
      </c>
      <c r="M89" s="328">
        <f>d3М!M86-d3П!M86</f>
        <v>0</v>
      </c>
      <c r="N89" s="328">
        <f>d3М!N86-d3П!N86</f>
        <v>0</v>
      </c>
      <c r="O89" s="328">
        <f>d3М!O86-d3П!O86</f>
        <v>7672111</v>
      </c>
      <c r="P89" s="328">
        <f>d3М!P86-d3П!P86</f>
        <v>7672111</v>
      </c>
      <c r="Q89" s="36"/>
      <c r="R89" s="26"/>
    </row>
    <row r="90" spans="1:18" s="33" customFormat="1" ht="184.5" thickTop="1" thickBot="1" x14ac:dyDescent="0.25">
      <c r="A90" s="103" t="s">
        <v>1571</v>
      </c>
      <c r="B90" s="103" t="s">
        <v>1569</v>
      </c>
      <c r="C90" s="103" t="s">
        <v>210</v>
      </c>
      <c r="D90" s="103" t="s">
        <v>1572</v>
      </c>
      <c r="E90" s="328">
        <f>d3М!E87-d3П!E87</f>
        <v>0</v>
      </c>
      <c r="F90" s="328">
        <f>d3М!F87-d3П!F87</f>
        <v>0</v>
      </c>
      <c r="G90" s="328">
        <f>d3М!G87-d3П!G87</f>
        <v>0</v>
      </c>
      <c r="H90" s="328">
        <f>d3М!H87-d3П!H87</f>
        <v>0</v>
      </c>
      <c r="I90" s="328">
        <f>d3М!I87-d3П!I87</f>
        <v>0</v>
      </c>
      <c r="J90" s="328">
        <f>d3М!J87-d3П!J87</f>
        <v>0</v>
      </c>
      <c r="K90" s="328">
        <f>d3М!K87-d3П!K87</f>
        <v>0</v>
      </c>
      <c r="L90" s="328">
        <f>d3М!L87-d3П!L87</f>
        <v>0</v>
      </c>
      <c r="M90" s="328">
        <f>d3М!M87-d3П!M87</f>
        <v>0</v>
      </c>
      <c r="N90" s="328">
        <f>d3М!N87-d3П!N87</f>
        <v>0</v>
      </c>
      <c r="O90" s="328">
        <f>d3М!O87-d3П!O87</f>
        <v>0</v>
      </c>
      <c r="P90" s="328">
        <f>d3М!P87-d3П!P87</f>
        <v>0</v>
      </c>
      <c r="Q90" s="36"/>
      <c r="R90" s="26"/>
    </row>
    <row r="91" spans="1:18" s="33" customFormat="1" ht="219" customHeight="1" thickTop="1" thickBot="1" x14ac:dyDescent="0.25">
      <c r="A91" s="103" t="s">
        <v>1573</v>
      </c>
      <c r="B91" s="103" t="s">
        <v>1574</v>
      </c>
      <c r="C91" s="103" t="s">
        <v>210</v>
      </c>
      <c r="D91" s="103" t="s">
        <v>1575</v>
      </c>
      <c r="E91" s="328">
        <f>d3М!E88-d3П!E88</f>
        <v>0</v>
      </c>
      <c r="F91" s="328">
        <f>d3М!F88-d3П!F88</f>
        <v>0</v>
      </c>
      <c r="G91" s="328">
        <f>d3М!G88-d3П!G88</f>
        <v>0</v>
      </c>
      <c r="H91" s="328">
        <f>d3М!H88-d3П!H88</f>
        <v>0</v>
      </c>
      <c r="I91" s="328">
        <f>d3М!I88-d3П!I88</f>
        <v>0</v>
      </c>
      <c r="J91" s="328">
        <f>d3М!J88-d3П!J88</f>
        <v>7672111</v>
      </c>
      <c r="K91" s="328">
        <f>d3М!K88-d3П!K88</f>
        <v>0</v>
      </c>
      <c r="L91" s="328">
        <f>d3М!L88-d3П!L88</f>
        <v>0</v>
      </c>
      <c r="M91" s="328">
        <f>d3М!M88-d3П!M88</f>
        <v>0</v>
      </c>
      <c r="N91" s="328">
        <f>d3М!N88-d3П!N88</f>
        <v>0</v>
      </c>
      <c r="O91" s="328">
        <f>d3М!O88-d3П!O88</f>
        <v>7672111</v>
      </c>
      <c r="P91" s="328">
        <f>d3М!P88-d3П!P88</f>
        <v>7672111</v>
      </c>
      <c r="Q91" s="36"/>
      <c r="R91" s="26"/>
    </row>
    <row r="92" spans="1:18" s="33" customFormat="1" ht="47.25" thickTop="1" thickBot="1" x14ac:dyDescent="0.25">
      <c r="A92" s="311" t="s">
        <v>710</v>
      </c>
      <c r="B92" s="311" t="s">
        <v>711</v>
      </c>
      <c r="C92" s="311"/>
      <c r="D92" s="311" t="s">
        <v>712</v>
      </c>
      <c r="E92" s="328">
        <f>d3М!E89-d3П!E89</f>
        <v>0</v>
      </c>
      <c r="F92" s="328">
        <f>d3М!F89-d3П!F89</f>
        <v>0</v>
      </c>
      <c r="G92" s="328">
        <f>d3М!G89-d3П!G89</f>
        <v>0</v>
      </c>
      <c r="H92" s="328">
        <f>d3М!H89-d3П!H89</f>
        <v>0</v>
      </c>
      <c r="I92" s="328">
        <f>d3М!I89-d3П!I89</f>
        <v>0</v>
      </c>
      <c r="J92" s="328">
        <f>d3М!J89-d3П!J89</f>
        <v>0</v>
      </c>
      <c r="K92" s="328">
        <f>d3М!K89-d3П!K89</f>
        <v>0</v>
      </c>
      <c r="L92" s="328">
        <f>d3М!L89-d3П!L89</f>
        <v>0</v>
      </c>
      <c r="M92" s="328">
        <f>d3М!M89-d3П!M89</f>
        <v>0</v>
      </c>
      <c r="N92" s="328">
        <f>d3М!N89-d3П!N89</f>
        <v>0</v>
      </c>
      <c r="O92" s="328">
        <f>d3М!O89-d3П!O89</f>
        <v>0</v>
      </c>
      <c r="P92" s="328">
        <f>d3М!P89-d3П!P89</f>
        <v>0</v>
      </c>
      <c r="Q92" s="36"/>
      <c r="R92" s="26"/>
    </row>
    <row r="93" spans="1:18" s="33" customFormat="1" ht="167.25" customHeight="1" thickTop="1" thickBot="1" x14ac:dyDescent="0.25">
      <c r="A93" s="103" t="s">
        <v>431</v>
      </c>
      <c r="B93" s="103" t="s">
        <v>432</v>
      </c>
      <c r="C93" s="103" t="s">
        <v>185</v>
      </c>
      <c r="D93" s="103" t="s">
        <v>430</v>
      </c>
      <c r="E93" s="328">
        <f>d3М!E90-d3П!E90</f>
        <v>0</v>
      </c>
      <c r="F93" s="328">
        <f>d3М!F90-d3П!F90</f>
        <v>0</v>
      </c>
      <c r="G93" s="328">
        <f>d3М!G90-d3П!G90</f>
        <v>0</v>
      </c>
      <c r="H93" s="328">
        <f>d3М!H90-d3П!H90</f>
        <v>0</v>
      </c>
      <c r="I93" s="328">
        <f>d3М!I90-d3П!I90</f>
        <v>0</v>
      </c>
      <c r="J93" s="328">
        <f>d3М!J90-d3П!J90</f>
        <v>0</v>
      </c>
      <c r="K93" s="328">
        <f>d3М!K90-d3П!K90</f>
        <v>0</v>
      </c>
      <c r="L93" s="328">
        <f>d3М!L90-d3П!L90</f>
        <v>0</v>
      </c>
      <c r="M93" s="328">
        <f>d3М!M90-d3П!M90</f>
        <v>0</v>
      </c>
      <c r="N93" s="328">
        <f>d3М!N90-d3П!N90</f>
        <v>0</v>
      </c>
      <c r="O93" s="328">
        <f>d3М!O90-d3П!O90</f>
        <v>0</v>
      </c>
      <c r="P93" s="328">
        <f>d3М!P90-d3П!P90</f>
        <v>0</v>
      </c>
      <c r="Q93" s="36"/>
      <c r="R93" s="39"/>
    </row>
    <row r="94" spans="1:18" s="33" customFormat="1" ht="114.75" customHeight="1" thickTop="1" thickBot="1" x14ac:dyDescent="0.25">
      <c r="A94" s="103" t="s">
        <v>1233</v>
      </c>
      <c r="B94" s="103" t="s">
        <v>1200</v>
      </c>
      <c r="C94" s="103" t="s">
        <v>206</v>
      </c>
      <c r="D94" s="470" t="s">
        <v>1201</v>
      </c>
      <c r="E94" s="328">
        <f>d3М!E91-d3П!E91</f>
        <v>0</v>
      </c>
      <c r="F94" s="328">
        <f>d3М!F91-d3П!F91</f>
        <v>0</v>
      </c>
      <c r="G94" s="328">
        <f>d3М!G91-d3П!G91</f>
        <v>0</v>
      </c>
      <c r="H94" s="328">
        <f>d3М!H91-d3П!H91</f>
        <v>0</v>
      </c>
      <c r="I94" s="328">
        <f>d3М!I91-d3П!I91</f>
        <v>0</v>
      </c>
      <c r="J94" s="328">
        <f>d3М!J91-d3П!J91</f>
        <v>0</v>
      </c>
      <c r="K94" s="328">
        <f>d3М!K91-d3П!K91</f>
        <v>0</v>
      </c>
      <c r="L94" s="328">
        <f>d3М!L91-d3П!L91</f>
        <v>0</v>
      </c>
      <c r="M94" s="328">
        <f>d3М!M91-d3П!M91</f>
        <v>0</v>
      </c>
      <c r="N94" s="328">
        <f>d3М!N91-d3П!N91</f>
        <v>0</v>
      </c>
      <c r="O94" s="328">
        <f>d3М!O91-d3П!O91</f>
        <v>0</v>
      </c>
      <c r="P94" s="328">
        <f>d3М!P91-d3П!P91</f>
        <v>0</v>
      </c>
      <c r="Q94" s="36"/>
      <c r="R94" s="39"/>
    </row>
    <row r="95" spans="1:18" s="33" customFormat="1" ht="57" customHeight="1" thickTop="1" thickBot="1" x14ac:dyDescent="0.25">
      <c r="A95" s="311" t="s">
        <v>1089</v>
      </c>
      <c r="B95" s="311" t="s">
        <v>748</v>
      </c>
      <c r="C95" s="311"/>
      <c r="D95" s="311" t="s">
        <v>1088</v>
      </c>
      <c r="E95" s="328">
        <f>d3М!E92-d3П!E92</f>
        <v>0</v>
      </c>
      <c r="F95" s="328">
        <f>d3М!F92-d3П!F92</f>
        <v>0</v>
      </c>
      <c r="G95" s="328">
        <f>d3М!G92-d3П!G92</f>
        <v>0</v>
      </c>
      <c r="H95" s="328">
        <f>d3М!H92-d3П!H92</f>
        <v>0</v>
      </c>
      <c r="I95" s="328">
        <f>d3М!I92-d3П!I92</f>
        <v>0</v>
      </c>
      <c r="J95" s="328">
        <f>d3М!J92-d3П!J92</f>
        <v>0</v>
      </c>
      <c r="K95" s="328">
        <f>d3М!K92-d3П!K92</f>
        <v>0</v>
      </c>
      <c r="L95" s="328">
        <f>d3М!L92-d3П!L92</f>
        <v>0</v>
      </c>
      <c r="M95" s="328">
        <f>d3М!M92-d3П!M92</f>
        <v>0</v>
      </c>
      <c r="N95" s="328">
        <f>d3М!N92-d3П!N92</f>
        <v>0</v>
      </c>
      <c r="O95" s="328">
        <f>d3М!O92-d3П!O92</f>
        <v>0</v>
      </c>
      <c r="P95" s="328">
        <f>d3М!P92-d3П!P92</f>
        <v>0</v>
      </c>
      <c r="Q95" s="36"/>
      <c r="R95" s="26"/>
    </row>
    <row r="96" spans="1:18" s="33" customFormat="1" ht="57" customHeight="1" thickTop="1" thickBot="1" x14ac:dyDescent="0.25">
      <c r="A96" s="313" t="s">
        <v>1087</v>
      </c>
      <c r="B96" s="313" t="s">
        <v>803</v>
      </c>
      <c r="C96" s="313"/>
      <c r="D96" s="313" t="s">
        <v>804</v>
      </c>
      <c r="E96" s="328">
        <f>d3М!E93-d3П!E93</f>
        <v>0</v>
      </c>
      <c r="F96" s="328">
        <f>d3М!F93-d3П!F93</f>
        <v>0</v>
      </c>
      <c r="G96" s="328">
        <f>d3М!G93-d3П!G93</f>
        <v>0</v>
      </c>
      <c r="H96" s="328">
        <f>d3М!H93-d3П!H93</f>
        <v>0</v>
      </c>
      <c r="I96" s="328">
        <f>d3М!I93-d3П!I93</f>
        <v>0</v>
      </c>
      <c r="J96" s="328">
        <f>d3М!J93-d3П!J93</f>
        <v>0</v>
      </c>
      <c r="K96" s="328">
        <f>d3М!K93-d3П!K93</f>
        <v>0</v>
      </c>
      <c r="L96" s="328">
        <f>d3М!L93-d3П!L93</f>
        <v>0</v>
      </c>
      <c r="M96" s="328">
        <f>d3М!M93-d3П!M93</f>
        <v>0</v>
      </c>
      <c r="N96" s="328">
        <f>d3М!N93-d3П!N93</f>
        <v>0</v>
      </c>
      <c r="O96" s="328">
        <f>d3М!O93-d3П!O93</f>
        <v>0</v>
      </c>
      <c r="P96" s="328">
        <f>d3М!P93-d3П!P93</f>
        <v>0</v>
      </c>
      <c r="Q96" s="36"/>
      <c r="R96" s="26"/>
    </row>
    <row r="97" spans="1:18" s="33" customFormat="1" ht="54" thickTop="1" thickBot="1" x14ac:dyDescent="0.25">
      <c r="A97" s="329" t="s">
        <v>1090</v>
      </c>
      <c r="B97" s="329" t="s">
        <v>821</v>
      </c>
      <c r="C97" s="329"/>
      <c r="D97" s="329" t="s">
        <v>1524</v>
      </c>
      <c r="E97" s="328">
        <f>d3М!E94-d3П!E94</f>
        <v>0</v>
      </c>
      <c r="F97" s="328">
        <f>d3М!F94-d3П!F94</f>
        <v>0</v>
      </c>
      <c r="G97" s="328">
        <f>d3М!G94-d3П!G94</f>
        <v>0</v>
      </c>
      <c r="H97" s="328">
        <f>d3М!H94-d3П!H94</f>
        <v>0</v>
      </c>
      <c r="I97" s="328">
        <f>d3М!I94-d3П!I94</f>
        <v>0</v>
      </c>
      <c r="J97" s="328">
        <f>d3М!J94-d3П!J94</f>
        <v>0</v>
      </c>
      <c r="K97" s="328">
        <f>d3М!K94-d3П!K94</f>
        <v>0</v>
      </c>
      <c r="L97" s="328">
        <f>d3М!L94-d3П!L94</f>
        <v>0</v>
      </c>
      <c r="M97" s="328">
        <f>d3М!M94-d3П!M94</f>
        <v>0</v>
      </c>
      <c r="N97" s="328">
        <f>d3М!N94-d3П!N94</f>
        <v>0</v>
      </c>
      <c r="O97" s="328">
        <f>d3М!O94-d3П!O94</f>
        <v>0</v>
      </c>
      <c r="P97" s="328">
        <f>d3М!P94-d3П!P94</f>
        <v>0</v>
      </c>
      <c r="Q97" s="36"/>
      <c r="R97" s="26"/>
    </row>
    <row r="98" spans="1:18" s="33" customFormat="1" ht="57" customHeight="1" thickTop="1" thickBot="1" x14ac:dyDescent="0.25">
      <c r="A98" s="103" t="s">
        <v>1102</v>
      </c>
      <c r="B98" s="103" t="s">
        <v>311</v>
      </c>
      <c r="C98" s="103" t="s">
        <v>304</v>
      </c>
      <c r="D98" s="103" t="s">
        <v>1504</v>
      </c>
      <c r="E98" s="328">
        <f>d3М!E95-d3П!E95</f>
        <v>0</v>
      </c>
      <c r="F98" s="328">
        <f>d3М!F95-d3П!F95</f>
        <v>0</v>
      </c>
      <c r="G98" s="328">
        <f>d3М!G95-d3П!G95</f>
        <v>0</v>
      </c>
      <c r="H98" s="328">
        <f>d3М!H95-d3П!H95</f>
        <v>0</v>
      </c>
      <c r="I98" s="328">
        <f>d3М!I95-d3П!I95</f>
        <v>0</v>
      </c>
      <c r="J98" s="328">
        <f>d3М!J95-d3П!J95</f>
        <v>0</v>
      </c>
      <c r="K98" s="328">
        <f>d3М!K95-d3П!K95</f>
        <v>0</v>
      </c>
      <c r="L98" s="328">
        <f>d3М!L95-d3П!L95</f>
        <v>0</v>
      </c>
      <c r="M98" s="328">
        <f>d3М!M95-d3П!M95</f>
        <v>0</v>
      </c>
      <c r="N98" s="328">
        <f>d3М!N95-d3П!N95</f>
        <v>0</v>
      </c>
      <c r="O98" s="328">
        <f>d3М!O95-d3П!O95</f>
        <v>0</v>
      </c>
      <c r="P98" s="328">
        <f>d3М!P95-d3П!P95</f>
        <v>0</v>
      </c>
      <c r="Q98" s="30"/>
      <c r="R98" s="26"/>
    </row>
    <row r="99" spans="1:18" s="33" customFormat="1" ht="57" customHeight="1" thickTop="1" thickBot="1" x14ac:dyDescent="0.25">
      <c r="A99" s="313" t="s">
        <v>1091</v>
      </c>
      <c r="B99" s="313" t="s">
        <v>691</v>
      </c>
      <c r="C99" s="313"/>
      <c r="D99" s="313" t="s">
        <v>689</v>
      </c>
      <c r="E99" s="328">
        <f>d3М!E96-d3П!E96</f>
        <v>0</v>
      </c>
      <c r="F99" s="328">
        <f>d3М!F96-d3П!F96</f>
        <v>0</v>
      </c>
      <c r="G99" s="328">
        <f>d3М!G96-d3П!G96</f>
        <v>0</v>
      </c>
      <c r="H99" s="328">
        <f>d3М!H96-d3П!H96</f>
        <v>0</v>
      </c>
      <c r="I99" s="328">
        <f>d3М!I96-d3П!I96</f>
        <v>0</v>
      </c>
      <c r="J99" s="328">
        <f>d3М!J96-d3П!J96</f>
        <v>0</v>
      </c>
      <c r="K99" s="328">
        <f>d3М!K96-d3П!K96</f>
        <v>0</v>
      </c>
      <c r="L99" s="328">
        <f>d3М!L96-d3П!L96</f>
        <v>0</v>
      </c>
      <c r="M99" s="328">
        <f>d3М!M96-d3П!M96</f>
        <v>0</v>
      </c>
      <c r="N99" s="328">
        <f>d3М!N96-d3П!N96</f>
        <v>0</v>
      </c>
      <c r="O99" s="328">
        <f>d3М!O96-d3П!O96</f>
        <v>0</v>
      </c>
      <c r="P99" s="328">
        <f>d3М!P96-d3П!P96</f>
        <v>0</v>
      </c>
      <c r="Q99" s="30"/>
      <c r="R99" s="26"/>
    </row>
    <row r="100" spans="1:18" s="33" customFormat="1" ht="57" customHeight="1" thickTop="1" thickBot="1" x14ac:dyDescent="0.25">
      <c r="A100" s="103" t="s">
        <v>1092</v>
      </c>
      <c r="B100" s="103" t="s">
        <v>212</v>
      </c>
      <c r="C100" s="103" t="s">
        <v>213</v>
      </c>
      <c r="D100" s="103" t="s">
        <v>41</v>
      </c>
      <c r="E100" s="328">
        <f>d3М!E97-d3П!E97</f>
        <v>0</v>
      </c>
      <c r="F100" s="328">
        <f>d3М!F97-d3П!F97</f>
        <v>0</v>
      </c>
      <c r="G100" s="328">
        <f>d3М!G97-d3П!G97</f>
        <v>0</v>
      </c>
      <c r="H100" s="328">
        <f>d3М!H97-d3П!H97</f>
        <v>0</v>
      </c>
      <c r="I100" s="328">
        <f>d3М!I97-d3П!I97</f>
        <v>0</v>
      </c>
      <c r="J100" s="328">
        <f>d3М!J97-d3П!J97</f>
        <v>0</v>
      </c>
      <c r="K100" s="328">
        <f>d3М!K97-d3П!K97</f>
        <v>0</v>
      </c>
      <c r="L100" s="328">
        <f>d3М!L97-d3П!L97</f>
        <v>0</v>
      </c>
      <c r="M100" s="328">
        <f>d3М!M97-d3П!M97</f>
        <v>0</v>
      </c>
      <c r="N100" s="328">
        <f>d3М!N97-d3П!N97</f>
        <v>0</v>
      </c>
      <c r="O100" s="328">
        <f>d3М!O97-d3П!O97</f>
        <v>0</v>
      </c>
      <c r="P100" s="328">
        <f>d3М!P97-d3П!P97</f>
        <v>0</v>
      </c>
      <c r="Q100" s="30"/>
      <c r="R100" s="26"/>
    </row>
    <row r="101" spans="1:18" s="33" customFormat="1" ht="47.25" hidden="1" thickTop="1" thickBot="1" x14ac:dyDescent="0.25">
      <c r="A101" s="125" t="s">
        <v>1224</v>
      </c>
      <c r="B101" s="125" t="s">
        <v>696</v>
      </c>
      <c r="C101" s="125"/>
      <c r="D101" s="125" t="s">
        <v>697</v>
      </c>
      <c r="E101" s="127">
        <f t="shared" ref="E101:P102" si="8">E102</f>
        <v>0</v>
      </c>
      <c r="F101" s="127">
        <f t="shared" si="8"/>
        <v>0</v>
      </c>
      <c r="G101" s="127">
        <f t="shared" si="8"/>
        <v>0</v>
      </c>
      <c r="H101" s="127">
        <f t="shared" si="8"/>
        <v>0</v>
      </c>
      <c r="I101" s="127">
        <f t="shared" si="8"/>
        <v>0</v>
      </c>
      <c r="J101" s="127">
        <f t="shared" si="8"/>
        <v>0</v>
      </c>
      <c r="K101" s="127">
        <f t="shared" si="8"/>
        <v>0</v>
      </c>
      <c r="L101" s="127">
        <f t="shared" si="8"/>
        <v>0</v>
      </c>
      <c r="M101" s="127">
        <f t="shared" si="8"/>
        <v>0</v>
      </c>
      <c r="N101" s="127">
        <f t="shared" si="8"/>
        <v>0</v>
      </c>
      <c r="O101" s="127">
        <f t="shared" si="8"/>
        <v>0</v>
      </c>
      <c r="P101" s="127">
        <f t="shared" si="8"/>
        <v>0</v>
      </c>
      <c r="Q101" s="30"/>
      <c r="R101" s="26"/>
    </row>
    <row r="102" spans="1:18" s="33" customFormat="1" ht="47.25" hidden="1" thickTop="1" thickBot="1" x14ac:dyDescent="0.25">
      <c r="A102" s="136" t="s">
        <v>1225</v>
      </c>
      <c r="B102" s="136" t="s">
        <v>1186</v>
      </c>
      <c r="C102" s="136"/>
      <c r="D102" s="136" t="s">
        <v>1184</v>
      </c>
      <c r="E102" s="137">
        <f t="shared" si="8"/>
        <v>0</v>
      </c>
      <c r="F102" s="137">
        <f t="shared" si="8"/>
        <v>0</v>
      </c>
      <c r="G102" s="137">
        <f t="shared" si="8"/>
        <v>0</v>
      </c>
      <c r="H102" s="137">
        <f t="shared" si="8"/>
        <v>0</v>
      </c>
      <c r="I102" s="137">
        <f t="shared" si="8"/>
        <v>0</v>
      </c>
      <c r="J102" s="137">
        <f t="shared" si="8"/>
        <v>0</v>
      </c>
      <c r="K102" s="137">
        <f t="shared" si="8"/>
        <v>0</v>
      </c>
      <c r="L102" s="137">
        <f t="shared" si="8"/>
        <v>0</v>
      </c>
      <c r="M102" s="137">
        <f t="shared" si="8"/>
        <v>0</v>
      </c>
      <c r="N102" s="137">
        <f t="shared" si="8"/>
        <v>0</v>
      </c>
      <c r="O102" s="137">
        <f t="shared" si="8"/>
        <v>0</v>
      </c>
      <c r="P102" s="137">
        <f t="shared" si="8"/>
        <v>0</v>
      </c>
      <c r="Q102" s="30"/>
      <c r="R102" s="26"/>
    </row>
    <row r="103" spans="1:18" s="33" customFormat="1" ht="48" hidden="1" thickTop="1" thickBot="1" x14ac:dyDescent="0.25">
      <c r="A103" s="128" t="s">
        <v>1226</v>
      </c>
      <c r="B103" s="128" t="s">
        <v>1190</v>
      </c>
      <c r="C103" s="128" t="s">
        <v>1188</v>
      </c>
      <c r="D103" s="128" t="s">
        <v>1187</v>
      </c>
      <c r="E103" s="127">
        <f>F103</f>
        <v>0</v>
      </c>
      <c r="F103" s="134"/>
      <c r="G103" s="134"/>
      <c r="H103" s="134"/>
      <c r="I103" s="134"/>
      <c r="J103" s="127">
        <f>L103+O103</f>
        <v>0</v>
      </c>
      <c r="K103" s="134">
        <v>0</v>
      </c>
      <c r="L103" s="134"/>
      <c r="M103" s="134"/>
      <c r="N103" s="134"/>
      <c r="O103" s="132">
        <f>K103</f>
        <v>0</v>
      </c>
      <c r="P103" s="127">
        <f>E103+J103</f>
        <v>0</v>
      </c>
      <c r="Q103" s="30"/>
      <c r="R103" s="26"/>
    </row>
    <row r="104" spans="1:18" s="33" customFormat="1" ht="47.25" hidden="1" customHeight="1" thickTop="1" thickBot="1" x14ac:dyDescent="0.25">
      <c r="A104" s="146" t="s">
        <v>1028</v>
      </c>
      <c r="B104" s="146" t="s">
        <v>702</v>
      </c>
      <c r="C104" s="146"/>
      <c r="D104" s="146" t="s">
        <v>703</v>
      </c>
      <c r="E104" s="42">
        <f>E105</f>
        <v>0</v>
      </c>
      <c r="F104" s="42">
        <f t="shared" ref="F104:P105" si="9">F105</f>
        <v>0</v>
      </c>
      <c r="G104" s="42">
        <f t="shared" si="9"/>
        <v>0</v>
      </c>
      <c r="H104" s="42">
        <f t="shared" si="9"/>
        <v>0</v>
      </c>
      <c r="I104" s="42">
        <f t="shared" si="9"/>
        <v>0</v>
      </c>
      <c r="J104" s="42">
        <f t="shared" si="9"/>
        <v>0</v>
      </c>
      <c r="K104" s="42">
        <f t="shared" si="9"/>
        <v>0</v>
      </c>
      <c r="L104" s="42">
        <f t="shared" si="9"/>
        <v>0</v>
      </c>
      <c r="M104" s="42">
        <f t="shared" si="9"/>
        <v>0</v>
      </c>
      <c r="N104" s="42">
        <f t="shared" si="9"/>
        <v>0</v>
      </c>
      <c r="O104" s="42">
        <f t="shared" si="9"/>
        <v>0</v>
      </c>
      <c r="P104" s="42">
        <f t="shared" si="9"/>
        <v>0</v>
      </c>
      <c r="Q104" s="36"/>
      <c r="R104" s="26"/>
    </row>
    <row r="105" spans="1:18" s="33" customFormat="1" ht="91.5" hidden="1" thickTop="1" thickBot="1" x14ac:dyDescent="0.25">
      <c r="A105" s="147" t="s">
        <v>1029</v>
      </c>
      <c r="B105" s="147" t="s">
        <v>705</v>
      </c>
      <c r="C105" s="147"/>
      <c r="D105" s="147" t="s">
        <v>706</v>
      </c>
      <c r="E105" s="148">
        <f>E106</f>
        <v>0</v>
      </c>
      <c r="F105" s="148">
        <f t="shared" si="9"/>
        <v>0</v>
      </c>
      <c r="G105" s="148">
        <f t="shared" si="9"/>
        <v>0</v>
      </c>
      <c r="H105" s="148">
        <f t="shared" si="9"/>
        <v>0</v>
      </c>
      <c r="I105" s="148">
        <f t="shared" si="9"/>
        <v>0</v>
      </c>
      <c r="J105" s="148">
        <f t="shared" si="9"/>
        <v>0</v>
      </c>
      <c r="K105" s="148">
        <f t="shared" si="9"/>
        <v>0</v>
      </c>
      <c r="L105" s="148">
        <f t="shared" si="9"/>
        <v>0</v>
      </c>
      <c r="M105" s="148">
        <f t="shared" si="9"/>
        <v>0</v>
      </c>
      <c r="N105" s="148">
        <f t="shared" si="9"/>
        <v>0</v>
      </c>
      <c r="O105" s="148">
        <f t="shared" si="9"/>
        <v>0</v>
      </c>
      <c r="P105" s="148">
        <f t="shared" si="9"/>
        <v>0</v>
      </c>
      <c r="Q105" s="36"/>
      <c r="R105" s="26"/>
    </row>
    <row r="106" spans="1:18" s="33" customFormat="1" ht="48" hidden="1" thickTop="1" thickBot="1" x14ac:dyDescent="0.25">
      <c r="A106" s="41" t="s">
        <v>1030</v>
      </c>
      <c r="B106" s="41" t="s">
        <v>363</v>
      </c>
      <c r="C106" s="41" t="s">
        <v>43</v>
      </c>
      <c r="D106" s="41" t="s">
        <v>364</v>
      </c>
      <c r="E106" s="42">
        <f t="shared" ref="E106" si="10">F106</f>
        <v>0</v>
      </c>
      <c r="F106" s="43"/>
      <c r="G106" s="43"/>
      <c r="H106" s="43"/>
      <c r="I106" s="43"/>
      <c r="J106" s="42">
        <f>L106+O106</f>
        <v>0</v>
      </c>
      <c r="K106" s="43"/>
      <c r="L106" s="43"/>
      <c r="M106" s="43"/>
      <c r="N106" s="43"/>
      <c r="O106" s="44">
        <f>K106</f>
        <v>0</v>
      </c>
      <c r="P106" s="42">
        <f>E106+J106</f>
        <v>0</v>
      </c>
      <c r="Q106" s="36"/>
      <c r="R106" s="26"/>
    </row>
    <row r="107" spans="1:18" ht="120" customHeight="1" thickTop="1" thickBot="1" x14ac:dyDescent="0.25">
      <c r="A107" s="661" t="s">
        <v>154</v>
      </c>
      <c r="B107" s="661"/>
      <c r="C107" s="661"/>
      <c r="D107" s="662" t="s">
        <v>18</v>
      </c>
      <c r="E107" s="663">
        <f>E108</f>
        <v>0</v>
      </c>
      <c r="F107" s="664">
        <f t="shared" ref="F107:G107" si="11">F108</f>
        <v>0</v>
      </c>
      <c r="G107" s="664">
        <f t="shared" si="11"/>
        <v>0</v>
      </c>
      <c r="H107" s="664">
        <f>H108</f>
        <v>0</v>
      </c>
      <c r="I107" s="664">
        <f t="shared" ref="I107" si="12">I108</f>
        <v>0</v>
      </c>
      <c r="J107" s="663">
        <f>J108</f>
        <v>0</v>
      </c>
      <c r="K107" s="664">
        <f>K108</f>
        <v>0</v>
      </c>
      <c r="L107" s="664">
        <f>L108</f>
        <v>0</v>
      </c>
      <c r="M107" s="664">
        <f t="shared" ref="M107" si="13">M108</f>
        <v>0</v>
      </c>
      <c r="N107" s="664">
        <f>N108</f>
        <v>0</v>
      </c>
      <c r="O107" s="663">
        <f>O108</f>
        <v>0</v>
      </c>
      <c r="P107" s="664">
        <f>P108</f>
        <v>0</v>
      </c>
      <c r="Q107" s="20"/>
    </row>
    <row r="108" spans="1:18" ht="120" customHeight="1" thickTop="1" thickBot="1" x14ac:dyDescent="0.25">
      <c r="A108" s="658" t="s">
        <v>155</v>
      </c>
      <c r="B108" s="658"/>
      <c r="C108" s="658"/>
      <c r="D108" s="659" t="s">
        <v>36</v>
      </c>
      <c r="E108" s="660">
        <f>E109+E112+E129+E127</f>
        <v>0</v>
      </c>
      <c r="F108" s="660">
        <f t="shared" ref="F108:P108" si="14">F109+F112+F129+F127</f>
        <v>0</v>
      </c>
      <c r="G108" s="660">
        <f t="shared" si="14"/>
        <v>0</v>
      </c>
      <c r="H108" s="660">
        <f t="shared" si="14"/>
        <v>0</v>
      </c>
      <c r="I108" s="660">
        <f t="shared" si="14"/>
        <v>0</v>
      </c>
      <c r="J108" s="660">
        <f t="shared" si="14"/>
        <v>0</v>
      </c>
      <c r="K108" s="660">
        <f t="shared" si="14"/>
        <v>0</v>
      </c>
      <c r="L108" s="660">
        <f t="shared" si="14"/>
        <v>0</v>
      </c>
      <c r="M108" s="660">
        <f t="shared" si="14"/>
        <v>0</v>
      </c>
      <c r="N108" s="660">
        <f t="shared" si="14"/>
        <v>0</v>
      </c>
      <c r="O108" s="660">
        <f t="shared" si="14"/>
        <v>0</v>
      </c>
      <c r="P108" s="660">
        <f t="shared" si="14"/>
        <v>0</v>
      </c>
      <c r="Q108" s="565" t="b">
        <f>P108=P110+P113+P114+P115+P116+P119+P123+P124+P128+P132+P126+P136</f>
        <v>1</v>
      </c>
      <c r="R108" s="26"/>
    </row>
    <row r="109" spans="1:18" ht="47.25" thickTop="1" thickBot="1" x14ac:dyDescent="0.25">
      <c r="A109" s="311" t="s">
        <v>713</v>
      </c>
      <c r="B109" s="311" t="s">
        <v>684</v>
      </c>
      <c r="C109" s="311"/>
      <c r="D109" s="311" t="s">
        <v>685</v>
      </c>
      <c r="E109" s="328">
        <f>d3М!E106-d3П!E106</f>
        <v>0</v>
      </c>
      <c r="F109" s="328">
        <f>d3М!F106-d3П!F106</f>
        <v>0</v>
      </c>
      <c r="G109" s="328">
        <f>d3М!G106-d3П!G106</f>
        <v>0</v>
      </c>
      <c r="H109" s="328">
        <f>d3М!H106-d3П!H106</f>
        <v>0</v>
      </c>
      <c r="I109" s="328">
        <f>d3М!I106-d3П!I106</f>
        <v>0</v>
      </c>
      <c r="J109" s="328">
        <f>d3М!J106-d3П!J106</f>
        <v>0</v>
      </c>
      <c r="K109" s="328">
        <f>d3М!K106-d3П!K106</f>
        <v>0</v>
      </c>
      <c r="L109" s="328">
        <f>d3М!L106-d3П!L106</f>
        <v>0</v>
      </c>
      <c r="M109" s="328">
        <f>d3М!M106-d3П!M106</f>
        <v>0</v>
      </c>
      <c r="N109" s="328">
        <f>d3М!N106-d3П!N106</f>
        <v>0</v>
      </c>
      <c r="O109" s="328">
        <f>d3М!O106-d3П!O106</f>
        <v>0</v>
      </c>
      <c r="P109" s="328">
        <f>d3М!P106-d3П!P106</f>
        <v>0</v>
      </c>
      <c r="Q109" s="30"/>
      <c r="R109" s="26"/>
    </row>
    <row r="110" spans="1:18" ht="93" thickTop="1" thickBot="1" x14ac:dyDescent="0.25">
      <c r="A110" s="103" t="s">
        <v>416</v>
      </c>
      <c r="B110" s="103" t="s">
        <v>236</v>
      </c>
      <c r="C110" s="103" t="s">
        <v>234</v>
      </c>
      <c r="D110" s="103" t="s">
        <v>235</v>
      </c>
      <c r="E110" s="328">
        <f>d3М!E107-d3П!E107</f>
        <v>0</v>
      </c>
      <c r="F110" s="328">
        <f>d3М!F107-d3П!F107</f>
        <v>0</v>
      </c>
      <c r="G110" s="328">
        <f>d3М!G107-d3П!G107</f>
        <v>0</v>
      </c>
      <c r="H110" s="328">
        <f>d3М!H107-d3П!H107</f>
        <v>0</v>
      </c>
      <c r="I110" s="328">
        <f>d3М!I107-d3П!I107</f>
        <v>0</v>
      </c>
      <c r="J110" s="328">
        <f>d3М!J107-d3П!J107</f>
        <v>0</v>
      </c>
      <c r="K110" s="328">
        <f>d3М!K107-d3П!K107</f>
        <v>0</v>
      </c>
      <c r="L110" s="328">
        <f>d3М!L107-d3П!L107</f>
        <v>0</v>
      </c>
      <c r="M110" s="328">
        <f>d3М!M107-d3П!M107</f>
        <v>0</v>
      </c>
      <c r="N110" s="328">
        <f>d3М!N107-d3П!N107</f>
        <v>0</v>
      </c>
      <c r="O110" s="328">
        <f>d3М!O107-d3П!O107</f>
        <v>0</v>
      </c>
      <c r="P110" s="328">
        <f>d3М!P107-d3П!P107</f>
        <v>0</v>
      </c>
      <c r="Q110" s="39"/>
      <c r="R110" s="26"/>
    </row>
    <row r="111" spans="1:18" ht="93" hidden="1" thickTop="1" thickBot="1" x14ac:dyDescent="0.25">
      <c r="A111" s="128" t="s">
        <v>1257</v>
      </c>
      <c r="B111" s="128" t="s">
        <v>362</v>
      </c>
      <c r="C111" s="128" t="s">
        <v>625</v>
      </c>
      <c r="D111" s="128" t="s">
        <v>626</v>
      </c>
      <c r="E111" s="328">
        <f>d3М!E108-d3П!E108</f>
        <v>0</v>
      </c>
      <c r="F111" s="328">
        <f>d3М!F108-d3П!F108</f>
        <v>0</v>
      </c>
      <c r="G111" s="328">
        <f>d3М!G108-d3П!G108</f>
        <v>0</v>
      </c>
      <c r="H111" s="328">
        <f>d3М!H108-d3П!H108</f>
        <v>0</v>
      </c>
      <c r="I111" s="328">
        <f>d3М!I108-d3П!I108</f>
        <v>0</v>
      </c>
      <c r="J111" s="328">
        <f>d3М!J108-d3П!J108</f>
        <v>0</v>
      </c>
      <c r="K111" s="328">
        <f>d3М!K108-d3П!K108</f>
        <v>0</v>
      </c>
      <c r="L111" s="328">
        <f>d3М!L108-d3П!L108</f>
        <v>0</v>
      </c>
      <c r="M111" s="328">
        <f>d3М!M108-d3П!M108</f>
        <v>0</v>
      </c>
      <c r="N111" s="328">
        <f>d3М!N108-d3П!N108</f>
        <v>0</v>
      </c>
      <c r="O111" s="328">
        <f>d3М!O108-d3П!O108</f>
        <v>0</v>
      </c>
      <c r="P111" s="328">
        <f>d3М!P108-d3П!P108</f>
        <v>0</v>
      </c>
      <c r="Q111" s="39"/>
      <c r="R111" s="26"/>
    </row>
    <row r="112" spans="1:18" ht="47.25" thickTop="1" thickBot="1" x14ac:dyDescent="0.25">
      <c r="A112" s="311" t="s">
        <v>714</v>
      </c>
      <c r="B112" s="311" t="s">
        <v>715</v>
      </c>
      <c r="C112" s="311"/>
      <c r="D112" s="311" t="s">
        <v>716</v>
      </c>
      <c r="E112" s="328">
        <f>d3М!E109-d3П!E109</f>
        <v>0</v>
      </c>
      <c r="F112" s="328">
        <f>d3М!F109-d3П!F109</f>
        <v>0</v>
      </c>
      <c r="G112" s="328">
        <f>d3М!G109-d3П!G109</f>
        <v>0</v>
      </c>
      <c r="H112" s="328">
        <f>d3М!H109-d3П!H109</f>
        <v>0</v>
      </c>
      <c r="I112" s="328">
        <f>d3М!I109-d3П!I109</f>
        <v>0</v>
      </c>
      <c r="J112" s="328">
        <f>d3М!J109-d3П!J109</f>
        <v>0</v>
      </c>
      <c r="K112" s="328">
        <f>d3М!K109-d3П!K109</f>
        <v>0</v>
      </c>
      <c r="L112" s="328">
        <f>d3М!L109-d3П!L109</f>
        <v>0</v>
      </c>
      <c r="M112" s="328">
        <f>d3М!M109-d3П!M109</f>
        <v>0</v>
      </c>
      <c r="N112" s="328">
        <f>d3М!N109-d3П!N109</f>
        <v>0</v>
      </c>
      <c r="O112" s="328">
        <f>d3М!O109-d3П!O109</f>
        <v>0</v>
      </c>
      <c r="P112" s="328">
        <f>d3М!P109-d3П!P109</f>
        <v>0</v>
      </c>
      <c r="Q112" s="39"/>
      <c r="R112" s="39"/>
    </row>
    <row r="113" spans="1:18" ht="47.25" thickTop="1" thickBot="1" x14ac:dyDescent="0.25">
      <c r="A113" s="103" t="s">
        <v>214</v>
      </c>
      <c r="B113" s="103" t="s">
        <v>211</v>
      </c>
      <c r="C113" s="103" t="s">
        <v>215</v>
      </c>
      <c r="D113" s="103" t="s">
        <v>19</v>
      </c>
      <c r="E113" s="328">
        <f>d3М!E110-d3П!E110</f>
        <v>0</v>
      </c>
      <c r="F113" s="328">
        <f>d3М!F110-d3П!F110</f>
        <v>0</v>
      </c>
      <c r="G113" s="328">
        <f>d3М!G110-d3П!G110</f>
        <v>0</v>
      </c>
      <c r="H113" s="328">
        <f>d3М!H110-d3П!H110</f>
        <v>0</v>
      </c>
      <c r="I113" s="328">
        <f>d3М!I110-d3П!I110</f>
        <v>0</v>
      </c>
      <c r="J113" s="328">
        <f>d3М!J110-d3П!J110</f>
        <v>0</v>
      </c>
      <c r="K113" s="328">
        <f>d3М!K110-d3П!K110</f>
        <v>0</v>
      </c>
      <c r="L113" s="328">
        <f>d3М!L110-d3П!L110</f>
        <v>0</v>
      </c>
      <c r="M113" s="328">
        <f>d3М!M110-d3П!M110</f>
        <v>0</v>
      </c>
      <c r="N113" s="328">
        <f>d3М!N110-d3П!N110</f>
        <v>0</v>
      </c>
      <c r="O113" s="328">
        <f>d3М!O110-d3П!O110</f>
        <v>0</v>
      </c>
      <c r="P113" s="328">
        <f>d3М!P110-d3П!P110</f>
        <v>0</v>
      </c>
      <c r="Q113" s="20"/>
      <c r="R113" s="30"/>
    </row>
    <row r="114" spans="1:18" ht="47.25" thickTop="1" thickBot="1" x14ac:dyDescent="0.25">
      <c r="A114" s="103" t="s">
        <v>505</v>
      </c>
      <c r="B114" s="103" t="s">
        <v>508</v>
      </c>
      <c r="C114" s="103" t="s">
        <v>507</v>
      </c>
      <c r="D114" s="103" t="s">
        <v>506</v>
      </c>
      <c r="E114" s="328">
        <f>d3М!E111-d3П!E111</f>
        <v>0</v>
      </c>
      <c r="F114" s="328">
        <f>d3М!F111-d3П!F111</f>
        <v>0</v>
      </c>
      <c r="G114" s="328">
        <f>d3М!G111-d3П!G111</f>
        <v>0</v>
      </c>
      <c r="H114" s="328">
        <f>d3М!H111-d3П!H111</f>
        <v>0</v>
      </c>
      <c r="I114" s="328">
        <f>d3М!I111-d3П!I111</f>
        <v>0</v>
      </c>
      <c r="J114" s="328">
        <f>d3М!J111-d3П!J111</f>
        <v>0</v>
      </c>
      <c r="K114" s="328">
        <f>d3М!K111-d3П!K111</f>
        <v>0</v>
      </c>
      <c r="L114" s="328">
        <f>d3М!L111-d3П!L111</f>
        <v>0</v>
      </c>
      <c r="M114" s="328">
        <f>d3М!M111-d3П!M111</f>
        <v>0</v>
      </c>
      <c r="N114" s="328">
        <f>d3М!N111-d3П!N111</f>
        <v>0</v>
      </c>
      <c r="O114" s="328">
        <f>d3М!O111-d3П!O111</f>
        <v>0</v>
      </c>
      <c r="P114" s="328">
        <f>d3М!P111-d3П!P111</f>
        <v>0</v>
      </c>
      <c r="Q114" s="20"/>
      <c r="R114" s="39"/>
    </row>
    <row r="115" spans="1:18" ht="47.25" thickTop="1" thickBot="1" x14ac:dyDescent="0.25">
      <c r="A115" s="103" t="s">
        <v>216</v>
      </c>
      <c r="B115" s="103" t="s">
        <v>217</v>
      </c>
      <c r="C115" s="103" t="s">
        <v>218</v>
      </c>
      <c r="D115" s="103" t="s">
        <v>219</v>
      </c>
      <c r="E115" s="328">
        <f>d3М!E112-d3П!E112</f>
        <v>0</v>
      </c>
      <c r="F115" s="328">
        <f>d3М!F112-d3П!F112</f>
        <v>0</v>
      </c>
      <c r="G115" s="328">
        <f>d3М!G112-d3П!G112</f>
        <v>0</v>
      </c>
      <c r="H115" s="328">
        <f>d3М!H112-d3П!H112</f>
        <v>0</v>
      </c>
      <c r="I115" s="328">
        <f>d3М!I112-d3П!I112</f>
        <v>0</v>
      </c>
      <c r="J115" s="328">
        <f>d3М!J112-d3П!J112</f>
        <v>0</v>
      </c>
      <c r="K115" s="328">
        <f>d3М!K112-d3П!K112</f>
        <v>0</v>
      </c>
      <c r="L115" s="328">
        <f>d3М!L112-d3П!L112</f>
        <v>0</v>
      </c>
      <c r="M115" s="328">
        <f>d3М!M112-d3П!M112</f>
        <v>0</v>
      </c>
      <c r="N115" s="328">
        <f>d3М!N112-d3П!N112</f>
        <v>0</v>
      </c>
      <c r="O115" s="328">
        <f>d3М!O112-d3П!O112</f>
        <v>0</v>
      </c>
      <c r="P115" s="328">
        <f>d3М!P112-d3П!P112</f>
        <v>0</v>
      </c>
      <c r="Q115" s="20"/>
      <c r="R115" s="39"/>
    </row>
    <row r="116" spans="1:18" ht="93" thickTop="1" thickBot="1" x14ac:dyDescent="0.25">
      <c r="A116" s="103" t="s">
        <v>220</v>
      </c>
      <c r="B116" s="103" t="s">
        <v>221</v>
      </c>
      <c r="C116" s="103" t="s">
        <v>222</v>
      </c>
      <c r="D116" s="103" t="s">
        <v>345</v>
      </c>
      <c r="E116" s="328">
        <f>d3М!E113-d3П!E113</f>
        <v>0</v>
      </c>
      <c r="F116" s="328">
        <f>d3М!F113-d3П!F113</f>
        <v>0</v>
      </c>
      <c r="G116" s="328">
        <f>d3М!G113-d3П!G113</f>
        <v>0</v>
      </c>
      <c r="H116" s="328">
        <f>d3М!H113-d3П!H113</f>
        <v>0</v>
      </c>
      <c r="I116" s="328">
        <f>d3М!I113-d3П!I113</f>
        <v>0</v>
      </c>
      <c r="J116" s="328">
        <f>d3М!J113-d3П!J113</f>
        <v>0</v>
      </c>
      <c r="K116" s="328">
        <f>d3М!K113-d3П!K113</f>
        <v>0</v>
      </c>
      <c r="L116" s="328">
        <f>d3М!L113-d3П!L113</f>
        <v>0</v>
      </c>
      <c r="M116" s="328">
        <f>d3М!M113-d3П!M113</f>
        <v>0</v>
      </c>
      <c r="N116" s="328">
        <f>d3М!N113-d3П!N113</f>
        <v>0</v>
      </c>
      <c r="O116" s="328">
        <f>d3М!O113-d3П!O113</f>
        <v>0</v>
      </c>
      <c r="P116" s="328">
        <f>d3М!P113-d3П!P113</f>
        <v>0</v>
      </c>
      <c r="Q116" s="20"/>
      <c r="R116" s="39"/>
    </row>
    <row r="117" spans="1:18" ht="47.25" hidden="1" thickTop="1" thickBot="1" x14ac:dyDescent="0.25">
      <c r="A117" s="128" t="s">
        <v>223</v>
      </c>
      <c r="B117" s="128" t="s">
        <v>224</v>
      </c>
      <c r="C117" s="128" t="s">
        <v>225</v>
      </c>
      <c r="D117" s="128" t="s">
        <v>226</v>
      </c>
      <c r="E117" s="328">
        <f>d3М!E114-d3П!E114</f>
        <v>0</v>
      </c>
      <c r="F117" s="328">
        <f>d3М!F114-d3П!F114</f>
        <v>0</v>
      </c>
      <c r="G117" s="328">
        <f>d3М!G114-d3П!G114</f>
        <v>0</v>
      </c>
      <c r="H117" s="328">
        <f>d3М!H114-d3П!H114</f>
        <v>0</v>
      </c>
      <c r="I117" s="328">
        <f>d3М!I114-d3П!I114</f>
        <v>0</v>
      </c>
      <c r="J117" s="328">
        <f>d3М!J114-d3П!J114</f>
        <v>0</v>
      </c>
      <c r="K117" s="328">
        <f>d3М!K114-d3П!K114</f>
        <v>0</v>
      </c>
      <c r="L117" s="328">
        <f>d3М!L114-d3П!L114</f>
        <v>0</v>
      </c>
      <c r="M117" s="328">
        <f>d3М!M114-d3П!M114</f>
        <v>0</v>
      </c>
      <c r="N117" s="328">
        <f>d3М!N114-d3П!N114</f>
        <v>0</v>
      </c>
      <c r="O117" s="328">
        <f>d3М!O114-d3П!O114</f>
        <v>0</v>
      </c>
      <c r="P117" s="328">
        <f>d3М!P114-d3П!P114</f>
        <v>0</v>
      </c>
      <c r="Q117" s="20"/>
      <c r="R117" s="39"/>
    </row>
    <row r="118" spans="1:18" ht="47.25" thickTop="1" thickBot="1" x14ac:dyDescent="0.25">
      <c r="A118" s="329" t="s">
        <v>717</v>
      </c>
      <c r="B118" s="329" t="s">
        <v>718</v>
      </c>
      <c r="C118" s="329"/>
      <c r="D118" s="329" t="s">
        <v>719</v>
      </c>
      <c r="E118" s="328">
        <f>d3М!E115-d3П!E115</f>
        <v>0</v>
      </c>
      <c r="F118" s="328">
        <f>d3М!F115-d3П!F115</f>
        <v>0</v>
      </c>
      <c r="G118" s="328">
        <f>d3М!G115-d3П!G115</f>
        <v>0</v>
      </c>
      <c r="H118" s="328">
        <f>d3М!H115-d3П!H115</f>
        <v>0</v>
      </c>
      <c r="I118" s="328">
        <f>d3М!I115-d3П!I115</f>
        <v>0</v>
      </c>
      <c r="J118" s="328">
        <f>d3М!J115-d3П!J115</f>
        <v>0</v>
      </c>
      <c r="K118" s="328">
        <f>d3М!K115-d3П!K115</f>
        <v>0</v>
      </c>
      <c r="L118" s="328">
        <f>d3М!L115-d3П!L115</f>
        <v>0</v>
      </c>
      <c r="M118" s="328">
        <f>d3М!M115-d3П!M115</f>
        <v>0</v>
      </c>
      <c r="N118" s="328">
        <f>d3М!N115-d3П!N115</f>
        <v>0</v>
      </c>
      <c r="O118" s="328">
        <f>d3М!O115-d3П!O115</f>
        <v>0</v>
      </c>
      <c r="P118" s="328">
        <f>d3М!P115-d3П!P115</f>
        <v>0</v>
      </c>
      <c r="Q118" s="20"/>
      <c r="R118" s="39"/>
    </row>
    <row r="119" spans="1:18" ht="93" thickTop="1" thickBot="1" x14ac:dyDescent="0.25">
      <c r="A119" s="103" t="s">
        <v>227</v>
      </c>
      <c r="B119" s="103" t="s">
        <v>228</v>
      </c>
      <c r="C119" s="103" t="s">
        <v>346</v>
      </c>
      <c r="D119" s="103" t="s">
        <v>229</v>
      </c>
      <c r="E119" s="328">
        <f>d3М!E116-d3П!E116</f>
        <v>0</v>
      </c>
      <c r="F119" s="328">
        <f>d3М!F116-d3П!F116</f>
        <v>0</v>
      </c>
      <c r="G119" s="328">
        <f>d3М!G116-d3П!G116</f>
        <v>0</v>
      </c>
      <c r="H119" s="328">
        <f>d3М!H116-d3П!H116</f>
        <v>0</v>
      </c>
      <c r="I119" s="328">
        <f>d3М!I116-d3П!I116</f>
        <v>0</v>
      </c>
      <c r="J119" s="328">
        <f>d3М!J116-d3П!J116</f>
        <v>0</v>
      </c>
      <c r="K119" s="328">
        <f>d3М!K116-d3П!K116</f>
        <v>0</v>
      </c>
      <c r="L119" s="328">
        <f>d3М!L116-d3П!L116</f>
        <v>0</v>
      </c>
      <c r="M119" s="328">
        <f>d3М!M116-d3П!M116</f>
        <v>0</v>
      </c>
      <c r="N119" s="328">
        <f>d3М!N116-d3П!N116</f>
        <v>0</v>
      </c>
      <c r="O119" s="328">
        <f>d3М!O116-d3П!O116</f>
        <v>0</v>
      </c>
      <c r="P119" s="328">
        <f>d3М!P116-d3П!P116</f>
        <v>0</v>
      </c>
      <c r="Q119" s="20"/>
      <c r="R119" s="39"/>
    </row>
    <row r="120" spans="1:18" ht="47.25" hidden="1" thickTop="1" thickBot="1" x14ac:dyDescent="0.25">
      <c r="A120" s="140" t="s">
        <v>720</v>
      </c>
      <c r="B120" s="140" t="s">
        <v>721</v>
      </c>
      <c r="C120" s="140"/>
      <c r="D120" s="140" t="s">
        <v>722</v>
      </c>
      <c r="E120" s="328">
        <f>d3М!E117-d3П!E117</f>
        <v>0</v>
      </c>
      <c r="F120" s="328">
        <f>d3М!F117-d3П!F117</f>
        <v>0</v>
      </c>
      <c r="G120" s="328">
        <f>d3М!G117-d3П!G117</f>
        <v>0</v>
      </c>
      <c r="H120" s="328">
        <f>d3М!H117-d3П!H117</f>
        <v>0</v>
      </c>
      <c r="I120" s="328">
        <f>d3М!I117-d3П!I117</f>
        <v>0</v>
      </c>
      <c r="J120" s="328">
        <f>d3М!J117-d3П!J117</f>
        <v>0</v>
      </c>
      <c r="K120" s="328">
        <f>d3М!K117-d3П!K117</f>
        <v>0</v>
      </c>
      <c r="L120" s="328">
        <f>d3М!L117-d3П!L117</f>
        <v>0</v>
      </c>
      <c r="M120" s="328">
        <f>d3М!M117-d3П!M117</f>
        <v>0</v>
      </c>
      <c r="N120" s="328">
        <f>d3М!N117-d3П!N117</f>
        <v>0</v>
      </c>
      <c r="O120" s="328">
        <f>d3М!O117-d3П!O117</f>
        <v>0</v>
      </c>
      <c r="P120" s="328">
        <f>d3М!P117-d3П!P117</f>
        <v>0</v>
      </c>
      <c r="Q120" s="20"/>
      <c r="R120" s="39"/>
    </row>
    <row r="121" spans="1:18" ht="47.25" hidden="1" thickTop="1" thickBot="1" x14ac:dyDescent="0.25">
      <c r="A121" s="128" t="s">
        <v>475</v>
      </c>
      <c r="B121" s="128" t="s">
        <v>476</v>
      </c>
      <c r="C121" s="128" t="s">
        <v>230</v>
      </c>
      <c r="D121" s="128" t="s">
        <v>477</v>
      </c>
      <c r="E121" s="328">
        <f>d3М!E118-d3П!E118</f>
        <v>0</v>
      </c>
      <c r="F121" s="328">
        <f>d3М!F118-d3П!F118</f>
        <v>0</v>
      </c>
      <c r="G121" s="328">
        <f>d3М!G118-d3П!G118</f>
        <v>0</v>
      </c>
      <c r="H121" s="328">
        <f>d3М!H118-d3П!H118</f>
        <v>0</v>
      </c>
      <c r="I121" s="328">
        <f>d3М!I118-d3П!I118</f>
        <v>0</v>
      </c>
      <c r="J121" s="328">
        <f>d3М!J118-d3П!J118</f>
        <v>0</v>
      </c>
      <c r="K121" s="328">
        <f>d3М!K118-d3П!K118</f>
        <v>0</v>
      </c>
      <c r="L121" s="328">
        <f>d3М!L118-d3П!L118</f>
        <v>0</v>
      </c>
      <c r="M121" s="328">
        <f>d3М!M118-d3П!M118</f>
        <v>0</v>
      </c>
      <c r="N121" s="328">
        <f>d3М!N118-d3П!N118</f>
        <v>0</v>
      </c>
      <c r="O121" s="328">
        <f>d3М!O118-d3П!O118</f>
        <v>0</v>
      </c>
      <c r="P121" s="328">
        <f>d3М!P118-d3П!P118</f>
        <v>0</v>
      </c>
      <c r="Q121" s="20"/>
      <c r="R121" s="39"/>
    </row>
    <row r="122" spans="1:18" ht="47.25" thickTop="1" thickBot="1" x14ac:dyDescent="0.25">
      <c r="A122" s="329" t="s">
        <v>723</v>
      </c>
      <c r="B122" s="329" t="s">
        <v>724</v>
      </c>
      <c r="C122" s="329"/>
      <c r="D122" s="329" t="s">
        <v>725</v>
      </c>
      <c r="E122" s="328">
        <f>d3М!E119-d3П!E119</f>
        <v>0</v>
      </c>
      <c r="F122" s="328">
        <f>d3М!F119-d3П!F119</f>
        <v>0</v>
      </c>
      <c r="G122" s="328">
        <f>d3М!G119-d3П!G119</f>
        <v>0</v>
      </c>
      <c r="H122" s="328">
        <f>d3М!H119-d3П!H119</f>
        <v>0</v>
      </c>
      <c r="I122" s="328">
        <f>d3М!I119-d3П!I119</f>
        <v>0</v>
      </c>
      <c r="J122" s="328">
        <f>d3М!J119-d3П!J119</f>
        <v>0</v>
      </c>
      <c r="K122" s="328">
        <f>d3М!K119-d3П!K119</f>
        <v>0</v>
      </c>
      <c r="L122" s="328">
        <f>d3М!L119-d3П!L119</f>
        <v>0</v>
      </c>
      <c r="M122" s="328">
        <f>d3М!M119-d3П!M119</f>
        <v>0</v>
      </c>
      <c r="N122" s="328">
        <f>d3М!N119-d3П!N119</f>
        <v>0</v>
      </c>
      <c r="O122" s="328">
        <f>d3М!O119-d3П!O119</f>
        <v>0</v>
      </c>
      <c r="P122" s="328">
        <f>d3М!P119-d3П!P119</f>
        <v>0</v>
      </c>
      <c r="Q122" s="20"/>
      <c r="R122" s="39"/>
    </row>
    <row r="123" spans="1:18" s="33" customFormat="1" ht="47.25" thickTop="1" thickBot="1" x14ac:dyDescent="0.25">
      <c r="A123" s="103" t="s">
        <v>321</v>
      </c>
      <c r="B123" s="103" t="s">
        <v>323</v>
      </c>
      <c r="C123" s="103" t="s">
        <v>230</v>
      </c>
      <c r="D123" s="470" t="s">
        <v>319</v>
      </c>
      <c r="E123" s="328">
        <f>d3М!E120-d3П!E120</f>
        <v>0</v>
      </c>
      <c r="F123" s="328">
        <f>d3М!F120-d3П!F120</f>
        <v>0</v>
      </c>
      <c r="G123" s="328">
        <f>d3М!G120-d3П!G120</f>
        <v>0</v>
      </c>
      <c r="H123" s="328">
        <f>d3М!H120-d3П!H120</f>
        <v>0</v>
      </c>
      <c r="I123" s="328">
        <f>d3М!I120-d3П!I120</f>
        <v>0</v>
      </c>
      <c r="J123" s="328">
        <f>d3М!J120-d3П!J120</f>
        <v>0</v>
      </c>
      <c r="K123" s="328">
        <f>d3М!K120-d3П!K120</f>
        <v>0</v>
      </c>
      <c r="L123" s="328">
        <f>d3М!L120-d3П!L120</f>
        <v>0</v>
      </c>
      <c r="M123" s="328">
        <f>d3М!M120-d3П!M120</f>
        <v>0</v>
      </c>
      <c r="N123" s="328">
        <f>d3М!N120-d3П!N120</f>
        <v>0</v>
      </c>
      <c r="O123" s="328">
        <f>d3М!O120-d3П!O120</f>
        <v>0</v>
      </c>
      <c r="P123" s="328">
        <f>d3М!P120-d3П!P120</f>
        <v>0</v>
      </c>
      <c r="Q123" s="36"/>
      <c r="R123" s="26"/>
    </row>
    <row r="124" spans="1:18" s="33" customFormat="1" ht="47.25" thickTop="1" thickBot="1" x14ac:dyDescent="0.25">
      <c r="A124" s="103" t="s">
        <v>322</v>
      </c>
      <c r="B124" s="103" t="s">
        <v>324</v>
      </c>
      <c r="C124" s="103" t="s">
        <v>230</v>
      </c>
      <c r="D124" s="470" t="s">
        <v>320</v>
      </c>
      <c r="E124" s="328">
        <f>d3М!E121-d3П!E121</f>
        <v>0</v>
      </c>
      <c r="F124" s="328">
        <f>d3М!F121-d3П!F121</f>
        <v>0</v>
      </c>
      <c r="G124" s="328">
        <f>d3М!G121-d3П!G121</f>
        <v>0</v>
      </c>
      <c r="H124" s="328">
        <f>d3М!H121-d3П!H121</f>
        <v>0</v>
      </c>
      <c r="I124" s="328">
        <f>d3М!I121-d3П!I121</f>
        <v>0</v>
      </c>
      <c r="J124" s="328">
        <f>d3М!J121-d3П!J121</f>
        <v>0</v>
      </c>
      <c r="K124" s="328">
        <f>d3М!K121-d3П!K121</f>
        <v>0</v>
      </c>
      <c r="L124" s="328">
        <f>d3М!L121-d3П!L121</f>
        <v>0</v>
      </c>
      <c r="M124" s="328">
        <f>d3М!M121-d3П!M121</f>
        <v>0</v>
      </c>
      <c r="N124" s="328">
        <f>d3М!N121-d3П!N121</f>
        <v>0</v>
      </c>
      <c r="O124" s="328">
        <f>d3М!O121-d3П!O121</f>
        <v>0</v>
      </c>
      <c r="P124" s="328">
        <f>d3М!P121-d3П!P121</f>
        <v>0</v>
      </c>
      <c r="Q124" s="36"/>
      <c r="R124" s="39"/>
    </row>
    <row r="125" spans="1:18" s="33" customFormat="1" ht="127.5" customHeight="1" thickTop="1" thickBot="1" x14ac:dyDescent="0.25">
      <c r="A125" s="697" t="s">
        <v>1598</v>
      </c>
      <c r="B125" s="697" t="s">
        <v>1599</v>
      </c>
      <c r="C125" s="697"/>
      <c r="D125" s="697" t="s">
        <v>1597</v>
      </c>
      <c r="E125" s="328">
        <f>0-0</f>
        <v>0</v>
      </c>
      <c r="F125" s="328">
        <f t="shared" ref="F125:P126" si="15">0-0</f>
        <v>0</v>
      </c>
      <c r="G125" s="328">
        <f t="shared" si="15"/>
        <v>0</v>
      </c>
      <c r="H125" s="328">
        <f t="shared" si="15"/>
        <v>0</v>
      </c>
      <c r="I125" s="328">
        <f t="shared" si="15"/>
        <v>0</v>
      </c>
      <c r="J125" s="328">
        <f t="shared" si="15"/>
        <v>0</v>
      </c>
      <c r="K125" s="328">
        <f t="shared" si="15"/>
        <v>0</v>
      </c>
      <c r="L125" s="328">
        <f t="shared" si="15"/>
        <v>0</v>
      </c>
      <c r="M125" s="328">
        <f t="shared" si="15"/>
        <v>0</v>
      </c>
      <c r="N125" s="328">
        <f t="shared" si="15"/>
        <v>0</v>
      </c>
      <c r="O125" s="328">
        <f t="shared" si="15"/>
        <v>0</v>
      </c>
      <c r="P125" s="328">
        <f t="shared" si="15"/>
        <v>0</v>
      </c>
      <c r="Q125" s="36"/>
      <c r="R125" s="39"/>
    </row>
    <row r="126" spans="1:18" s="33" customFormat="1" ht="138.75" thickTop="1" thickBot="1" x14ac:dyDescent="0.25">
      <c r="A126" s="695" t="s">
        <v>1601</v>
      </c>
      <c r="B126" s="695" t="s">
        <v>1602</v>
      </c>
      <c r="C126" s="695" t="s">
        <v>230</v>
      </c>
      <c r="D126" s="696" t="s">
        <v>1600</v>
      </c>
      <c r="E126" s="328">
        <f t="shared" ref="E126" si="16">0-0</f>
        <v>0</v>
      </c>
      <c r="F126" s="328">
        <f t="shared" si="15"/>
        <v>0</v>
      </c>
      <c r="G126" s="328">
        <f t="shared" si="15"/>
        <v>0</v>
      </c>
      <c r="H126" s="328">
        <f t="shared" si="15"/>
        <v>0</v>
      </c>
      <c r="I126" s="328">
        <f t="shared" si="15"/>
        <v>0</v>
      </c>
      <c r="J126" s="328">
        <f t="shared" si="15"/>
        <v>0</v>
      </c>
      <c r="K126" s="328">
        <f t="shared" si="15"/>
        <v>0</v>
      </c>
      <c r="L126" s="328">
        <f t="shared" si="15"/>
        <v>0</v>
      </c>
      <c r="M126" s="328">
        <f t="shared" si="15"/>
        <v>0</v>
      </c>
      <c r="N126" s="328">
        <f t="shared" si="15"/>
        <v>0</v>
      </c>
      <c r="O126" s="328">
        <f t="shared" si="15"/>
        <v>0</v>
      </c>
      <c r="P126" s="328">
        <f t="shared" si="15"/>
        <v>0</v>
      </c>
      <c r="Q126" s="36"/>
      <c r="R126" s="39"/>
    </row>
    <row r="127" spans="1:18" s="33" customFormat="1" ht="47.25" thickTop="1" thickBot="1" x14ac:dyDescent="0.25">
      <c r="A127" s="311" t="s">
        <v>1198</v>
      </c>
      <c r="B127" s="311" t="s">
        <v>711</v>
      </c>
      <c r="C127" s="311"/>
      <c r="D127" s="311" t="s">
        <v>712</v>
      </c>
      <c r="E127" s="328">
        <f>d3М!E122-d3П!E122</f>
        <v>0</v>
      </c>
      <c r="F127" s="328">
        <f>d3М!F122-d3П!F122</f>
        <v>0</v>
      </c>
      <c r="G127" s="328">
        <f>d3М!G122-d3П!G122</f>
        <v>0</v>
      </c>
      <c r="H127" s="328">
        <f>d3М!H122-d3П!H122</f>
        <v>0</v>
      </c>
      <c r="I127" s="328">
        <f>d3М!I122-d3П!I122</f>
        <v>0</v>
      </c>
      <c r="J127" s="328">
        <f>d3М!J122-d3П!J122</f>
        <v>0</v>
      </c>
      <c r="K127" s="328">
        <f>d3М!K122-d3П!K122</f>
        <v>0</v>
      </c>
      <c r="L127" s="328">
        <f>d3М!L122-d3П!L122</f>
        <v>0</v>
      </c>
      <c r="M127" s="328">
        <f>d3М!M122-d3П!M122</f>
        <v>0</v>
      </c>
      <c r="N127" s="328">
        <f>d3М!N122-d3П!N122</f>
        <v>0</v>
      </c>
      <c r="O127" s="328">
        <f>d3М!O122-d3П!O122</f>
        <v>0</v>
      </c>
      <c r="P127" s="328">
        <f>d3М!P122-d3П!P122</f>
        <v>0</v>
      </c>
      <c r="Q127" s="36"/>
      <c r="R127" s="39"/>
    </row>
    <row r="128" spans="1:18" s="33" customFormat="1" ht="93" thickTop="1" thickBot="1" x14ac:dyDescent="0.25">
      <c r="A128" s="103" t="s">
        <v>1199</v>
      </c>
      <c r="B128" s="103" t="s">
        <v>1200</v>
      </c>
      <c r="C128" s="103" t="s">
        <v>206</v>
      </c>
      <c r="D128" s="470" t="s">
        <v>1201</v>
      </c>
      <c r="E128" s="328">
        <f>d3М!E123-d3П!E123</f>
        <v>0</v>
      </c>
      <c r="F128" s="328">
        <f>d3М!F123-d3П!F123</f>
        <v>0</v>
      </c>
      <c r="G128" s="328">
        <f>d3М!G123-d3П!G123</f>
        <v>0</v>
      </c>
      <c r="H128" s="328">
        <f>d3М!H123-d3П!H123</f>
        <v>0</v>
      </c>
      <c r="I128" s="328">
        <f>d3М!I123-d3П!I123</f>
        <v>0</v>
      </c>
      <c r="J128" s="328">
        <f>d3М!J123-d3П!J123</f>
        <v>0</v>
      </c>
      <c r="K128" s="328">
        <f>d3М!K123-d3П!K123</f>
        <v>0</v>
      </c>
      <c r="L128" s="328">
        <f>d3М!L123-d3П!L123</f>
        <v>0</v>
      </c>
      <c r="M128" s="328">
        <f>d3М!M123-d3П!M123</f>
        <v>0</v>
      </c>
      <c r="N128" s="328">
        <f>d3М!N123-d3П!N123</f>
        <v>0</v>
      </c>
      <c r="O128" s="328">
        <f>d3М!O123-d3П!O123</f>
        <v>0</v>
      </c>
      <c r="P128" s="328">
        <f>d3М!P123-d3П!P123</f>
        <v>0</v>
      </c>
      <c r="Q128" s="36"/>
      <c r="R128" s="39"/>
    </row>
    <row r="129" spans="1:20" s="33" customFormat="1" ht="47.25" thickTop="1" thickBot="1" x14ac:dyDescent="0.25">
      <c r="A129" s="311" t="s">
        <v>750</v>
      </c>
      <c r="B129" s="311" t="s">
        <v>748</v>
      </c>
      <c r="C129" s="311"/>
      <c r="D129" s="311" t="s">
        <v>749</v>
      </c>
      <c r="E129" s="328">
        <f>d3М!E124-d3П!E124</f>
        <v>0</v>
      </c>
      <c r="F129" s="328">
        <f>d3М!F124-d3П!F124</f>
        <v>0</v>
      </c>
      <c r="G129" s="328">
        <f>d3М!G124-d3П!G124</f>
        <v>0</v>
      </c>
      <c r="H129" s="328">
        <f>d3М!H124-d3П!H124</f>
        <v>0</v>
      </c>
      <c r="I129" s="328">
        <f>d3М!I124-d3П!I124</f>
        <v>0</v>
      </c>
      <c r="J129" s="328">
        <f>d3М!J124-d3П!J124</f>
        <v>0</v>
      </c>
      <c r="K129" s="328">
        <f>d3М!K124-d3П!K124</f>
        <v>0</v>
      </c>
      <c r="L129" s="328">
        <f>d3М!L124-d3П!L124</f>
        <v>0</v>
      </c>
      <c r="M129" s="328">
        <f>d3М!M124-d3П!M124</f>
        <v>0</v>
      </c>
      <c r="N129" s="328">
        <f>d3М!N124-d3П!N124</f>
        <v>0</v>
      </c>
      <c r="O129" s="328">
        <f>d3М!O124-d3П!O124</f>
        <v>0</v>
      </c>
      <c r="P129" s="328">
        <f>d3М!P124-d3П!P124</f>
        <v>0</v>
      </c>
      <c r="Q129" s="36"/>
      <c r="R129" s="39"/>
    </row>
    <row r="130" spans="1:20" s="33" customFormat="1" ht="47.25" thickTop="1" thickBot="1" x14ac:dyDescent="0.25">
      <c r="A130" s="313" t="s">
        <v>1053</v>
      </c>
      <c r="B130" s="313" t="s">
        <v>803</v>
      </c>
      <c r="C130" s="313"/>
      <c r="D130" s="313" t="s">
        <v>804</v>
      </c>
      <c r="E130" s="328">
        <f>d3М!E125-d3П!E125</f>
        <v>0</v>
      </c>
      <c r="F130" s="328">
        <f>d3М!F125-d3П!F125</f>
        <v>0</v>
      </c>
      <c r="G130" s="328">
        <f>d3М!G125-d3П!G125</f>
        <v>0</v>
      </c>
      <c r="H130" s="328">
        <f>d3М!H125-d3П!H125</f>
        <v>0</v>
      </c>
      <c r="I130" s="328">
        <f>d3М!I125-d3П!I125</f>
        <v>0</v>
      </c>
      <c r="J130" s="328">
        <f>d3М!J125-d3П!J125</f>
        <v>0</v>
      </c>
      <c r="K130" s="328">
        <f>d3М!K125-d3П!K125</f>
        <v>0</v>
      </c>
      <c r="L130" s="328">
        <f>d3М!L125-d3П!L125</f>
        <v>0</v>
      </c>
      <c r="M130" s="328">
        <f>d3М!M125-d3П!M125</f>
        <v>0</v>
      </c>
      <c r="N130" s="328">
        <f>d3М!N125-d3П!N125</f>
        <v>0</v>
      </c>
      <c r="O130" s="328">
        <f>d3М!O125-d3П!O125</f>
        <v>0</v>
      </c>
      <c r="P130" s="328">
        <f>d3М!P125-d3П!P125</f>
        <v>0</v>
      </c>
      <c r="Q130" s="36"/>
      <c r="R130" s="39"/>
    </row>
    <row r="131" spans="1:20" s="33" customFormat="1" ht="54.75" thickTop="1" thickBot="1" x14ac:dyDescent="0.25">
      <c r="A131" s="329" t="s">
        <v>1180</v>
      </c>
      <c r="B131" s="329" t="s">
        <v>821</v>
      </c>
      <c r="C131" s="329"/>
      <c r="D131" s="329" t="s">
        <v>1508</v>
      </c>
      <c r="E131" s="328">
        <f>d3М!E126-d3П!E126</f>
        <v>0</v>
      </c>
      <c r="F131" s="328">
        <f>d3М!F126-d3П!F126</f>
        <v>0</v>
      </c>
      <c r="G131" s="328">
        <f>d3М!G126-d3П!G126</f>
        <v>0</v>
      </c>
      <c r="H131" s="328">
        <f>d3М!H126-d3П!H126</f>
        <v>0</v>
      </c>
      <c r="I131" s="328">
        <f>d3М!I126-d3П!I126</f>
        <v>0</v>
      </c>
      <c r="J131" s="328">
        <f>d3М!J126-d3П!J126</f>
        <v>0</v>
      </c>
      <c r="K131" s="328">
        <f>d3М!K126-d3П!K126</f>
        <v>0</v>
      </c>
      <c r="L131" s="328">
        <f>d3М!L126-d3П!L126</f>
        <v>0</v>
      </c>
      <c r="M131" s="328">
        <f>d3М!M126-d3П!M126</f>
        <v>0</v>
      </c>
      <c r="N131" s="328">
        <f>d3М!N126-d3П!N126</f>
        <v>0</v>
      </c>
      <c r="O131" s="328">
        <f>d3М!O126-d3П!O126</f>
        <v>0</v>
      </c>
      <c r="P131" s="328">
        <f>d3М!P126-d3П!P126</f>
        <v>0</v>
      </c>
      <c r="Q131" s="36"/>
      <c r="R131" s="39"/>
    </row>
    <row r="132" spans="1:20" s="33" customFormat="1" ht="54" thickTop="1" thickBot="1" x14ac:dyDescent="0.25">
      <c r="A132" s="103" t="s">
        <v>1179</v>
      </c>
      <c r="B132" s="103" t="s">
        <v>1181</v>
      </c>
      <c r="C132" s="103" t="s">
        <v>304</v>
      </c>
      <c r="D132" s="103" t="s">
        <v>1530</v>
      </c>
      <c r="E132" s="328">
        <f>d3М!E127-d3П!E127</f>
        <v>0</v>
      </c>
      <c r="F132" s="328">
        <f>d3М!F127-d3П!F127</f>
        <v>0</v>
      </c>
      <c r="G132" s="328">
        <f>d3М!G127-d3П!G127</f>
        <v>0</v>
      </c>
      <c r="H132" s="328">
        <f>d3М!H127-d3П!H127</f>
        <v>0</v>
      </c>
      <c r="I132" s="328">
        <f>d3М!I127-d3П!I127</f>
        <v>0</v>
      </c>
      <c r="J132" s="328">
        <f>d3М!J127-d3П!J127</f>
        <v>0</v>
      </c>
      <c r="K132" s="328">
        <f>d3М!K127-d3П!K127</f>
        <v>0</v>
      </c>
      <c r="L132" s="328">
        <f>d3М!L127-d3П!L127</f>
        <v>0</v>
      </c>
      <c r="M132" s="328">
        <f>d3М!M127-d3П!M127</f>
        <v>0</v>
      </c>
      <c r="N132" s="328">
        <f>d3М!N127-d3П!N127</f>
        <v>0</v>
      </c>
      <c r="O132" s="328">
        <f>d3М!O127-d3П!O127</f>
        <v>0</v>
      </c>
      <c r="P132" s="328">
        <f>d3М!P127-d3П!P127</f>
        <v>0</v>
      </c>
      <c r="Q132" s="36"/>
      <c r="R132" s="39"/>
    </row>
    <row r="133" spans="1:20" s="33" customFormat="1" ht="47.25" hidden="1" thickTop="1" thickBot="1" x14ac:dyDescent="0.25">
      <c r="A133" s="144" t="s">
        <v>1054</v>
      </c>
      <c r="B133" s="144" t="s">
        <v>1052</v>
      </c>
      <c r="C133" s="144"/>
      <c r="D133" s="144" t="s">
        <v>1051</v>
      </c>
      <c r="E133" s="328">
        <f>d3М!E128-d3П!E128</f>
        <v>0</v>
      </c>
      <c r="F133" s="328">
        <f>d3М!F128-d3П!F128</f>
        <v>0</v>
      </c>
      <c r="G133" s="328">
        <f>d3М!G128-d3П!G128</f>
        <v>0</v>
      </c>
      <c r="H133" s="328">
        <f>d3М!H128-d3П!H128</f>
        <v>0</v>
      </c>
      <c r="I133" s="328">
        <f>d3М!I128-d3П!I128</f>
        <v>0</v>
      </c>
      <c r="J133" s="328">
        <f>d3М!J128-d3П!J128</f>
        <v>0</v>
      </c>
      <c r="K133" s="328">
        <f>d3М!K128-d3П!K128</f>
        <v>0</v>
      </c>
      <c r="L133" s="328">
        <f>d3М!L128-d3П!L128</f>
        <v>0</v>
      </c>
      <c r="M133" s="328">
        <f>d3М!M128-d3П!M128</f>
        <v>0</v>
      </c>
      <c r="N133" s="328">
        <f>d3М!N128-d3П!N128</f>
        <v>0</v>
      </c>
      <c r="O133" s="328">
        <f>d3М!O128-d3П!O128</f>
        <v>0</v>
      </c>
      <c r="P133" s="328">
        <f>d3М!P128-d3П!P128</f>
        <v>0</v>
      </c>
      <c r="Q133" s="36"/>
      <c r="R133" s="39"/>
    </row>
    <row r="134" spans="1:20" s="33" customFormat="1" ht="93" hidden="1" thickTop="1" thickBot="1" x14ac:dyDescent="0.25">
      <c r="A134" s="41" t="s">
        <v>1055</v>
      </c>
      <c r="B134" s="41" t="s">
        <v>1056</v>
      </c>
      <c r="C134" s="41" t="s">
        <v>170</v>
      </c>
      <c r="D134" s="41" t="s">
        <v>1057</v>
      </c>
      <c r="E134" s="328">
        <f>d3М!E129-d3П!E129</f>
        <v>0</v>
      </c>
      <c r="F134" s="328">
        <f>d3М!F129-d3П!F129</f>
        <v>0</v>
      </c>
      <c r="G134" s="328">
        <f>d3М!G129-d3П!G129</f>
        <v>0</v>
      </c>
      <c r="H134" s="328">
        <f>d3М!H129-d3П!H129</f>
        <v>0</v>
      </c>
      <c r="I134" s="328">
        <f>d3М!I129-d3П!I129</f>
        <v>0</v>
      </c>
      <c r="J134" s="328">
        <f>d3М!J129-d3П!J129</f>
        <v>0</v>
      </c>
      <c r="K134" s="328">
        <f>d3М!K129-d3П!K129</f>
        <v>0</v>
      </c>
      <c r="L134" s="328">
        <f>d3М!L129-d3П!L129</f>
        <v>0</v>
      </c>
      <c r="M134" s="328">
        <f>d3М!M129-d3П!M129</f>
        <v>0</v>
      </c>
      <c r="N134" s="328">
        <f>d3М!N129-d3П!N129</f>
        <v>0</v>
      </c>
      <c r="O134" s="328">
        <f>d3М!O129-d3П!O129</f>
        <v>0</v>
      </c>
      <c r="P134" s="328">
        <f>d3М!P129-d3П!P129</f>
        <v>0</v>
      </c>
      <c r="Q134" s="36"/>
      <c r="R134" s="26"/>
    </row>
    <row r="135" spans="1:20" s="28" customFormat="1" ht="47.25" thickTop="1" thickBot="1" x14ac:dyDescent="0.25">
      <c r="A135" s="698" t="s">
        <v>726</v>
      </c>
      <c r="B135" s="698" t="s">
        <v>691</v>
      </c>
      <c r="C135" s="698"/>
      <c r="D135" s="698" t="s">
        <v>689</v>
      </c>
      <c r="E135" s="328">
        <f>d3М!E130-d3П!E130</f>
        <v>0</v>
      </c>
      <c r="F135" s="328">
        <f>d3М!F130-d3П!F130</f>
        <v>0</v>
      </c>
      <c r="G135" s="328">
        <f>d3М!G130-d3П!G130</f>
        <v>0</v>
      </c>
      <c r="H135" s="328">
        <f>d3М!H130-d3П!H130</f>
        <v>0</v>
      </c>
      <c r="I135" s="328">
        <f>d3М!I130-d3П!I130</f>
        <v>0</v>
      </c>
      <c r="J135" s="328">
        <f>d3М!J130-d3П!J130</f>
        <v>0</v>
      </c>
      <c r="K135" s="328">
        <f>d3М!K130-d3П!K130</f>
        <v>0</v>
      </c>
      <c r="L135" s="328">
        <f>d3М!L130-d3П!L130</f>
        <v>0</v>
      </c>
      <c r="M135" s="328">
        <f>d3М!M130-d3П!M130</f>
        <v>0</v>
      </c>
      <c r="N135" s="328">
        <f>d3М!N130-d3П!N130</f>
        <v>0</v>
      </c>
      <c r="O135" s="328">
        <f>d3М!O130-d3П!O130</f>
        <v>0</v>
      </c>
      <c r="P135" s="328">
        <f>d3М!P130-d3П!P130</f>
        <v>0</v>
      </c>
      <c r="Q135" s="149"/>
      <c r="R135" s="40"/>
    </row>
    <row r="136" spans="1:20" s="28" customFormat="1" ht="47.25" thickTop="1" thickBot="1" x14ac:dyDescent="0.25">
      <c r="A136" s="695" t="s">
        <v>1255</v>
      </c>
      <c r="B136" s="695" t="s">
        <v>212</v>
      </c>
      <c r="C136" s="695" t="s">
        <v>213</v>
      </c>
      <c r="D136" s="695" t="s">
        <v>41</v>
      </c>
      <c r="E136" s="328">
        <f>d3М!E131-d3П!E131</f>
        <v>0</v>
      </c>
      <c r="F136" s="328">
        <f>d3М!F131-d3П!F131</f>
        <v>0</v>
      </c>
      <c r="G136" s="328">
        <f>d3М!G131-d3П!G131</f>
        <v>0</v>
      </c>
      <c r="H136" s="328">
        <f>d3М!H131-d3П!H131</f>
        <v>0</v>
      </c>
      <c r="I136" s="328">
        <f>d3М!I131-d3П!I131</f>
        <v>0</v>
      </c>
      <c r="J136" s="328">
        <f>d3М!J131-d3П!J131</f>
        <v>0</v>
      </c>
      <c r="K136" s="328">
        <f>d3М!K131-d3П!K131</f>
        <v>0</v>
      </c>
      <c r="L136" s="328">
        <f>d3М!L131-d3П!L131</f>
        <v>0</v>
      </c>
      <c r="M136" s="328">
        <f>d3М!M131-d3П!M131</f>
        <v>0</v>
      </c>
      <c r="N136" s="328">
        <f>d3М!N131-d3П!N131</f>
        <v>0</v>
      </c>
      <c r="O136" s="328">
        <f>d3М!O131-d3П!O131</f>
        <v>0</v>
      </c>
      <c r="P136" s="328">
        <f>d3М!P131-d3П!P131</f>
        <v>0</v>
      </c>
      <c r="Q136" s="149"/>
      <c r="R136" s="40"/>
    </row>
    <row r="137" spans="1:20" s="33" customFormat="1" ht="48" hidden="1" thickTop="1" thickBot="1" x14ac:dyDescent="0.25">
      <c r="A137" s="41" t="s">
        <v>435</v>
      </c>
      <c r="B137" s="41" t="s">
        <v>197</v>
      </c>
      <c r="C137" s="41" t="s">
        <v>170</v>
      </c>
      <c r="D137" s="41" t="s">
        <v>34</v>
      </c>
      <c r="E137" s="42">
        <f t="shared" ref="E137:E138" si="17">F137</f>
        <v>0</v>
      </c>
      <c r="F137" s="43"/>
      <c r="G137" s="43"/>
      <c r="H137" s="43"/>
      <c r="I137" s="43"/>
      <c r="J137" s="42">
        <f t="shared" ref="J137:J138" si="18">L137+O137</f>
        <v>0</v>
      </c>
      <c r="K137" s="43"/>
      <c r="L137" s="43"/>
      <c r="M137" s="43"/>
      <c r="N137" s="43"/>
      <c r="O137" s="44">
        <f t="shared" ref="O137:O138" si="19">K137</f>
        <v>0</v>
      </c>
      <c r="P137" s="42">
        <f t="shared" ref="P137:P138" si="20">E137+J137</f>
        <v>0</v>
      </c>
      <c r="Q137" s="36"/>
      <c r="R137" s="26"/>
    </row>
    <row r="138" spans="1:20" s="33" customFormat="1" ht="48" hidden="1" thickTop="1" thickBot="1" x14ac:dyDescent="0.25">
      <c r="A138" s="41" t="s">
        <v>509</v>
      </c>
      <c r="B138" s="41" t="s">
        <v>363</v>
      </c>
      <c r="C138" s="41" t="s">
        <v>43</v>
      </c>
      <c r="D138" s="41" t="s">
        <v>364</v>
      </c>
      <c r="E138" s="42">
        <f t="shared" si="17"/>
        <v>0</v>
      </c>
      <c r="F138" s="43"/>
      <c r="G138" s="43"/>
      <c r="H138" s="43"/>
      <c r="I138" s="43"/>
      <c r="J138" s="42">
        <f t="shared" si="18"/>
        <v>0</v>
      </c>
      <c r="K138" s="43"/>
      <c r="L138" s="43"/>
      <c r="M138" s="43"/>
      <c r="N138" s="43"/>
      <c r="O138" s="44">
        <f t="shared" si="19"/>
        <v>0</v>
      </c>
      <c r="P138" s="42">
        <f t="shared" si="20"/>
        <v>0</v>
      </c>
      <c r="Q138" s="36"/>
      <c r="R138" s="30"/>
    </row>
    <row r="139" spans="1:20" ht="120" customHeight="1" thickTop="1" thickBot="1" x14ac:dyDescent="0.25">
      <c r="A139" s="661" t="s">
        <v>156</v>
      </c>
      <c r="B139" s="661"/>
      <c r="C139" s="661"/>
      <c r="D139" s="662" t="s">
        <v>37</v>
      </c>
      <c r="E139" s="663">
        <f>E140</f>
        <v>7261.5</v>
      </c>
      <c r="F139" s="664">
        <f t="shared" ref="F139:G139" si="21">F140</f>
        <v>7261.5</v>
      </c>
      <c r="G139" s="664">
        <f t="shared" si="21"/>
        <v>0</v>
      </c>
      <c r="H139" s="664">
        <f>H140</f>
        <v>7261.5</v>
      </c>
      <c r="I139" s="664">
        <f t="shared" ref="I139" si="22">I140</f>
        <v>0</v>
      </c>
      <c r="J139" s="663">
        <f>J140</f>
        <v>0</v>
      </c>
      <c r="K139" s="664">
        <f>K140</f>
        <v>0</v>
      </c>
      <c r="L139" s="664">
        <f>L140</f>
        <v>0</v>
      </c>
      <c r="M139" s="664">
        <f t="shared" ref="M139" si="23">M140</f>
        <v>0</v>
      </c>
      <c r="N139" s="664">
        <f>N140</f>
        <v>0</v>
      </c>
      <c r="O139" s="663">
        <f>O140</f>
        <v>0</v>
      </c>
      <c r="P139" s="664">
        <f>P140</f>
        <v>7261.5</v>
      </c>
      <c r="Q139" s="20"/>
    </row>
    <row r="140" spans="1:20" ht="120" customHeight="1" thickTop="1" thickBot="1" x14ac:dyDescent="0.25">
      <c r="A140" s="658" t="s">
        <v>157</v>
      </c>
      <c r="B140" s="658"/>
      <c r="C140" s="658"/>
      <c r="D140" s="659" t="s">
        <v>38</v>
      </c>
      <c r="E140" s="660">
        <f>E141+E145+E186+E190</f>
        <v>7261.5</v>
      </c>
      <c r="F140" s="660">
        <f>F141+F145+F186+F190</f>
        <v>7261.5</v>
      </c>
      <c r="G140" s="660">
        <f>G141+G145+G186+G190</f>
        <v>0</v>
      </c>
      <c r="H140" s="660">
        <f>H141+H145+H186+H190</f>
        <v>7261.5</v>
      </c>
      <c r="I140" s="660">
        <f>I141+I145+I186+I190</f>
        <v>0</v>
      </c>
      <c r="J140" s="660">
        <f t="shared" ref="J140" si="24">L140+O140</f>
        <v>0</v>
      </c>
      <c r="K140" s="660">
        <f>K141+K145+K186+K190</f>
        <v>0</v>
      </c>
      <c r="L140" s="660">
        <f>L141+L145+L186+L190</f>
        <v>0</v>
      </c>
      <c r="M140" s="660">
        <f>M141+M145+M186+M190</f>
        <v>0</v>
      </c>
      <c r="N140" s="660">
        <f>N141+N145+N186+N190</f>
        <v>0</v>
      </c>
      <c r="O140" s="660">
        <f>O141+O145+O186+O190</f>
        <v>0</v>
      </c>
      <c r="P140" s="660">
        <f>E140+J140</f>
        <v>7261.5</v>
      </c>
      <c r="Q140" s="503" t="b">
        <f>P140=P142+P144+P147+P148+P149+P150+P151+P152+P153+P154+P156+P157+P159+P160+P162+P163+P165+P166+P182+P184+P185+P188+P195+P193</f>
        <v>1</v>
      </c>
      <c r="R140" s="46"/>
      <c r="S140" s="46"/>
      <c r="T140" s="45"/>
    </row>
    <row r="141" spans="1:20" ht="47.25" thickTop="1" thickBot="1" x14ac:dyDescent="0.25">
      <c r="A141" s="311" t="s">
        <v>727</v>
      </c>
      <c r="B141" s="311" t="s">
        <v>684</v>
      </c>
      <c r="C141" s="311"/>
      <c r="D141" s="311" t="s">
        <v>685</v>
      </c>
      <c r="E141" s="328">
        <f>d3М!E136-d3П!E136</f>
        <v>0</v>
      </c>
      <c r="F141" s="328">
        <f>d3М!F136-d3П!F136</f>
        <v>0</v>
      </c>
      <c r="G141" s="328">
        <f>d3М!G136-d3П!G136</f>
        <v>0</v>
      </c>
      <c r="H141" s="328">
        <f>d3М!H136-d3П!H136</f>
        <v>0</v>
      </c>
      <c r="I141" s="328">
        <f>d3М!I136-d3П!I136</f>
        <v>0</v>
      </c>
      <c r="J141" s="328">
        <f>d3М!J136-d3П!J136</f>
        <v>0</v>
      </c>
      <c r="K141" s="328">
        <f>d3М!K136-d3П!K136</f>
        <v>0</v>
      </c>
      <c r="L141" s="328">
        <f>d3М!L136-d3П!L136</f>
        <v>0</v>
      </c>
      <c r="M141" s="328">
        <f>d3М!M136-d3П!M136</f>
        <v>0</v>
      </c>
      <c r="N141" s="328">
        <f>d3М!N136-d3П!N136</f>
        <v>0</v>
      </c>
      <c r="O141" s="328">
        <f>d3М!O136-d3П!O136</f>
        <v>0</v>
      </c>
      <c r="P141" s="328">
        <f>d3М!P136-d3П!P136</f>
        <v>0</v>
      </c>
      <c r="Q141" s="47"/>
      <c r="R141" s="46"/>
      <c r="T141" s="45"/>
    </row>
    <row r="142" spans="1:20" ht="93" thickTop="1" thickBot="1" x14ac:dyDescent="0.25">
      <c r="A142" s="103" t="s">
        <v>415</v>
      </c>
      <c r="B142" s="103" t="s">
        <v>236</v>
      </c>
      <c r="C142" s="103" t="s">
        <v>234</v>
      </c>
      <c r="D142" s="103" t="s">
        <v>235</v>
      </c>
      <c r="E142" s="328">
        <f>d3М!E137-d3П!E137</f>
        <v>0</v>
      </c>
      <c r="F142" s="328">
        <f>d3М!F137-d3П!F137</f>
        <v>0</v>
      </c>
      <c r="G142" s="328">
        <f>d3М!G137-d3П!G137</f>
        <v>0</v>
      </c>
      <c r="H142" s="328">
        <f>d3М!H137-d3П!H137</f>
        <v>0</v>
      </c>
      <c r="I142" s="328">
        <f>d3М!I137-d3П!I137</f>
        <v>0</v>
      </c>
      <c r="J142" s="328">
        <f>d3М!J137-d3П!J137</f>
        <v>0</v>
      </c>
      <c r="K142" s="328">
        <f>d3М!K137-d3П!K137</f>
        <v>0</v>
      </c>
      <c r="L142" s="328">
        <f>d3М!L137-d3П!L137</f>
        <v>0</v>
      </c>
      <c r="M142" s="328">
        <f>d3М!M137-d3П!M137</f>
        <v>0</v>
      </c>
      <c r="N142" s="328">
        <f>d3М!N137-d3П!N137</f>
        <v>0</v>
      </c>
      <c r="O142" s="328">
        <f>d3М!O137-d3П!O137</f>
        <v>0</v>
      </c>
      <c r="P142" s="328">
        <f>d3М!P137-d3П!P137</f>
        <v>0</v>
      </c>
      <c r="Q142" s="47"/>
      <c r="R142" s="46"/>
      <c r="T142" s="45"/>
    </row>
    <row r="143" spans="1:20" ht="93" hidden="1" thickTop="1" thickBot="1" x14ac:dyDescent="0.25">
      <c r="A143" s="103" t="s">
        <v>628</v>
      </c>
      <c r="B143" s="103" t="s">
        <v>362</v>
      </c>
      <c r="C143" s="103" t="s">
        <v>625</v>
      </c>
      <c r="D143" s="103" t="s">
        <v>626</v>
      </c>
      <c r="E143" s="328">
        <f>d3М!E138-d3П!E138</f>
        <v>0</v>
      </c>
      <c r="F143" s="328">
        <f>d3М!F138-d3П!F138</f>
        <v>0</v>
      </c>
      <c r="G143" s="328">
        <f>d3М!G138-d3П!G138</f>
        <v>0</v>
      </c>
      <c r="H143" s="328">
        <f>d3М!H138-d3П!H138</f>
        <v>0</v>
      </c>
      <c r="I143" s="328">
        <f>d3М!I138-d3П!I138</f>
        <v>0</v>
      </c>
      <c r="J143" s="328">
        <f>d3М!J138-d3П!J138</f>
        <v>0</v>
      </c>
      <c r="K143" s="328">
        <f>d3М!K138-d3П!K138</f>
        <v>0</v>
      </c>
      <c r="L143" s="328">
        <f>d3М!L138-d3П!L138</f>
        <v>0</v>
      </c>
      <c r="M143" s="328">
        <f>d3М!M138-d3П!M138</f>
        <v>0</v>
      </c>
      <c r="N143" s="328">
        <f>d3М!N138-d3П!N138</f>
        <v>0</v>
      </c>
      <c r="O143" s="328">
        <f>d3М!O138-d3П!O138</f>
        <v>0</v>
      </c>
      <c r="P143" s="328">
        <f>d3М!P138-d3П!P138</f>
        <v>0</v>
      </c>
      <c r="Q143" s="47"/>
      <c r="R143" s="46"/>
      <c r="T143" s="45"/>
    </row>
    <row r="144" spans="1:20" ht="47.25" thickTop="1" thickBot="1" x14ac:dyDescent="0.25">
      <c r="A144" s="103" t="s">
        <v>919</v>
      </c>
      <c r="B144" s="103" t="s">
        <v>43</v>
      </c>
      <c r="C144" s="103" t="s">
        <v>42</v>
      </c>
      <c r="D144" s="103" t="s">
        <v>248</v>
      </c>
      <c r="E144" s="328">
        <f>d3М!E139-d3П!E139</f>
        <v>0</v>
      </c>
      <c r="F144" s="328">
        <f>d3М!F139-d3П!F139</f>
        <v>0</v>
      </c>
      <c r="G144" s="328">
        <f>d3М!G139-d3П!G139</f>
        <v>0</v>
      </c>
      <c r="H144" s="328">
        <f>d3М!H139-d3П!H139</f>
        <v>0</v>
      </c>
      <c r="I144" s="328">
        <f>d3М!I139-d3П!I139</f>
        <v>0</v>
      </c>
      <c r="J144" s="328">
        <f>d3М!J139-d3П!J139</f>
        <v>0</v>
      </c>
      <c r="K144" s="328">
        <f>d3М!K139-d3П!K139</f>
        <v>0</v>
      </c>
      <c r="L144" s="328">
        <f>d3М!L139-d3П!L139</f>
        <v>0</v>
      </c>
      <c r="M144" s="328">
        <f>d3М!M139-d3П!M139</f>
        <v>0</v>
      </c>
      <c r="N144" s="328">
        <f>d3М!N139-d3П!N139</f>
        <v>0</v>
      </c>
      <c r="O144" s="328">
        <f>d3М!O139-d3П!O139</f>
        <v>0</v>
      </c>
      <c r="P144" s="328">
        <f>d3М!P139-d3П!P139</f>
        <v>0</v>
      </c>
      <c r="Q144" s="47"/>
      <c r="R144" s="46"/>
      <c r="T144" s="45"/>
    </row>
    <row r="145" spans="1:20" ht="47.25" thickTop="1" thickBot="1" x14ac:dyDescent="0.25">
      <c r="A145" s="311" t="s">
        <v>728</v>
      </c>
      <c r="B145" s="311" t="s">
        <v>711</v>
      </c>
      <c r="C145" s="311"/>
      <c r="D145" s="311" t="s">
        <v>712</v>
      </c>
      <c r="E145" s="328">
        <f>d3М!E140-d3П!E140</f>
        <v>7261.5</v>
      </c>
      <c r="F145" s="328">
        <f>d3М!F140-d3П!F140</f>
        <v>7261.5</v>
      </c>
      <c r="G145" s="328">
        <f>d3М!G140-d3П!G140</f>
        <v>0</v>
      </c>
      <c r="H145" s="328">
        <f>d3М!H140-d3П!H140</f>
        <v>7261.5</v>
      </c>
      <c r="I145" s="328">
        <f>d3М!I140-d3П!I140</f>
        <v>0</v>
      </c>
      <c r="J145" s="328">
        <f>d3М!J140-d3П!J140</f>
        <v>0</v>
      </c>
      <c r="K145" s="328">
        <f>d3М!K140-d3П!K140</f>
        <v>0</v>
      </c>
      <c r="L145" s="328">
        <f>d3М!L140-d3П!L140</f>
        <v>0</v>
      </c>
      <c r="M145" s="328">
        <f>d3М!M140-d3П!M140</f>
        <v>0</v>
      </c>
      <c r="N145" s="328">
        <f>d3М!N140-d3П!N140</f>
        <v>0</v>
      </c>
      <c r="O145" s="328">
        <f>d3М!O140-d3П!O140</f>
        <v>0</v>
      </c>
      <c r="P145" s="328">
        <f>d3М!P140-d3П!P140</f>
        <v>7261.5</v>
      </c>
      <c r="Q145" s="47"/>
      <c r="R145" s="46"/>
      <c r="T145" s="45"/>
    </row>
    <row r="146" spans="1:20" ht="138.75" thickTop="1" thickBot="1" x14ac:dyDescent="0.25">
      <c r="A146" s="329" t="s">
        <v>729</v>
      </c>
      <c r="B146" s="329" t="s">
        <v>730</v>
      </c>
      <c r="C146" s="329"/>
      <c r="D146" s="329" t="s">
        <v>731</v>
      </c>
      <c r="E146" s="328">
        <f>d3М!E141-d3П!E141</f>
        <v>0</v>
      </c>
      <c r="F146" s="328">
        <f>d3М!F141-d3П!F141</f>
        <v>0</v>
      </c>
      <c r="G146" s="328">
        <f>d3М!G141-d3П!G141</f>
        <v>0</v>
      </c>
      <c r="H146" s="328">
        <f>d3М!H141-d3П!H141</f>
        <v>0</v>
      </c>
      <c r="I146" s="328">
        <f>d3М!I141-d3П!I141</f>
        <v>0</v>
      </c>
      <c r="J146" s="328">
        <f>d3М!J141-d3П!J141</f>
        <v>0</v>
      </c>
      <c r="K146" s="328">
        <f>d3М!K141-d3П!K141</f>
        <v>0</v>
      </c>
      <c r="L146" s="328">
        <f>d3М!L141-d3П!L141</f>
        <v>0</v>
      </c>
      <c r="M146" s="328">
        <f>d3М!M141-d3П!M141</f>
        <v>0</v>
      </c>
      <c r="N146" s="328">
        <f>d3М!N141-d3П!N141</f>
        <v>0</v>
      </c>
      <c r="O146" s="328">
        <f>d3М!O141-d3П!O141</f>
        <v>0</v>
      </c>
      <c r="P146" s="328">
        <f>d3М!P141-d3П!P141</f>
        <v>0</v>
      </c>
      <c r="Q146" s="150"/>
      <c r="R146" s="48"/>
      <c r="T146" s="49"/>
    </row>
    <row r="147" spans="1:20" s="33" customFormat="1" ht="47.25" thickTop="1" thickBot="1" x14ac:dyDescent="0.25">
      <c r="A147" s="103" t="s">
        <v>269</v>
      </c>
      <c r="B147" s="103" t="s">
        <v>270</v>
      </c>
      <c r="C147" s="103" t="s">
        <v>205</v>
      </c>
      <c r="D147" s="330" t="s">
        <v>271</v>
      </c>
      <c r="E147" s="328">
        <f>d3М!E142-d3П!E142</f>
        <v>0</v>
      </c>
      <c r="F147" s="328">
        <f>d3М!F142-d3П!F142</f>
        <v>0</v>
      </c>
      <c r="G147" s="328">
        <f>d3М!G142-d3П!G142</f>
        <v>0</v>
      </c>
      <c r="H147" s="328">
        <f>d3М!H142-d3П!H142</f>
        <v>0</v>
      </c>
      <c r="I147" s="328">
        <f>d3М!I142-d3П!I142</f>
        <v>0</v>
      </c>
      <c r="J147" s="328">
        <f>d3М!J142-d3П!J142</f>
        <v>0</v>
      </c>
      <c r="K147" s="328">
        <f>d3М!K142-d3П!K142</f>
        <v>0</v>
      </c>
      <c r="L147" s="328">
        <f>d3М!L142-d3П!L142</f>
        <v>0</v>
      </c>
      <c r="M147" s="328">
        <f>d3М!M142-d3П!M142</f>
        <v>0</v>
      </c>
      <c r="N147" s="328">
        <f>d3М!N142-d3П!N142</f>
        <v>0</v>
      </c>
      <c r="O147" s="328">
        <f>d3М!O142-d3П!O142</f>
        <v>0</v>
      </c>
      <c r="P147" s="328">
        <f>d3М!P142-d3П!P142</f>
        <v>0</v>
      </c>
      <c r="Q147" s="36"/>
      <c r="R147" s="46"/>
    </row>
    <row r="148" spans="1:20" s="33" customFormat="1" ht="47.25" thickTop="1" thickBot="1" x14ac:dyDescent="0.25">
      <c r="A148" s="103" t="s">
        <v>272</v>
      </c>
      <c r="B148" s="103" t="s">
        <v>273</v>
      </c>
      <c r="C148" s="103" t="s">
        <v>206</v>
      </c>
      <c r="D148" s="103" t="s">
        <v>6</v>
      </c>
      <c r="E148" s="328">
        <f>d3М!E143-d3П!E143</f>
        <v>0</v>
      </c>
      <c r="F148" s="328">
        <f>d3М!F143-d3П!F143</f>
        <v>0</v>
      </c>
      <c r="G148" s="328">
        <f>d3М!G143-d3П!G143</f>
        <v>0</v>
      </c>
      <c r="H148" s="328">
        <f>d3М!H143-d3П!H143</f>
        <v>0</v>
      </c>
      <c r="I148" s="328">
        <f>d3М!I143-d3П!I143</f>
        <v>0</v>
      </c>
      <c r="J148" s="328">
        <f>d3М!J143-d3П!J143</f>
        <v>0</v>
      </c>
      <c r="K148" s="328">
        <f>d3М!K143-d3П!K143</f>
        <v>0</v>
      </c>
      <c r="L148" s="328">
        <f>d3М!L143-d3П!L143</f>
        <v>0</v>
      </c>
      <c r="M148" s="328">
        <f>d3М!M143-d3П!M143</f>
        <v>0</v>
      </c>
      <c r="N148" s="328">
        <f>d3М!N143-d3П!N143</f>
        <v>0</v>
      </c>
      <c r="O148" s="328">
        <f>d3М!O143-d3П!O143</f>
        <v>0</v>
      </c>
      <c r="P148" s="328">
        <f>d3М!P143-d3П!P143</f>
        <v>0</v>
      </c>
      <c r="Q148" s="36"/>
      <c r="R148" s="50"/>
    </row>
    <row r="149" spans="1:20" s="33" customFormat="1" ht="93" thickTop="1" thickBot="1" x14ac:dyDescent="0.25">
      <c r="A149" s="103" t="s">
        <v>275</v>
      </c>
      <c r="B149" s="103" t="s">
        <v>276</v>
      </c>
      <c r="C149" s="103" t="s">
        <v>206</v>
      </c>
      <c r="D149" s="103" t="s">
        <v>7</v>
      </c>
      <c r="E149" s="328">
        <f>d3М!E144-d3П!E144</f>
        <v>0</v>
      </c>
      <c r="F149" s="328">
        <f>d3М!F144-d3П!F144</f>
        <v>0</v>
      </c>
      <c r="G149" s="328">
        <f>d3М!G144-d3П!G144</f>
        <v>0</v>
      </c>
      <c r="H149" s="328">
        <f>d3М!H144-d3П!H144</f>
        <v>0</v>
      </c>
      <c r="I149" s="328">
        <f>d3М!I144-d3П!I144</f>
        <v>0</v>
      </c>
      <c r="J149" s="328">
        <f>d3М!J144-d3П!J144</f>
        <v>0</v>
      </c>
      <c r="K149" s="328">
        <f>d3М!K144-d3П!K144</f>
        <v>0</v>
      </c>
      <c r="L149" s="328">
        <f>d3М!L144-d3П!L144</f>
        <v>0</v>
      </c>
      <c r="M149" s="328">
        <f>d3М!M144-d3П!M144</f>
        <v>0</v>
      </c>
      <c r="N149" s="328">
        <f>d3М!N144-d3П!N144</f>
        <v>0</v>
      </c>
      <c r="O149" s="328">
        <f>d3М!O144-d3П!O144</f>
        <v>0</v>
      </c>
      <c r="P149" s="328">
        <f>d3М!P144-d3П!P144</f>
        <v>0</v>
      </c>
      <c r="Q149" s="36"/>
      <c r="R149" s="50"/>
    </row>
    <row r="150" spans="1:20" s="33" customFormat="1" ht="93" thickTop="1" thickBot="1" x14ac:dyDescent="0.25">
      <c r="A150" s="103" t="s">
        <v>277</v>
      </c>
      <c r="B150" s="103" t="s">
        <v>274</v>
      </c>
      <c r="C150" s="103" t="s">
        <v>206</v>
      </c>
      <c r="D150" s="103" t="s">
        <v>8</v>
      </c>
      <c r="E150" s="328">
        <f>d3М!E145-d3П!E145</f>
        <v>0</v>
      </c>
      <c r="F150" s="328">
        <f>d3М!F145-d3П!F145</f>
        <v>0</v>
      </c>
      <c r="G150" s="328">
        <f>d3М!G145-d3П!G145</f>
        <v>0</v>
      </c>
      <c r="H150" s="328">
        <f>d3М!H145-d3П!H145</f>
        <v>0</v>
      </c>
      <c r="I150" s="328">
        <f>d3М!I145-d3П!I145</f>
        <v>0</v>
      </c>
      <c r="J150" s="328">
        <f>d3М!J145-d3П!J145</f>
        <v>0</v>
      </c>
      <c r="K150" s="328">
        <f>d3М!K145-d3П!K145</f>
        <v>0</v>
      </c>
      <c r="L150" s="328">
        <f>d3М!L145-d3П!L145</f>
        <v>0</v>
      </c>
      <c r="M150" s="328">
        <f>d3М!M145-d3П!M145</f>
        <v>0</v>
      </c>
      <c r="N150" s="328">
        <f>d3М!N145-d3П!N145</f>
        <v>0</v>
      </c>
      <c r="O150" s="328">
        <f>d3М!O145-d3П!O145</f>
        <v>0</v>
      </c>
      <c r="P150" s="328">
        <f>d3М!P145-d3П!P145</f>
        <v>0</v>
      </c>
      <c r="Q150" s="36"/>
      <c r="R150" s="50"/>
    </row>
    <row r="151" spans="1:20" s="33" customFormat="1" ht="93" thickTop="1" thickBot="1" x14ac:dyDescent="0.25">
      <c r="A151" s="103" t="s">
        <v>278</v>
      </c>
      <c r="B151" s="103" t="s">
        <v>279</v>
      </c>
      <c r="C151" s="103" t="s">
        <v>206</v>
      </c>
      <c r="D151" s="103" t="s">
        <v>9</v>
      </c>
      <c r="E151" s="328">
        <f>d3М!E146-d3П!E146</f>
        <v>0</v>
      </c>
      <c r="F151" s="328">
        <f>d3М!F146-d3П!F146</f>
        <v>0</v>
      </c>
      <c r="G151" s="328">
        <f>d3М!G146-d3П!G146</f>
        <v>0</v>
      </c>
      <c r="H151" s="328">
        <f>d3М!H146-d3П!H146</f>
        <v>0</v>
      </c>
      <c r="I151" s="328">
        <f>d3М!I146-d3П!I146</f>
        <v>0</v>
      </c>
      <c r="J151" s="328">
        <f>d3М!J146-d3П!J146</f>
        <v>0</v>
      </c>
      <c r="K151" s="328">
        <f>d3М!K146-d3П!K146</f>
        <v>0</v>
      </c>
      <c r="L151" s="328">
        <f>d3М!L146-d3П!L146</f>
        <v>0</v>
      </c>
      <c r="M151" s="328">
        <f>d3М!M146-d3П!M146</f>
        <v>0</v>
      </c>
      <c r="N151" s="328">
        <f>d3М!N146-d3П!N146</f>
        <v>0</v>
      </c>
      <c r="O151" s="328">
        <f>d3М!O146-d3П!O146</f>
        <v>0</v>
      </c>
      <c r="P151" s="328">
        <f>d3М!P146-d3П!P146</f>
        <v>0</v>
      </c>
      <c r="Q151" s="36"/>
      <c r="R151" s="50"/>
    </row>
    <row r="152" spans="1:20" s="33" customFormat="1" ht="93" thickTop="1" thickBot="1" x14ac:dyDescent="0.25">
      <c r="A152" s="103" t="s">
        <v>478</v>
      </c>
      <c r="B152" s="103" t="s">
        <v>479</v>
      </c>
      <c r="C152" s="103" t="s">
        <v>206</v>
      </c>
      <c r="D152" s="103" t="s">
        <v>480</v>
      </c>
      <c r="E152" s="328">
        <f>d3М!E147-d3П!E147</f>
        <v>0</v>
      </c>
      <c r="F152" s="328">
        <f>d3М!F147-d3П!F147</f>
        <v>0</v>
      </c>
      <c r="G152" s="328">
        <f>d3М!G147-d3П!G147</f>
        <v>0</v>
      </c>
      <c r="H152" s="328">
        <f>d3М!H147-d3П!H147</f>
        <v>0</v>
      </c>
      <c r="I152" s="328">
        <f>d3М!I147-d3П!I147</f>
        <v>0</v>
      </c>
      <c r="J152" s="328">
        <f>d3М!J147-d3П!J147</f>
        <v>0</v>
      </c>
      <c r="K152" s="328">
        <f>d3М!K147-d3П!K147</f>
        <v>0</v>
      </c>
      <c r="L152" s="328">
        <f>d3М!L147-d3П!L147</f>
        <v>0</v>
      </c>
      <c r="M152" s="328">
        <f>d3М!M147-d3П!M147</f>
        <v>0</v>
      </c>
      <c r="N152" s="328">
        <f>d3М!N147-d3П!N147</f>
        <v>0</v>
      </c>
      <c r="O152" s="328">
        <f>d3М!O147-d3П!O147</f>
        <v>0</v>
      </c>
      <c r="P152" s="328">
        <f>d3М!P147-d3П!P147</f>
        <v>0</v>
      </c>
      <c r="Q152" s="36"/>
      <c r="R152" s="50"/>
    </row>
    <row r="153" spans="1:20" s="33" customFormat="1" ht="47.25" thickTop="1" thickBot="1" x14ac:dyDescent="0.25">
      <c r="A153" s="103" t="s">
        <v>920</v>
      </c>
      <c r="B153" s="103" t="s">
        <v>921</v>
      </c>
      <c r="C153" s="103" t="s">
        <v>206</v>
      </c>
      <c r="D153" s="103" t="s">
        <v>922</v>
      </c>
      <c r="E153" s="328">
        <f>d3М!E148-d3П!E148</f>
        <v>0</v>
      </c>
      <c r="F153" s="328">
        <f>d3М!F148-d3П!F148</f>
        <v>0</v>
      </c>
      <c r="G153" s="328">
        <f>d3М!G148-d3П!G148</f>
        <v>0</v>
      </c>
      <c r="H153" s="328">
        <f>d3М!H148-d3П!H148</f>
        <v>0</v>
      </c>
      <c r="I153" s="328">
        <f>d3М!I148-d3П!I148</f>
        <v>0</v>
      </c>
      <c r="J153" s="328">
        <f>d3М!J148-d3П!J148</f>
        <v>0</v>
      </c>
      <c r="K153" s="328">
        <f>d3М!K148-d3П!K148</f>
        <v>0</v>
      </c>
      <c r="L153" s="328">
        <f>d3М!L148-d3П!L148</f>
        <v>0</v>
      </c>
      <c r="M153" s="328">
        <f>d3М!M148-d3П!M148</f>
        <v>0</v>
      </c>
      <c r="N153" s="328">
        <f>d3М!N148-d3П!N148</f>
        <v>0</v>
      </c>
      <c r="O153" s="328">
        <f>d3М!O148-d3П!O148</f>
        <v>0</v>
      </c>
      <c r="P153" s="328">
        <f>d3М!P148-d3П!P148</f>
        <v>0</v>
      </c>
      <c r="Q153" s="36"/>
      <c r="R153" s="50"/>
    </row>
    <row r="154" spans="1:20" ht="93" thickTop="1" thickBot="1" x14ac:dyDescent="0.25">
      <c r="A154" s="103" t="s">
        <v>481</v>
      </c>
      <c r="B154" s="103" t="s">
        <v>482</v>
      </c>
      <c r="C154" s="103" t="s">
        <v>205</v>
      </c>
      <c r="D154" s="103" t="s">
        <v>483</v>
      </c>
      <c r="E154" s="328">
        <f>d3М!E149-d3П!E149</f>
        <v>0</v>
      </c>
      <c r="F154" s="328">
        <f>d3М!F149-d3П!F149</f>
        <v>0</v>
      </c>
      <c r="G154" s="328">
        <f>d3М!G149-d3П!G149</f>
        <v>0</v>
      </c>
      <c r="H154" s="328">
        <f>d3М!H149-d3П!H149</f>
        <v>0</v>
      </c>
      <c r="I154" s="328">
        <f>d3М!I149-d3П!I149</f>
        <v>0</v>
      </c>
      <c r="J154" s="328">
        <f>d3М!J149-d3П!J149</f>
        <v>0</v>
      </c>
      <c r="K154" s="328">
        <f>d3М!K149-d3П!K149</f>
        <v>0</v>
      </c>
      <c r="L154" s="328">
        <f>d3М!L149-d3П!L149</f>
        <v>0</v>
      </c>
      <c r="M154" s="328">
        <f>d3М!M149-d3П!M149</f>
        <v>0</v>
      </c>
      <c r="N154" s="328">
        <f>d3М!N149-d3П!N149</f>
        <v>0</v>
      </c>
      <c r="O154" s="328">
        <f>d3М!O149-d3П!O149</f>
        <v>0</v>
      </c>
      <c r="P154" s="328">
        <f>d3М!P149-d3П!P149</f>
        <v>0</v>
      </c>
      <c r="Q154" s="20"/>
      <c r="R154" s="50"/>
    </row>
    <row r="155" spans="1:20" s="33" customFormat="1" ht="93" thickTop="1" thickBot="1" x14ac:dyDescent="0.25">
      <c r="A155" s="329" t="s">
        <v>732</v>
      </c>
      <c r="B155" s="329" t="s">
        <v>733</v>
      </c>
      <c r="C155" s="329"/>
      <c r="D155" s="329" t="s">
        <v>734</v>
      </c>
      <c r="E155" s="328">
        <f>d3М!E150-d3П!E150</f>
        <v>7261.5</v>
      </c>
      <c r="F155" s="328">
        <f>d3М!F150-d3П!F150</f>
        <v>7261.5</v>
      </c>
      <c r="G155" s="328">
        <f>d3М!G150-d3П!G150</f>
        <v>0</v>
      </c>
      <c r="H155" s="328">
        <f>d3М!H150-d3П!H150</f>
        <v>7261.5</v>
      </c>
      <c r="I155" s="328">
        <f>d3М!I150-d3П!I150</f>
        <v>0</v>
      </c>
      <c r="J155" s="328">
        <f>d3М!J150-d3П!J150</f>
        <v>0</v>
      </c>
      <c r="K155" s="328">
        <f>d3М!K150-d3П!K150</f>
        <v>0</v>
      </c>
      <c r="L155" s="328">
        <f>d3М!L150-d3П!L150</f>
        <v>0</v>
      </c>
      <c r="M155" s="328">
        <f>d3М!M150-d3П!M150</f>
        <v>0</v>
      </c>
      <c r="N155" s="328">
        <f>d3М!N150-d3П!N150</f>
        <v>0</v>
      </c>
      <c r="O155" s="328">
        <f>d3М!O150-d3П!O150</f>
        <v>0</v>
      </c>
      <c r="P155" s="328">
        <f>d3М!P150-d3П!P150</f>
        <v>7261.5</v>
      </c>
      <c r="Q155" s="36"/>
      <c r="R155" s="51"/>
    </row>
    <row r="156" spans="1:20" ht="93" thickTop="1" thickBot="1" x14ac:dyDescent="0.25">
      <c r="A156" s="103" t="s">
        <v>267</v>
      </c>
      <c r="B156" s="103" t="s">
        <v>265</v>
      </c>
      <c r="C156" s="103" t="s">
        <v>200</v>
      </c>
      <c r="D156" s="103" t="s">
        <v>17</v>
      </c>
      <c r="E156" s="328">
        <f>d3М!E151-d3П!E151</f>
        <v>7261.5</v>
      </c>
      <c r="F156" s="328">
        <f>d3М!F151-d3П!F151</f>
        <v>7261.5</v>
      </c>
      <c r="G156" s="328">
        <f>d3М!G151-d3П!G151</f>
        <v>0</v>
      </c>
      <c r="H156" s="328">
        <f>d3М!H151-d3П!H151</f>
        <v>7261.5</v>
      </c>
      <c r="I156" s="328">
        <f>d3М!I151-d3П!I151</f>
        <v>0</v>
      </c>
      <c r="J156" s="328">
        <f>d3М!J151-d3П!J151</f>
        <v>0</v>
      </c>
      <c r="K156" s="328">
        <f>d3М!K151-d3П!K151</f>
        <v>0</v>
      </c>
      <c r="L156" s="328">
        <f>d3М!L151-d3П!L151</f>
        <v>0</v>
      </c>
      <c r="M156" s="328">
        <f>d3М!M151-d3П!M151</f>
        <v>0</v>
      </c>
      <c r="N156" s="328">
        <f>d3М!N151-d3П!N151</f>
        <v>0</v>
      </c>
      <c r="O156" s="328">
        <f>d3М!O151-d3П!O151</f>
        <v>0</v>
      </c>
      <c r="P156" s="328">
        <f>d3М!P151-d3П!P151</f>
        <v>7261.5</v>
      </c>
      <c r="Q156" s="20"/>
      <c r="R156" s="46"/>
    </row>
    <row r="157" spans="1:20" ht="47.25" thickTop="1" thickBot="1" x14ac:dyDescent="0.25">
      <c r="A157" s="103" t="s">
        <v>268</v>
      </c>
      <c r="B157" s="103" t="s">
        <v>266</v>
      </c>
      <c r="C157" s="103" t="s">
        <v>199</v>
      </c>
      <c r="D157" s="103" t="s">
        <v>455</v>
      </c>
      <c r="E157" s="328">
        <f>d3М!E152-d3П!E152</f>
        <v>0</v>
      </c>
      <c r="F157" s="328">
        <f>d3М!F152-d3П!F152</f>
        <v>0</v>
      </c>
      <c r="G157" s="328">
        <f>d3М!G152-d3П!G152</f>
        <v>0</v>
      </c>
      <c r="H157" s="328">
        <f>d3М!H152-d3П!H152</f>
        <v>0</v>
      </c>
      <c r="I157" s="328">
        <f>d3М!I152-d3П!I152</f>
        <v>0</v>
      </c>
      <c r="J157" s="328">
        <f>d3М!J152-d3П!J152</f>
        <v>0</v>
      </c>
      <c r="K157" s="328">
        <f>d3М!K152-d3П!K152</f>
        <v>0</v>
      </c>
      <c r="L157" s="328">
        <f>d3М!L152-d3П!L152</f>
        <v>0</v>
      </c>
      <c r="M157" s="328">
        <f>d3М!M152-d3П!M152</f>
        <v>0</v>
      </c>
      <c r="N157" s="328">
        <f>d3М!N152-d3П!N152</f>
        <v>0</v>
      </c>
      <c r="O157" s="328">
        <f>d3М!O152-d3П!O152</f>
        <v>0</v>
      </c>
      <c r="P157" s="328">
        <f>d3М!P152-d3П!P152</f>
        <v>0</v>
      </c>
      <c r="Q157" s="20"/>
      <c r="R157" s="46"/>
    </row>
    <row r="158" spans="1:20" ht="47.25" thickTop="1" thickBot="1" x14ac:dyDescent="0.25">
      <c r="A158" s="329" t="s">
        <v>1020</v>
      </c>
      <c r="B158" s="329" t="s">
        <v>765</v>
      </c>
      <c r="C158" s="329"/>
      <c r="D158" s="329" t="s">
        <v>766</v>
      </c>
      <c r="E158" s="328">
        <f>d3М!E153-d3П!E153</f>
        <v>0</v>
      </c>
      <c r="F158" s="328">
        <f>d3М!F153-d3П!F153</f>
        <v>0</v>
      </c>
      <c r="G158" s="328">
        <f>d3М!G153-d3П!G153</f>
        <v>0</v>
      </c>
      <c r="H158" s="328">
        <f>d3М!H153-d3П!H153</f>
        <v>0</v>
      </c>
      <c r="I158" s="328">
        <f>d3М!I153-d3П!I153</f>
        <v>0</v>
      </c>
      <c r="J158" s="328">
        <f>d3М!J153-d3П!J153</f>
        <v>0</v>
      </c>
      <c r="K158" s="328">
        <f>d3М!K153-d3П!K153</f>
        <v>0</v>
      </c>
      <c r="L158" s="328">
        <f>d3М!L153-d3П!L153</f>
        <v>0</v>
      </c>
      <c r="M158" s="328">
        <f>d3М!M153-d3П!M153</f>
        <v>0</v>
      </c>
      <c r="N158" s="328">
        <f>d3М!N153-d3П!N153</f>
        <v>0</v>
      </c>
      <c r="O158" s="328">
        <f>d3М!O153-d3П!O153</f>
        <v>0</v>
      </c>
      <c r="P158" s="328">
        <f>d3М!P153-d3П!P153</f>
        <v>0</v>
      </c>
      <c r="Q158" s="20"/>
      <c r="R158" s="46"/>
    </row>
    <row r="159" spans="1:20" ht="47.25" thickTop="1" thickBot="1" x14ac:dyDescent="0.25">
      <c r="A159" s="103" t="s">
        <v>1215</v>
      </c>
      <c r="B159" s="103" t="s">
        <v>184</v>
      </c>
      <c r="C159" s="103" t="s">
        <v>185</v>
      </c>
      <c r="D159" s="103" t="s">
        <v>638</v>
      </c>
      <c r="E159" s="328">
        <f>d3М!E154-d3П!E154</f>
        <v>0</v>
      </c>
      <c r="F159" s="328">
        <f>d3М!F154-d3П!F154</f>
        <v>0</v>
      </c>
      <c r="G159" s="328">
        <f>d3М!G154-d3П!G154</f>
        <v>0</v>
      </c>
      <c r="H159" s="328">
        <f>d3М!H154-d3П!H154</f>
        <v>0</v>
      </c>
      <c r="I159" s="328">
        <f>d3М!I154-d3П!I154</f>
        <v>0</v>
      </c>
      <c r="J159" s="328">
        <f>d3М!J154-d3П!J154</f>
        <v>0</v>
      </c>
      <c r="K159" s="328">
        <f>d3М!K154-d3П!K154</f>
        <v>0</v>
      </c>
      <c r="L159" s="328">
        <f>d3М!L154-d3П!L154</f>
        <v>0</v>
      </c>
      <c r="M159" s="328">
        <f>d3М!M154-d3П!M154</f>
        <v>0</v>
      </c>
      <c r="N159" s="328">
        <f>d3М!N154-d3П!N154</f>
        <v>0</v>
      </c>
      <c r="O159" s="328">
        <f>d3М!O154-d3П!O154</f>
        <v>0</v>
      </c>
      <c r="P159" s="328">
        <f>d3М!P154-d3П!P154</f>
        <v>0</v>
      </c>
      <c r="Q159" s="20"/>
      <c r="R159" s="46"/>
    </row>
    <row r="160" spans="1:20" ht="138.75" thickTop="1" thickBot="1" x14ac:dyDescent="0.25">
      <c r="A160" s="103" t="s">
        <v>263</v>
      </c>
      <c r="B160" s="103" t="s">
        <v>264</v>
      </c>
      <c r="C160" s="103" t="s">
        <v>199</v>
      </c>
      <c r="D160" s="103" t="s">
        <v>453</v>
      </c>
      <c r="E160" s="328">
        <f>d3М!E155-d3П!E155</f>
        <v>0</v>
      </c>
      <c r="F160" s="328">
        <f>d3М!F155-d3П!F155</f>
        <v>0</v>
      </c>
      <c r="G160" s="328">
        <f>d3М!G155-d3П!G155</f>
        <v>0</v>
      </c>
      <c r="H160" s="328">
        <f>d3М!H155-d3П!H155</f>
        <v>0</v>
      </c>
      <c r="I160" s="328">
        <f>d3М!I155-d3П!I155</f>
        <v>0</v>
      </c>
      <c r="J160" s="328">
        <f>d3М!J155-d3П!J155</f>
        <v>0</v>
      </c>
      <c r="K160" s="328">
        <f>d3М!K155-d3П!K155</f>
        <v>0</v>
      </c>
      <c r="L160" s="328">
        <f>d3М!L155-d3П!L155</f>
        <v>0</v>
      </c>
      <c r="M160" s="328">
        <f>d3М!M155-d3П!M155</f>
        <v>0</v>
      </c>
      <c r="N160" s="328">
        <f>d3М!N155-d3П!N155</f>
        <v>0</v>
      </c>
      <c r="O160" s="328">
        <f>d3М!O155-d3П!O155</f>
        <v>0</v>
      </c>
      <c r="P160" s="328">
        <f>d3М!P155-d3П!P155</f>
        <v>0</v>
      </c>
      <c r="Q160" s="20"/>
      <c r="R160" s="50"/>
    </row>
    <row r="161" spans="1:18" ht="47.25" thickTop="1" thickBot="1" x14ac:dyDescent="0.25">
      <c r="A161" s="329" t="s">
        <v>881</v>
      </c>
      <c r="B161" s="329" t="s">
        <v>882</v>
      </c>
      <c r="C161" s="329"/>
      <c r="D161" s="329" t="s">
        <v>883</v>
      </c>
      <c r="E161" s="328">
        <f>d3М!E156-d3П!E156</f>
        <v>0</v>
      </c>
      <c r="F161" s="328">
        <f>d3М!F156-d3П!F156</f>
        <v>0</v>
      </c>
      <c r="G161" s="328">
        <f>d3М!G156-d3П!G156</f>
        <v>0</v>
      </c>
      <c r="H161" s="328">
        <f>d3М!H156-d3П!H156</f>
        <v>0</v>
      </c>
      <c r="I161" s="328">
        <f>d3М!I156-d3П!I156</f>
        <v>0</v>
      </c>
      <c r="J161" s="328">
        <f>d3М!J156-d3П!J156</f>
        <v>0</v>
      </c>
      <c r="K161" s="328">
        <f>d3М!K156-d3П!K156</f>
        <v>0</v>
      </c>
      <c r="L161" s="328">
        <f>d3М!L156-d3П!L156</f>
        <v>0</v>
      </c>
      <c r="M161" s="328">
        <f>d3М!M156-d3П!M156</f>
        <v>0</v>
      </c>
      <c r="N161" s="328">
        <f>d3М!N156-d3П!N156</f>
        <v>0</v>
      </c>
      <c r="O161" s="328">
        <f>d3М!O156-d3П!O156</f>
        <v>0</v>
      </c>
      <c r="P161" s="328">
        <f>d3М!P156-d3П!P156</f>
        <v>0</v>
      </c>
      <c r="Q161" s="20"/>
      <c r="R161" s="50"/>
    </row>
    <row r="162" spans="1:18" ht="93" thickTop="1" thickBot="1" x14ac:dyDescent="0.25">
      <c r="A162" s="103" t="s">
        <v>484</v>
      </c>
      <c r="B162" s="103" t="s">
        <v>485</v>
      </c>
      <c r="C162" s="103" t="s">
        <v>199</v>
      </c>
      <c r="D162" s="103" t="s">
        <v>486</v>
      </c>
      <c r="E162" s="328">
        <f>d3М!E157-d3П!E157</f>
        <v>0</v>
      </c>
      <c r="F162" s="328">
        <f>d3М!F157-d3П!F157</f>
        <v>0</v>
      </c>
      <c r="G162" s="328">
        <f>d3М!G157-d3П!G157</f>
        <v>0</v>
      </c>
      <c r="H162" s="328">
        <f>d3М!H157-d3П!H157</f>
        <v>0</v>
      </c>
      <c r="I162" s="328">
        <f>d3М!I157-d3П!I157</f>
        <v>0</v>
      </c>
      <c r="J162" s="328">
        <f>d3М!J157-d3П!J157</f>
        <v>0</v>
      </c>
      <c r="K162" s="328">
        <f>d3М!K157-d3П!K157</f>
        <v>0</v>
      </c>
      <c r="L162" s="328">
        <f>d3М!L157-d3П!L157</f>
        <v>0</v>
      </c>
      <c r="M162" s="328">
        <f>d3М!M157-d3П!M157</f>
        <v>0</v>
      </c>
      <c r="N162" s="328">
        <f>d3М!N157-d3П!N157</f>
        <v>0</v>
      </c>
      <c r="O162" s="328">
        <f>d3М!O157-d3П!O157</f>
        <v>0</v>
      </c>
      <c r="P162" s="328">
        <f>d3М!P157-d3П!P157</f>
        <v>0</v>
      </c>
      <c r="Q162" s="20"/>
      <c r="R162" s="50"/>
    </row>
    <row r="163" spans="1:18" ht="138.75" thickTop="1" thickBot="1" x14ac:dyDescent="0.25">
      <c r="A163" s="103" t="s">
        <v>348</v>
      </c>
      <c r="B163" s="103" t="s">
        <v>347</v>
      </c>
      <c r="C163" s="103" t="s">
        <v>50</v>
      </c>
      <c r="D163" s="103" t="s">
        <v>454</v>
      </c>
      <c r="E163" s="328">
        <f>d3М!E158-d3П!E158</f>
        <v>0</v>
      </c>
      <c r="F163" s="328">
        <f>d3М!F158-d3П!F158</f>
        <v>0</v>
      </c>
      <c r="G163" s="328">
        <f>d3М!G158-d3П!G158</f>
        <v>0</v>
      </c>
      <c r="H163" s="328">
        <f>d3М!H158-d3П!H158</f>
        <v>0</v>
      </c>
      <c r="I163" s="328">
        <f>d3М!I158-d3П!I158</f>
        <v>0</v>
      </c>
      <c r="J163" s="328">
        <f>d3М!J158-d3П!J158</f>
        <v>0</v>
      </c>
      <c r="K163" s="328">
        <f>d3М!K158-d3П!K158</f>
        <v>0</v>
      </c>
      <c r="L163" s="328">
        <f>d3М!L158-d3П!L158</f>
        <v>0</v>
      </c>
      <c r="M163" s="328">
        <f>d3М!M158-d3П!M158</f>
        <v>0</v>
      </c>
      <c r="N163" s="328">
        <f>d3М!N158-d3П!N158</f>
        <v>0</v>
      </c>
      <c r="O163" s="328">
        <f>d3М!O158-d3П!O158</f>
        <v>0</v>
      </c>
      <c r="P163" s="328">
        <f>d3М!P158-d3П!P158</f>
        <v>0</v>
      </c>
      <c r="Q163" s="20"/>
      <c r="R163" s="50"/>
    </row>
    <row r="164" spans="1:18" s="33" customFormat="1" ht="47.25" thickTop="1" thickBot="1" x14ac:dyDescent="0.25">
      <c r="A164" s="329" t="s">
        <v>735</v>
      </c>
      <c r="B164" s="329" t="s">
        <v>736</v>
      </c>
      <c r="C164" s="329"/>
      <c r="D164" s="329" t="s">
        <v>737</v>
      </c>
      <c r="E164" s="328">
        <f>d3М!E159-d3П!E159</f>
        <v>0</v>
      </c>
      <c r="F164" s="328">
        <f>d3М!F159-d3П!F159</f>
        <v>0</v>
      </c>
      <c r="G164" s="328">
        <f>d3М!G159-d3П!G159</f>
        <v>0</v>
      </c>
      <c r="H164" s="328">
        <f>d3М!H159-d3П!H159</f>
        <v>0</v>
      </c>
      <c r="I164" s="328">
        <f>d3М!I159-d3П!I159</f>
        <v>0</v>
      </c>
      <c r="J164" s="328">
        <f>d3М!J159-d3П!J159</f>
        <v>0</v>
      </c>
      <c r="K164" s="328">
        <f>d3М!K159-d3П!K159</f>
        <v>0</v>
      </c>
      <c r="L164" s="328">
        <f>d3М!L159-d3П!L159</f>
        <v>0</v>
      </c>
      <c r="M164" s="328">
        <f>d3М!M159-d3П!M159</f>
        <v>0</v>
      </c>
      <c r="N164" s="328">
        <f>d3М!N159-d3П!N159</f>
        <v>0</v>
      </c>
      <c r="O164" s="328">
        <f>d3М!O159-d3П!O159</f>
        <v>0</v>
      </c>
      <c r="P164" s="328">
        <f>d3М!P159-d3П!P159</f>
        <v>0</v>
      </c>
      <c r="Q164" s="36"/>
      <c r="R164" s="51"/>
    </row>
    <row r="165" spans="1:18" ht="93" thickTop="1" thickBot="1" x14ac:dyDescent="0.25">
      <c r="A165" s="103" t="s">
        <v>325</v>
      </c>
      <c r="B165" s="103" t="s">
        <v>326</v>
      </c>
      <c r="C165" s="103" t="s">
        <v>205</v>
      </c>
      <c r="D165" s="103" t="s">
        <v>635</v>
      </c>
      <c r="E165" s="328">
        <f>d3М!E160-d3П!E160</f>
        <v>0</v>
      </c>
      <c r="F165" s="328">
        <f>d3М!F160-d3П!F160</f>
        <v>0</v>
      </c>
      <c r="G165" s="328">
        <f>d3М!G160-d3П!G160</f>
        <v>0</v>
      </c>
      <c r="H165" s="328">
        <f>d3М!H160-d3П!H160</f>
        <v>0</v>
      </c>
      <c r="I165" s="328">
        <f>d3М!I160-d3П!I160</f>
        <v>0</v>
      </c>
      <c r="J165" s="328">
        <f>d3М!J160-d3П!J160</f>
        <v>0</v>
      </c>
      <c r="K165" s="328">
        <f>d3М!K160-d3П!K160</f>
        <v>0</v>
      </c>
      <c r="L165" s="328">
        <f>d3М!L160-d3П!L160</f>
        <v>0</v>
      </c>
      <c r="M165" s="328">
        <f>d3М!M160-d3П!M160</f>
        <v>0</v>
      </c>
      <c r="N165" s="328">
        <f>d3М!N160-d3П!N160</f>
        <v>0</v>
      </c>
      <c r="O165" s="328">
        <f>d3М!O160-d3П!O160</f>
        <v>0</v>
      </c>
      <c r="P165" s="328">
        <f>d3М!P160-d3П!P160</f>
        <v>0</v>
      </c>
      <c r="Q165" s="20"/>
      <c r="R165" s="50"/>
    </row>
    <row r="166" spans="1:18" ht="47.25" thickTop="1" thickBot="1" x14ac:dyDescent="0.25">
      <c r="A166" s="103" t="s">
        <v>428</v>
      </c>
      <c r="B166" s="103" t="s">
        <v>372</v>
      </c>
      <c r="C166" s="103" t="s">
        <v>373</v>
      </c>
      <c r="D166" s="103" t="s">
        <v>371</v>
      </c>
      <c r="E166" s="328">
        <f>d3М!E161-d3П!E161</f>
        <v>0</v>
      </c>
      <c r="F166" s="328">
        <f>d3М!F161-d3П!F161</f>
        <v>0</v>
      </c>
      <c r="G166" s="328">
        <f>d3М!G161-d3П!G161</f>
        <v>0</v>
      </c>
      <c r="H166" s="328">
        <f>d3М!H161-d3П!H161</f>
        <v>0</v>
      </c>
      <c r="I166" s="328">
        <f>d3М!I161-d3П!I161</f>
        <v>0</v>
      </c>
      <c r="J166" s="328">
        <f>d3М!J161-d3П!J161</f>
        <v>0</v>
      </c>
      <c r="K166" s="328">
        <f>d3М!K161-d3П!K161</f>
        <v>0</v>
      </c>
      <c r="L166" s="328">
        <f>d3М!L161-d3П!L161</f>
        <v>0</v>
      </c>
      <c r="M166" s="328">
        <f>d3М!M161-d3П!M161</f>
        <v>0</v>
      </c>
      <c r="N166" s="328">
        <f>d3М!N161-d3П!N161</f>
        <v>0</v>
      </c>
      <c r="O166" s="328">
        <f>d3М!O161-d3П!O161</f>
        <v>0</v>
      </c>
      <c r="P166" s="328">
        <f>d3М!P161-d3П!P161</f>
        <v>0</v>
      </c>
      <c r="Q166" s="20"/>
      <c r="R166" s="50"/>
    </row>
    <row r="167" spans="1:18" ht="93" hidden="1" customHeight="1" thickTop="1" thickBot="1" x14ac:dyDescent="0.25">
      <c r="A167" s="140" t="s">
        <v>1059</v>
      </c>
      <c r="B167" s="140" t="s">
        <v>1060</v>
      </c>
      <c r="C167" s="140"/>
      <c r="D167" s="140" t="s">
        <v>1058</v>
      </c>
      <c r="E167" s="328">
        <f>d3М!E162-d3П!E162</f>
        <v>0</v>
      </c>
      <c r="F167" s="328">
        <f>d3М!F162-d3П!F162</f>
        <v>0</v>
      </c>
      <c r="G167" s="328">
        <f>d3М!G162-d3П!G162</f>
        <v>0</v>
      </c>
      <c r="H167" s="328">
        <f>d3М!H162-d3П!H162</f>
        <v>0</v>
      </c>
      <c r="I167" s="328">
        <f>d3М!I162-d3П!I162</f>
        <v>0</v>
      </c>
      <c r="J167" s="328">
        <f>d3М!J162-d3П!J162</f>
        <v>0</v>
      </c>
      <c r="K167" s="328">
        <f>d3М!K162-d3П!K162</f>
        <v>0</v>
      </c>
      <c r="L167" s="328">
        <f>d3М!L162-d3П!L162</f>
        <v>0</v>
      </c>
      <c r="M167" s="328">
        <f>d3М!M162-d3П!M162</f>
        <v>0</v>
      </c>
      <c r="N167" s="328">
        <f>d3М!N162-d3П!N162</f>
        <v>0</v>
      </c>
      <c r="O167" s="328">
        <f>d3М!O162-d3П!O162</f>
        <v>0</v>
      </c>
      <c r="P167" s="328">
        <f>d3М!P162-d3П!P162</f>
        <v>0</v>
      </c>
      <c r="Q167" s="20"/>
      <c r="R167" s="50"/>
    </row>
    <row r="168" spans="1:18" ht="256.5" hidden="1" customHeight="1" thickTop="1" x14ac:dyDescent="0.65">
      <c r="A168" s="789" t="s">
        <v>1061</v>
      </c>
      <c r="B168" s="789" t="s">
        <v>1062</v>
      </c>
      <c r="C168" s="789" t="s">
        <v>50</v>
      </c>
      <c r="D168" s="403" t="s">
        <v>1432</v>
      </c>
      <c r="E168" s="328">
        <f>d3М!E163-d3П!E163</f>
        <v>0</v>
      </c>
      <c r="F168" s="328">
        <f>d3М!F163-d3П!F163</f>
        <v>0</v>
      </c>
      <c r="G168" s="328">
        <f>d3М!G163-d3П!G163</f>
        <v>0</v>
      </c>
      <c r="H168" s="328">
        <f>d3М!H163-d3П!H163</f>
        <v>0</v>
      </c>
      <c r="I168" s="328">
        <f>d3М!I163-d3П!I163</f>
        <v>0</v>
      </c>
      <c r="J168" s="328">
        <f>d3М!J163-d3П!J163</f>
        <v>0</v>
      </c>
      <c r="K168" s="328">
        <f>d3М!K163-d3П!K163</f>
        <v>0</v>
      </c>
      <c r="L168" s="328">
        <f>d3М!L163-d3П!L163</f>
        <v>0</v>
      </c>
      <c r="M168" s="328">
        <f>d3М!M163-d3П!M163</f>
        <v>0</v>
      </c>
      <c r="N168" s="328">
        <f>d3М!N163-d3П!N163</f>
        <v>0</v>
      </c>
      <c r="O168" s="328">
        <f>d3М!O163-d3П!O163</f>
        <v>0</v>
      </c>
      <c r="P168" s="328">
        <f>d3М!P163-d3П!P163</f>
        <v>0</v>
      </c>
      <c r="Q168" s="791"/>
      <c r="R168" s="775"/>
    </row>
    <row r="169" spans="1:18" ht="238.5" hidden="1" customHeight="1" x14ac:dyDescent="0.2">
      <c r="A169" s="779"/>
      <c r="B169" s="779"/>
      <c r="C169" s="779"/>
      <c r="D169" s="404" t="s">
        <v>1433</v>
      </c>
      <c r="E169" s="328">
        <f>d3М!E164-d3П!E164</f>
        <v>0</v>
      </c>
      <c r="F169" s="328">
        <f>d3М!F164-d3П!F164</f>
        <v>0</v>
      </c>
      <c r="G169" s="328">
        <f>d3М!G164-d3П!G164</f>
        <v>0</v>
      </c>
      <c r="H169" s="328">
        <f>d3М!H164-d3П!H164</f>
        <v>0</v>
      </c>
      <c r="I169" s="328">
        <f>d3М!I164-d3П!I164</f>
        <v>0</v>
      </c>
      <c r="J169" s="328">
        <f>d3М!J164-d3П!J164</f>
        <v>0</v>
      </c>
      <c r="K169" s="328">
        <f>d3М!K164-d3П!K164</f>
        <v>0</v>
      </c>
      <c r="L169" s="328">
        <f>d3М!L164-d3П!L164</f>
        <v>0</v>
      </c>
      <c r="M169" s="328">
        <f>d3М!M164-d3П!M164</f>
        <v>0</v>
      </c>
      <c r="N169" s="328">
        <f>d3М!N164-d3П!N164</f>
        <v>0</v>
      </c>
      <c r="O169" s="328">
        <f>d3М!O164-d3П!O164</f>
        <v>0</v>
      </c>
      <c r="P169" s="328">
        <f>d3М!P164-d3П!P164</f>
        <v>0</v>
      </c>
      <c r="Q169" s="791"/>
      <c r="R169" s="776"/>
    </row>
    <row r="170" spans="1:18" ht="220.5" hidden="1" customHeight="1" x14ac:dyDescent="0.2">
      <c r="A170" s="779"/>
      <c r="B170" s="779"/>
      <c r="C170" s="779"/>
      <c r="D170" s="404" t="s">
        <v>1434</v>
      </c>
      <c r="E170" s="328">
        <f>d3М!E165-d3П!E165</f>
        <v>0</v>
      </c>
      <c r="F170" s="328">
        <f>d3М!F165-d3П!F165</f>
        <v>0</v>
      </c>
      <c r="G170" s="328">
        <f>d3М!G165-d3П!G165</f>
        <v>0</v>
      </c>
      <c r="H170" s="328">
        <f>d3М!H165-d3П!H165</f>
        <v>0</v>
      </c>
      <c r="I170" s="328">
        <f>d3М!I165-d3П!I165</f>
        <v>0</v>
      </c>
      <c r="J170" s="328">
        <f>d3М!J165-d3П!J165</f>
        <v>0</v>
      </c>
      <c r="K170" s="328">
        <f>d3М!K165-d3П!K165</f>
        <v>0</v>
      </c>
      <c r="L170" s="328">
        <f>d3М!L165-d3П!L165</f>
        <v>0</v>
      </c>
      <c r="M170" s="328">
        <f>d3М!M165-d3П!M165</f>
        <v>0</v>
      </c>
      <c r="N170" s="328">
        <f>d3М!N165-d3П!N165</f>
        <v>0</v>
      </c>
      <c r="O170" s="328">
        <f>d3М!O165-d3П!O165</f>
        <v>0</v>
      </c>
      <c r="P170" s="328">
        <f>d3М!P165-d3П!P165</f>
        <v>0</v>
      </c>
      <c r="Q170" s="791"/>
      <c r="R170" s="776"/>
    </row>
    <row r="171" spans="1:18" ht="166.5" hidden="1" customHeight="1" thickBot="1" x14ac:dyDescent="0.25">
      <c r="A171" s="780"/>
      <c r="B171" s="780"/>
      <c r="C171" s="780"/>
      <c r="D171" s="405" t="s">
        <v>1435</v>
      </c>
      <c r="E171" s="328">
        <f>d3М!E166-d3П!E166</f>
        <v>0</v>
      </c>
      <c r="F171" s="328">
        <f>d3М!F166-d3П!F166</f>
        <v>0</v>
      </c>
      <c r="G171" s="328">
        <f>d3М!G166-d3П!G166</f>
        <v>0</v>
      </c>
      <c r="H171" s="328">
        <f>d3М!H166-d3П!H166</f>
        <v>0</v>
      </c>
      <c r="I171" s="328">
        <f>d3М!I166-d3П!I166</f>
        <v>0</v>
      </c>
      <c r="J171" s="328">
        <f>d3М!J166-d3П!J166</f>
        <v>0</v>
      </c>
      <c r="K171" s="328">
        <f>d3М!K166-d3П!K166</f>
        <v>0</v>
      </c>
      <c r="L171" s="328">
        <f>d3М!L166-d3П!L166</f>
        <v>0</v>
      </c>
      <c r="M171" s="328">
        <f>d3М!M166-d3П!M166</f>
        <v>0</v>
      </c>
      <c r="N171" s="328">
        <f>d3М!N166-d3П!N166</f>
        <v>0</v>
      </c>
      <c r="O171" s="328">
        <f>d3М!O166-d3П!O166</f>
        <v>0</v>
      </c>
      <c r="P171" s="328">
        <f>d3М!P166-d3П!P166</f>
        <v>0</v>
      </c>
      <c r="Q171" s="791"/>
      <c r="R171" s="776"/>
    </row>
    <row r="172" spans="1:18" ht="277.5" hidden="1" customHeight="1" thickTop="1" x14ac:dyDescent="0.65">
      <c r="A172" s="789" t="s">
        <v>1064</v>
      </c>
      <c r="B172" s="789" t="s">
        <v>1065</v>
      </c>
      <c r="C172" s="789" t="s">
        <v>50</v>
      </c>
      <c r="D172" s="403" t="s">
        <v>1063</v>
      </c>
      <c r="E172" s="328">
        <f>d3М!E167-d3П!E167</f>
        <v>0</v>
      </c>
      <c r="F172" s="328">
        <f>d3М!F167-d3П!F167</f>
        <v>0</v>
      </c>
      <c r="G172" s="328">
        <f>d3М!G167-d3П!G167</f>
        <v>0</v>
      </c>
      <c r="H172" s="328">
        <f>d3М!H167-d3П!H167</f>
        <v>0</v>
      </c>
      <c r="I172" s="328">
        <f>d3М!I167-d3П!I167</f>
        <v>0</v>
      </c>
      <c r="J172" s="328">
        <f>d3М!J167-d3П!J167</f>
        <v>0</v>
      </c>
      <c r="K172" s="328">
        <f>d3М!K167-d3П!K167</f>
        <v>0</v>
      </c>
      <c r="L172" s="328">
        <f>d3М!L167-d3П!L167</f>
        <v>0</v>
      </c>
      <c r="M172" s="328">
        <f>d3М!M167-d3П!M167</f>
        <v>0</v>
      </c>
      <c r="N172" s="328">
        <f>d3М!N167-d3П!N167</f>
        <v>0</v>
      </c>
      <c r="O172" s="328">
        <f>d3М!O167-d3П!O167</f>
        <v>0</v>
      </c>
      <c r="P172" s="328">
        <f>d3М!P167-d3П!P167</f>
        <v>0</v>
      </c>
      <c r="Q172" s="20"/>
      <c r="R172" s="775"/>
    </row>
    <row r="173" spans="1:18" ht="298.5" hidden="1" customHeight="1" x14ac:dyDescent="0.2">
      <c r="A173" s="779"/>
      <c r="B173" s="779"/>
      <c r="C173" s="779"/>
      <c r="D173" s="404" t="s">
        <v>1436</v>
      </c>
      <c r="E173" s="328">
        <f>d3М!E168-d3П!E168</f>
        <v>0</v>
      </c>
      <c r="F173" s="328">
        <f>d3М!F168-d3П!F168</f>
        <v>0</v>
      </c>
      <c r="G173" s="328">
        <f>d3М!G168-d3П!G168</f>
        <v>0</v>
      </c>
      <c r="H173" s="328">
        <f>d3М!H168-d3П!H168</f>
        <v>0</v>
      </c>
      <c r="I173" s="328">
        <f>d3М!I168-d3П!I168</f>
        <v>0</v>
      </c>
      <c r="J173" s="328">
        <f>d3М!J168-d3П!J168</f>
        <v>0</v>
      </c>
      <c r="K173" s="328">
        <f>d3М!K168-d3П!K168</f>
        <v>0</v>
      </c>
      <c r="L173" s="328">
        <f>d3М!L168-d3П!L168</f>
        <v>0</v>
      </c>
      <c r="M173" s="328">
        <f>d3М!M168-d3П!M168</f>
        <v>0</v>
      </c>
      <c r="N173" s="328">
        <f>d3М!N168-d3П!N168</f>
        <v>0</v>
      </c>
      <c r="O173" s="328">
        <f>d3М!O168-d3П!O168</f>
        <v>0</v>
      </c>
      <c r="P173" s="328">
        <f>d3М!P168-d3П!P168</f>
        <v>0</v>
      </c>
      <c r="Q173" s="20"/>
      <c r="R173" s="790"/>
    </row>
    <row r="174" spans="1:18" ht="283.5" hidden="1" customHeight="1" x14ac:dyDescent="0.2">
      <c r="A174" s="779"/>
      <c r="B174" s="779"/>
      <c r="C174" s="779"/>
      <c r="D174" s="404" t="s">
        <v>1437</v>
      </c>
      <c r="E174" s="328">
        <f>d3М!E169-d3П!E169</f>
        <v>0</v>
      </c>
      <c r="F174" s="328">
        <f>d3М!F169-d3П!F169</f>
        <v>0</v>
      </c>
      <c r="G174" s="328">
        <f>d3М!G169-d3П!G169</f>
        <v>0</v>
      </c>
      <c r="H174" s="328">
        <f>d3М!H169-d3П!H169</f>
        <v>0</v>
      </c>
      <c r="I174" s="328">
        <f>d3М!I169-d3П!I169</f>
        <v>0</v>
      </c>
      <c r="J174" s="328">
        <f>d3М!J169-d3П!J169</f>
        <v>0</v>
      </c>
      <c r="K174" s="328">
        <f>d3М!K169-d3П!K169</f>
        <v>0</v>
      </c>
      <c r="L174" s="328">
        <f>d3М!L169-d3П!L169</f>
        <v>0</v>
      </c>
      <c r="M174" s="328">
        <f>d3М!M169-d3П!M169</f>
        <v>0</v>
      </c>
      <c r="N174" s="328">
        <f>d3М!N169-d3П!N169</f>
        <v>0</v>
      </c>
      <c r="O174" s="328">
        <f>d3М!O169-d3П!O169</f>
        <v>0</v>
      </c>
      <c r="P174" s="328">
        <f>d3М!P169-d3П!P169</f>
        <v>0</v>
      </c>
      <c r="Q174" s="20"/>
      <c r="R174" s="790"/>
    </row>
    <row r="175" spans="1:18" ht="93" hidden="1" customHeight="1" thickTop="1" thickBot="1" x14ac:dyDescent="0.25">
      <c r="A175" s="780"/>
      <c r="B175" s="780"/>
      <c r="C175" s="780"/>
      <c r="D175" s="405" t="s">
        <v>1438</v>
      </c>
      <c r="E175" s="328">
        <f>d3М!E170-d3П!E170</f>
        <v>0</v>
      </c>
      <c r="F175" s="328">
        <f>d3М!F170-d3П!F170</f>
        <v>0</v>
      </c>
      <c r="G175" s="328">
        <f>d3М!G170-d3П!G170</f>
        <v>0</v>
      </c>
      <c r="H175" s="328">
        <f>d3М!H170-d3П!H170</f>
        <v>0</v>
      </c>
      <c r="I175" s="328">
        <f>d3М!I170-d3П!I170</f>
        <v>0</v>
      </c>
      <c r="J175" s="328">
        <f>d3М!J170-d3П!J170</f>
        <v>0</v>
      </c>
      <c r="K175" s="328">
        <f>d3М!K170-d3П!K170</f>
        <v>0</v>
      </c>
      <c r="L175" s="328">
        <f>d3М!L170-d3П!L170</f>
        <v>0</v>
      </c>
      <c r="M175" s="328">
        <f>d3М!M170-d3П!M170</f>
        <v>0</v>
      </c>
      <c r="N175" s="328">
        <f>d3М!N170-d3П!N170</f>
        <v>0</v>
      </c>
      <c r="O175" s="328">
        <f>d3М!O170-d3П!O170</f>
        <v>0</v>
      </c>
      <c r="P175" s="328">
        <f>d3М!P170-d3П!P170</f>
        <v>0</v>
      </c>
      <c r="Q175" s="20"/>
      <c r="R175" s="790"/>
    </row>
    <row r="176" spans="1:18" ht="310.5" hidden="1" customHeight="1" thickTop="1" x14ac:dyDescent="0.65">
      <c r="A176" s="789" t="s">
        <v>1066</v>
      </c>
      <c r="B176" s="789" t="s">
        <v>1067</v>
      </c>
      <c r="C176" s="789" t="s">
        <v>50</v>
      </c>
      <c r="D176" s="403" t="s">
        <v>1439</v>
      </c>
      <c r="E176" s="328">
        <f>d3М!E171-d3П!E171</f>
        <v>0</v>
      </c>
      <c r="F176" s="328">
        <f>d3М!F171-d3П!F171</f>
        <v>0</v>
      </c>
      <c r="G176" s="328">
        <f>d3М!G171-d3П!G171</f>
        <v>0</v>
      </c>
      <c r="H176" s="328">
        <f>d3М!H171-d3П!H171</f>
        <v>0</v>
      </c>
      <c r="I176" s="328">
        <f>d3М!I171-d3П!I171</f>
        <v>0</v>
      </c>
      <c r="J176" s="328">
        <f>d3М!J171-d3П!J171</f>
        <v>0</v>
      </c>
      <c r="K176" s="328">
        <f>d3М!K171-d3П!K171</f>
        <v>0</v>
      </c>
      <c r="L176" s="328">
        <f>d3М!L171-d3П!L171</f>
        <v>0</v>
      </c>
      <c r="M176" s="328">
        <f>d3М!M171-d3П!M171</f>
        <v>0</v>
      </c>
      <c r="N176" s="328">
        <f>d3М!N171-d3П!N171</f>
        <v>0</v>
      </c>
      <c r="O176" s="328">
        <f>d3М!O171-d3П!O171</f>
        <v>0</v>
      </c>
      <c r="P176" s="328">
        <f>d3М!P171-d3П!P171</f>
        <v>0</v>
      </c>
      <c r="Q176" s="20"/>
      <c r="R176" s="775"/>
    </row>
    <row r="177" spans="1:18" ht="268.5" hidden="1" customHeight="1" x14ac:dyDescent="0.2">
      <c r="A177" s="779"/>
      <c r="B177" s="779"/>
      <c r="C177" s="779"/>
      <c r="D177" s="404" t="s">
        <v>1440</v>
      </c>
      <c r="E177" s="328">
        <f>d3М!E172-d3П!E172</f>
        <v>0</v>
      </c>
      <c r="F177" s="328">
        <f>d3М!F172-d3П!F172</f>
        <v>0</v>
      </c>
      <c r="G177" s="328">
        <f>d3М!G172-d3П!G172</f>
        <v>0</v>
      </c>
      <c r="H177" s="328">
        <f>d3М!H172-d3П!H172</f>
        <v>0</v>
      </c>
      <c r="I177" s="328">
        <f>d3М!I172-d3П!I172</f>
        <v>0</v>
      </c>
      <c r="J177" s="328">
        <f>d3М!J172-d3П!J172</f>
        <v>0</v>
      </c>
      <c r="K177" s="328">
        <f>d3М!K172-d3П!K172</f>
        <v>0</v>
      </c>
      <c r="L177" s="328">
        <f>d3М!L172-d3П!L172</f>
        <v>0</v>
      </c>
      <c r="M177" s="328">
        <f>d3М!M172-d3П!M172</f>
        <v>0</v>
      </c>
      <c r="N177" s="328">
        <f>d3М!N172-d3П!N172</f>
        <v>0</v>
      </c>
      <c r="O177" s="328">
        <f>d3М!O172-d3П!O172</f>
        <v>0</v>
      </c>
      <c r="P177" s="328">
        <f>d3М!P172-d3П!P172</f>
        <v>0</v>
      </c>
      <c r="Q177" s="20"/>
      <c r="R177" s="776"/>
    </row>
    <row r="178" spans="1:18" ht="93" hidden="1" customHeight="1" thickTop="1" thickBot="1" x14ac:dyDescent="0.25">
      <c r="A178" s="780"/>
      <c r="B178" s="780"/>
      <c r="C178" s="780"/>
      <c r="D178" s="405" t="s">
        <v>1068</v>
      </c>
      <c r="E178" s="328">
        <f>d3М!E173-d3П!E173</f>
        <v>0</v>
      </c>
      <c r="F178" s="328">
        <f>d3М!F173-d3П!F173</f>
        <v>0</v>
      </c>
      <c r="G178" s="328">
        <f>d3М!G173-d3П!G173</f>
        <v>0</v>
      </c>
      <c r="H178" s="328">
        <f>d3М!H173-d3П!H173</f>
        <v>0</v>
      </c>
      <c r="I178" s="328">
        <f>d3М!I173-d3П!I173</f>
        <v>0</v>
      </c>
      <c r="J178" s="328">
        <f>d3М!J173-d3П!J173</f>
        <v>0</v>
      </c>
      <c r="K178" s="328">
        <f>d3М!K173-d3П!K173</f>
        <v>0</v>
      </c>
      <c r="L178" s="328">
        <f>d3М!L173-d3П!L173</f>
        <v>0</v>
      </c>
      <c r="M178" s="328">
        <f>d3М!M173-d3П!M173</f>
        <v>0</v>
      </c>
      <c r="N178" s="328">
        <f>d3М!N173-d3П!N173</f>
        <v>0</v>
      </c>
      <c r="O178" s="328">
        <f>d3М!O173-d3П!O173</f>
        <v>0</v>
      </c>
      <c r="P178" s="328">
        <f>d3М!P173-d3П!P173</f>
        <v>0</v>
      </c>
      <c r="Q178" s="20"/>
      <c r="R178" s="776"/>
    </row>
    <row r="179" spans="1:18" ht="184.5" hidden="1" customHeight="1" thickTop="1" thickBot="1" x14ac:dyDescent="0.7">
      <c r="A179" s="777" t="s">
        <v>1072</v>
      </c>
      <c r="B179" s="777" t="s">
        <v>1073</v>
      </c>
      <c r="C179" s="777" t="s">
        <v>50</v>
      </c>
      <c r="D179" s="406" t="s">
        <v>1069</v>
      </c>
      <c r="E179" s="328">
        <f>d3М!E174-d3П!E174</f>
        <v>0</v>
      </c>
      <c r="F179" s="328">
        <f>d3М!F174-d3П!F174</f>
        <v>0</v>
      </c>
      <c r="G179" s="328">
        <f>d3М!G174-d3П!G174</f>
        <v>0</v>
      </c>
      <c r="H179" s="328">
        <f>d3М!H174-d3П!H174</f>
        <v>0</v>
      </c>
      <c r="I179" s="328">
        <f>d3М!I174-d3П!I174</f>
        <v>0</v>
      </c>
      <c r="J179" s="328">
        <f>d3М!J174-d3П!J174</f>
        <v>0</v>
      </c>
      <c r="K179" s="328">
        <f>d3М!K174-d3П!K174</f>
        <v>0</v>
      </c>
      <c r="L179" s="328">
        <f>d3М!L174-d3П!L174</f>
        <v>0</v>
      </c>
      <c r="M179" s="328">
        <f>d3М!M174-d3П!M174</f>
        <v>0</v>
      </c>
      <c r="N179" s="328">
        <f>d3М!N174-d3П!N174</f>
        <v>0</v>
      </c>
      <c r="O179" s="328">
        <f>d3М!O174-d3П!O174</f>
        <v>0</v>
      </c>
      <c r="P179" s="328">
        <f>d3М!P174-d3П!P174</f>
        <v>0</v>
      </c>
      <c r="Q179" s="20"/>
      <c r="R179" s="775"/>
    </row>
    <row r="180" spans="1:18" ht="184.5" hidden="1" customHeight="1" thickTop="1" thickBot="1" x14ac:dyDescent="0.25">
      <c r="A180" s="772"/>
      <c r="B180" s="772"/>
      <c r="C180" s="772"/>
      <c r="D180" s="126" t="s">
        <v>1070</v>
      </c>
      <c r="E180" s="328">
        <f>d3М!E175-d3П!E175</f>
        <v>0</v>
      </c>
      <c r="F180" s="328">
        <f>d3М!F175-d3П!F175</f>
        <v>0</v>
      </c>
      <c r="G180" s="328">
        <f>d3М!G175-d3П!G175</f>
        <v>0</v>
      </c>
      <c r="H180" s="328">
        <f>d3М!H175-d3П!H175</f>
        <v>0</v>
      </c>
      <c r="I180" s="328">
        <f>d3М!I175-d3П!I175</f>
        <v>0</v>
      </c>
      <c r="J180" s="328">
        <f>d3М!J175-d3П!J175</f>
        <v>0</v>
      </c>
      <c r="K180" s="328">
        <f>d3М!K175-d3П!K175</f>
        <v>0</v>
      </c>
      <c r="L180" s="328">
        <f>d3М!L175-d3П!L175</f>
        <v>0</v>
      </c>
      <c r="M180" s="328">
        <f>d3М!M175-d3П!M175</f>
        <v>0</v>
      </c>
      <c r="N180" s="328">
        <f>d3М!N175-d3П!N175</f>
        <v>0</v>
      </c>
      <c r="O180" s="328">
        <f>d3М!O175-d3П!O175</f>
        <v>0</v>
      </c>
      <c r="P180" s="328">
        <f>d3М!P175-d3П!P175</f>
        <v>0</v>
      </c>
      <c r="Q180" s="20"/>
      <c r="R180" s="776"/>
    </row>
    <row r="181" spans="1:18" ht="47.25" hidden="1" customHeight="1" thickTop="1" thickBot="1" x14ac:dyDescent="0.25">
      <c r="A181" s="773"/>
      <c r="B181" s="773"/>
      <c r="C181" s="773"/>
      <c r="D181" s="407" t="s">
        <v>1071</v>
      </c>
      <c r="E181" s="328">
        <f>d3М!E176-d3П!E176</f>
        <v>0</v>
      </c>
      <c r="F181" s="328">
        <f>d3М!F176-d3П!F176</f>
        <v>0</v>
      </c>
      <c r="G181" s="328">
        <f>d3М!G176-d3П!G176</f>
        <v>0</v>
      </c>
      <c r="H181" s="328">
        <f>d3М!H176-d3П!H176</f>
        <v>0</v>
      </c>
      <c r="I181" s="328">
        <f>d3М!I176-d3П!I176</f>
        <v>0</v>
      </c>
      <c r="J181" s="328">
        <f>d3М!J176-d3П!J176</f>
        <v>0</v>
      </c>
      <c r="K181" s="328">
        <f>d3М!K176-d3П!K176</f>
        <v>0</v>
      </c>
      <c r="L181" s="328">
        <f>d3М!L176-d3П!L176</f>
        <v>0</v>
      </c>
      <c r="M181" s="328">
        <f>d3М!M176-d3П!M176</f>
        <v>0</v>
      </c>
      <c r="N181" s="328">
        <f>d3М!N176-d3П!N176</f>
        <v>0</v>
      </c>
      <c r="O181" s="328">
        <f>d3М!O176-d3П!O176</f>
        <v>0</v>
      </c>
      <c r="P181" s="328">
        <f>d3М!P176-d3П!P176</f>
        <v>0</v>
      </c>
      <c r="Q181" s="20"/>
      <c r="R181" s="776"/>
    </row>
    <row r="182" spans="1:18" ht="93" thickTop="1" thickBot="1" x14ac:dyDescent="0.25">
      <c r="A182" s="103" t="s">
        <v>1203</v>
      </c>
      <c r="B182" s="103" t="s">
        <v>1200</v>
      </c>
      <c r="C182" s="103" t="s">
        <v>206</v>
      </c>
      <c r="D182" s="470" t="s">
        <v>1201</v>
      </c>
      <c r="E182" s="328">
        <f>d3М!E177-d3П!E177</f>
        <v>0</v>
      </c>
      <c r="F182" s="328">
        <f>d3М!F177-d3П!F177</f>
        <v>0</v>
      </c>
      <c r="G182" s="328">
        <f>d3М!G177-d3П!G177</f>
        <v>0</v>
      </c>
      <c r="H182" s="328">
        <f>d3М!H177-d3П!H177</f>
        <v>0</v>
      </c>
      <c r="I182" s="328">
        <f>d3М!I177-d3П!I177</f>
        <v>0</v>
      </c>
      <c r="J182" s="328">
        <f>d3М!J177-d3П!J177</f>
        <v>0</v>
      </c>
      <c r="K182" s="328">
        <f>d3М!K177-d3П!K177</f>
        <v>0</v>
      </c>
      <c r="L182" s="328">
        <f>d3М!L177-d3П!L177</f>
        <v>0</v>
      </c>
      <c r="M182" s="328">
        <f>d3М!M177-d3П!M177</f>
        <v>0</v>
      </c>
      <c r="N182" s="328">
        <f>d3М!N177-d3П!N177</f>
        <v>0</v>
      </c>
      <c r="O182" s="328">
        <f>d3М!O177-d3П!O177</f>
        <v>0</v>
      </c>
      <c r="P182" s="328">
        <f>d3М!P177-d3П!P177</f>
        <v>0</v>
      </c>
      <c r="Q182" s="20"/>
      <c r="R182" s="21"/>
    </row>
    <row r="183" spans="1:18" s="33" customFormat="1" ht="47.25" thickTop="1" thickBot="1" x14ac:dyDescent="0.25">
      <c r="A183" s="329" t="s">
        <v>738</v>
      </c>
      <c r="B183" s="329" t="s">
        <v>739</v>
      </c>
      <c r="C183" s="329"/>
      <c r="D183" s="329" t="s">
        <v>740</v>
      </c>
      <c r="E183" s="328">
        <f>d3М!E178-d3П!E178</f>
        <v>0</v>
      </c>
      <c r="F183" s="328">
        <f>d3М!F178-d3П!F178</f>
        <v>0</v>
      </c>
      <c r="G183" s="328">
        <f>d3М!G178-d3П!G178</f>
        <v>0</v>
      </c>
      <c r="H183" s="328">
        <f>d3М!H178-d3П!H178</f>
        <v>0</v>
      </c>
      <c r="I183" s="328">
        <f>d3М!I178-d3П!I178</f>
        <v>0</v>
      </c>
      <c r="J183" s="328">
        <f>d3М!J178-d3П!J178</f>
        <v>0</v>
      </c>
      <c r="K183" s="328">
        <f>d3М!K178-d3П!K178</f>
        <v>0</v>
      </c>
      <c r="L183" s="328">
        <f>d3М!L178-d3П!L178</f>
        <v>0</v>
      </c>
      <c r="M183" s="328">
        <f>d3М!M178-d3П!M178</f>
        <v>0</v>
      </c>
      <c r="N183" s="328">
        <f>d3М!N178-d3П!N178</f>
        <v>0</v>
      </c>
      <c r="O183" s="328">
        <f>d3М!O178-d3П!O178</f>
        <v>0</v>
      </c>
      <c r="P183" s="328">
        <f>d3М!P178-d3П!P178</f>
        <v>0</v>
      </c>
      <c r="Q183" s="36"/>
      <c r="R183" s="51"/>
    </row>
    <row r="184" spans="1:18" ht="93" thickTop="1" thickBot="1" x14ac:dyDescent="0.25">
      <c r="A184" s="103" t="s">
        <v>327</v>
      </c>
      <c r="B184" s="103" t="s">
        <v>329</v>
      </c>
      <c r="C184" s="103" t="s">
        <v>191</v>
      </c>
      <c r="D184" s="470" t="s">
        <v>331</v>
      </c>
      <c r="E184" s="328">
        <f>d3М!E179-d3П!E179</f>
        <v>0</v>
      </c>
      <c r="F184" s="328">
        <f>d3М!F179-d3П!F179</f>
        <v>0</v>
      </c>
      <c r="G184" s="328">
        <f>d3М!G179-d3П!G179</f>
        <v>0</v>
      </c>
      <c r="H184" s="328">
        <f>d3М!H179-d3П!H179</f>
        <v>0</v>
      </c>
      <c r="I184" s="328">
        <f>d3М!I179-d3П!I179</f>
        <v>0</v>
      </c>
      <c r="J184" s="328">
        <f>d3М!J179-d3П!J179</f>
        <v>0</v>
      </c>
      <c r="K184" s="328">
        <f>d3М!K179-d3П!K179</f>
        <v>0</v>
      </c>
      <c r="L184" s="328">
        <f>d3М!L179-d3П!L179</f>
        <v>0</v>
      </c>
      <c r="M184" s="328">
        <f>d3М!M179-d3П!M179</f>
        <v>0</v>
      </c>
      <c r="N184" s="328">
        <f>d3М!N179-d3П!N179</f>
        <v>0</v>
      </c>
      <c r="O184" s="328">
        <f>d3М!O179-d3П!O179</f>
        <v>0</v>
      </c>
      <c r="P184" s="328">
        <f>d3М!P179-d3П!P179</f>
        <v>0</v>
      </c>
      <c r="Q184" s="20"/>
      <c r="R184" s="46"/>
    </row>
    <row r="185" spans="1:18" ht="66.75" customHeight="1" thickTop="1" thickBot="1" x14ac:dyDescent="0.25">
      <c r="A185" s="103" t="s">
        <v>328</v>
      </c>
      <c r="B185" s="103" t="s">
        <v>330</v>
      </c>
      <c r="C185" s="103" t="s">
        <v>191</v>
      </c>
      <c r="D185" s="470" t="s">
        <v>332</v>
      </c>
      <c r="E185" s="328">
        <f>d3М!E180-d3П!E180</f>
        <v>0</v>
      </c>
      <c r="F185" s="328">
        <f>d3М!F180-d3П!F180</f>
        <v>0</v>
      </c>
      <c r="G185" s="328">
        <f>d3М!G180-d3П!G180</f>
        <v>0</v>
      </c>
      <c r="H185" s="328">
        <f>d3М!H180-d3П!H180</f>
        <v>0</v>
      </c>
      <c r="I185" s="328">
        <f>d3М!I180-d3П!I180</f>
        <v>0</v>
      </c>
      <c r="J185" s="328">
        <f>d3М!J180-d3П!J180</f>
        <v>0</v>
      </c>
      <c r="K185" s="328">
        <f>d3М!K180-d3П!K180</f>
        <v>0</v>
      </c>
      <c r="L185" s="328">
        <f>d3М!L180-d3П!L180</f>
        <v>0</v>
      </c>
      <c r="M185" s="328">
        <f>d3М!M180-d3П!M180</f>
        <v>0</v>
      </c>
      <c r="N185" s="328">
        <f>d3М!N180-d3П!N180</f>
        <v>0</v>
      </c>
      <c r="O185" s="328">
        <f>d3М!O180-d3П!O180</f>
        <v>0</v>
      </c>
      <c r="P185" s="328">
        <f>d3М!P180-d3П!P180</f>
        <v>0</v>
      </c>
      <c r="Q185" s="20"/>
      <c r="R185" s="46"/>
    </row>
    <row r="186" spans="1:18" ht="47.25" thickTop="1" thickBot="1" x14ac:dyDescent="0.25">
      <c r="A186" s="311" t="s">
        <v>741</v>
      </c>
      <c r="B186" s="311" t="s">
        <v>742</v>
      </c>
      <c r="C186" s="311"/>
      <c r="D186" s="347" t="s">
        <v>743</v>
      </c>
      <c r="E186" s="328">
        <f>d3М!E181-d3П!E181</f>
        <v>0</v>
      </c>
      <c r="F186" s="328">
        <f>d3М!F181-d3П!F181</f>
        <v>0</v>
      </c>
      <c r="G186" s="328">
        <f>d3М!G181-d3П!G181</f>
        <v>0</v>
      </c>
      <c r="H186" s="328">
        <f>d3М!H181-d3П!H181</f>
        <v>0</v>
      </c>
      <c r="I186" s="328">
        <f>d3М!I181-d3П!I181</f>
        <v>0</v>
      </c>
      <c r="J186" s="328">
        <f>d3М!J181-d3П!J181</f>
        <v>0</v>
      </c>
      <c r="K186" s="328">
        <f>d3М!K181-d3П!K181</f>
        <v>0</v>
      </c>
      <c r="L186" s="328">
        <f>d3М!L181-d3П!L181</f>
        <v>0</v>
      </c>
      <c r="M186" s="328">
        <f>d3М!M181-d3П!M181</f>
        <v>0</v>
      </c>
      <c r="N186" s="328">
        <f>d3М!N181-d3П!N181</f>
        <v>0</v>
      </c>
      <c r="O186" s="328">
        <f>d3М!O181-d3П!O181</f>
        <v>0</v>
      </c>
      <c r="P186" s="328">
        <f>d3М!P181-d3П!P181</f>
        <v>0</v>
      </c>
      <c r="Q186" s="20"/>
      <c r="R186" s="46"/>
    </row>
    <row r="187" spans="1:18" s="33" customFormat="1" ht="48" thickTop="1" thickBot="1" x14ac:dyDescent="0.25">
      <c r="A187" s="329" t="s">
        <v>744</v>
      </c>
      <c r="B187" s="329" t="s">
        <v>745</v>
      </c>
      <c r="C187" s="329"/>
      <c r="D187" s="552" t="s">
        <v>746</v>
      </c>
      <c r="E187" s="328">
        <f>d3М!E182-d3П!E182</f>
        <v>0</v>
      </c>
      <c r="F187" s="328">
        <f>d3М!F182-d3П!F182</f>
        <v>0</v>
      </c>
      <c r="G187" s="328">
        <f>d3М!G182-d3П!G182</f>
        <v>0</v>
      </c>
      <c r="H187" s="328">
        <f>d3М!H182-d3П!H182</f>
        <v>0</v>
      </c>
      <c r="I187" s="328">
        <f>d3М!I182-d3П!I182</f>
        <v>0</v>
      </c>
      <c r="J187" s="328">
        <f>d3М!J182-d3П!J182</f>
        <v>0</v>
      </c>
      <c r="K187" s="328">
        <f>d3М!K182-d3П!K182</f>
        <v>0</v>
      </c>
      <c r="L187" s="328">
        <f>d3М!L182-d3П!L182</f>
        <v>0</v>
      </c>
      <c r="M187" s="328">
        <f>d3М!M182-d3П!M182</f>
        <v>0</v>
      </c>
      <c r="N187" s="328">
        <f>d3М!N182-d3П!N182</f>
        <v>0</v>
      </c>
      <c r="O187" s="328">
        <f>d3М!O182-d3П!O182</f>
        <v>0</v>
      </c>
      <c r="P187" s="328">
        <f>d3М!P182-d3П!P182</f>
        <v>0</v>
      </c>
      <c r="Q187" s="36"/>
      <c r="R187" s="52"/>
    </row>
    <row r="188" spans="1:18" ht="47.25" thickTop="1" thickBot="1" x14ac:dyDescent="0.25">
      <c r="A188" s="103" t="s">
        <v>367</v>
      </c>
      <c r="B188" s="103" t="s">
        <v>365</v>
      </c>
      <c r="C188" s="103" t="s">
        <v>340</v>
      </c>
      <c r="D188" s="470" t="s">
        <v>366</v>
      </c>
      <c r="E188" s="328">
        <f>d3М!E183-d3П!E183</f>
        <v>0</v>
      </c>
      <c r="F188" s="328">
        <f>d3М!F183-d3П!F183</f>
        <v>0</v>
      </c>
      <c r="G188" s="328">
        <f>d3М!G183-d3П!G183</f>
        <v>0</v>
      </c>
      <c r="H188" s="328">
        <f>d3М!H183-d3П!H183</f>
        <v>0</v>
      </c>
      <c r="I188" s="328">
        <f>d3М!I183-d3П!I183</f>
        <v>0</v>
      </c>
      <c r="J188" s="328">
        <f>d3М!J183-d3П!J183</f>
        <v>0</v>
      </c>
      <c r="K188" s="328">
        <f>d3М!K183-d3П!K183</f>
        <v>0</v>
      </c>
      <c r="L188" s="328">
        <f>d3М!L183-d3П!L183</f>
        <v>0</v>
      </c>
      <c r="M188" s="328">
        <f>d3М!M183-d3П!M183</f>
        <v>0</v>
      </c>
      <c r="N188" s="328">
        <f>d3М!N183-d3П!N183</f>
        <v>0</v>
      </c>
      <c r="O188" s="328">
        <f>d3М!O183-d3П!O183</f>
        <v>0</v>
      </c>
      <c r="P188" s="328">
        <f>d3М!P183-d3П!P183</f>
        <v>0</v>
      </c>
      <c r="Q188" s="20"/>
      <c r="R188" s="46"/>
    </row>
    <row r="189" spans="1:18" ht="184.5" hidden="1" thickTop="1" thickBot="1" x14ac:dyDescent="0.25">
      <c r="A189" s="41" t="s">
        <v>1074</v>
      </c>
      <c r="B189" s="41" t="s">
        <v>1075</v>
      </c>
      <c r="C189" s="41" t="s">
        <v>340</v>
      </c>
      <c r="D189" s="154" t="s">
        <v>1076</v>
      </c>
      <c r="E189" s="42"/>
      <c r="F189" s="43"/>
      <c r="G189" s="43"/>
      <c r="H189" s="43"/>
      <c r="I189" s="43"/>
      <c r="J189" s="42"/>
      <c r="K189" s="43"/>
      <c r="L189" s="43"/>
      <c r="M189" s="43"/>
      <c r="N189" s="43"/>
      <c r="O189" s="44"/>
      <c r="P189" s="42"/>
      <c r="Q189" s="20"/>
      <c r="R189" s="46"/>
    </row>
    <row r="190" spans="1:18" ht="47.25" thickTop="1" thickBot="1" x14ac:dyDescent="0.25">
      <c r="A190" s="700" t="s">
        <v>751</v>
      </c>
      <c r="B190" s="700" t="s">
        <v>748</v>
      </c>
      <c r="C190" s="700"/>
      <c r="D190" s="700" t="s">
        <v>749</v>
      </c>
      <c r="E190" s="328">
        <f>d3М!E185-d3П!E185</f>
        <v>0</v>
      </c>
      <c r="F190" s="328">
        <f>d3М!F185-d3П!F185</f>
        <v>0</v>
      </c>
      <c r="G190" s="328">
        <f>d3М!G185-d3П!G185</f>
        <v>0</v>
      </c>
      <c r="H190" s="328">
        <f>d3М!H185-d3П!H185</f>
        <v>0</v>
      </c>
      <c r="I190" s="328">
        <f>d3М!I185-d3П!I185</f>
        <v>0</v>
      </c>
      <c r="J190" s="328">
        <f>d3М!J185-d3П!J185</f>
        <v>0</v>
      </c>
      <c r="K190" s="328">
        <f>d3М!K185-d3П!K185</f>
        <v>0</v>
      </c>
      <c r="L190" s="328">
        <f>d3М!L185-d3П!L185</f>
        <v>0</v>
      </c>
      <c r="M190" s="328">
        <f>d3М!M185-d3П!M185</f>
        <v>0</v>
      </c>
      <c r="N190" s="328">
        <f>d3М!N185-d3П!N185</f>
        <v>0</v>
      </c>
      <c r="O190" s="328">
        <f>d3М!O185-d3П!O185</f>
        <v>0</v>
      </c>
      <c r="P190" s="328">
        <f>d3М!P185-d3П!P185</f>
        <v>0</v>
      </c>
      <c r="Q190" s="20"/>
      <c r="R190" s="46"/>
    </row>
    <row r="191" spans="1:18" ht="47.25" thickTop="1" thickBot="1" x14ac:dyDescent="0.25">
      <c r="A191" s="698" t="s">
        <v>926</v>
      </c>
      <c r="B191" s="698" t="s">
        <v>803</v>
      </c>
      <c r="C191" s="698"/>
      <c r="D191" s="698" t="s">
        <v>804</v>
      </c>
      <c r="E191" s="328">
        <f>d3М!E186-d3П!E186</f>
        <v>0</v>
      </c>
      <c r="F191" s="328">
        <f>d3М!F186-d3П!F186</f>
        <v>0</v>
      </c>
      <c r="G191" s="328">
        <f>d3М!G186-d3П!G186</f>
        <v>0</v>
      </c>
      <c r="H191" s="328">
        <f>d3М!H186-d3П!H186</f>
        <v>0</v>
      </c>
      <c r="I191" s="328">
        <f>d3М!I186-d3П!I186</f>
        <v>0</v>
      </c>
      <c r="J191" s="328">
        <f>d3М!J186-d3П!J186</f>
        <v>0</v>
      </c>
      <c r="K191" s="328">
        <f>d3М!K186-d3П!K186</f>
        <v>0</v>
      </c>
      <c r="L191" s="328">
        <f>d3М!L186-d3П!L186</f>
        <v>0</v>
      </c>
      <c r="M191" s="328">
        <f>d3М!M186-d3П!M186</f>
        <v>0</v>
      </c>
      <c r="N191" s="328">
        <f>d3М!N186-d3П!N186</f>
        <v>0</v>
      </c>
      <c r="O191" s="328">
        <f>d3М!O186-d3П!O186</f>
        <v>0</v>
      </c>
      <c r="P191" s="328">
        <f>d3М!P186-d3П!P186</f>
        <v>0</v>
      </c>
      <c r="Q191" s="20"/>
      <c r="R191" s="46"/>
    </row>
    <row r="192" spans="1:18" ht="54.75" thickTop="1" thickBot="1" x14ac:dyDescent="0.25">
      <c r="A192" s="697" t="s">
        <v>923</v>
      </c>
      <c r="B192" s="697" t="s">
        <v>821</v>
      </c>
      <c r="C192" s="697"/>
      <c r="D192" s="697" t="s">
        <v>1508</v>
      </c>
      <c r="E192" s="328">
        <f>d3М!E187-d3П!E187</f>
        <v>0</v>
      </c>
      <c r="F192" s="328">
        <f>d3М!F187-d3П!F187</f>
        <v>0</v>
      </c>
      <c r="G192" s="328">
        <f>d3М!G187-d3П!G187</f>
        <v>0</v>
      </c>
      <c r="H192" s="328">
        <f>d3М!H187-d3П!H187</f>
        <v>0</v>
      </c>
      <c r="I192" s="328">
        <f>d3М!I187-d3П!I187</f>
        <v>0</v>
      </c>
      <c r="J192" s="328">
        <f>d3М!J187-d3П!J187</f>
        <v>0</v>
      </c>
      <c r="K192" s="328">
        <f>d3М!K187-d3П!K187</f>
        <v>0</v>
      </c>
      <c r="L192" s="328">
        <f>d3М!L187-d3П!L187</f>
        <v>0</v>
      </c>
      <c r="M192" s="328">
        <f>d3М!M187-d3П!M187</f>
        <v>0</v>
      </c>
      <c r="N192" s="328">
        <f>d3М!N187-d3П!N187</f>
        <v>0</v>
      </c>
      <c r="O192" s="328">
        <f>d3М!O187-d3П!O187</f>
        <v>0</v>
      </c>
      <c r="P192" s="328">
        <f>d3М!P187-d3П!P187</f>
        <v>0</v>
      </c>
      <c r="Q192" s="20"/>
      <c r="R192" s="46"/>
    </row>
    <row r="193" spans="1:18" ht="54" thickTop="1" thickBot="1" x14ac:dyDescent="0.25">
      <c r="A193" s="695" t="s">
        <v>924</v>
      </c>
      <c r="B193" s="695" t="s">
        <v>925</v>
      </c>
      <c r="C193" s="695" t="s">
        <v>304</v>
      </c>
      <c r="D193" s="695" t="s">
        <v>1615</v>
      </c>
      <c r="E193" s="328">
        <f>d3М!E188-d3П!E188</f>
        <v>0</v>
      </c>
      <c r="F193" s="328">
        <f>d3М!F188-d3П!F188</f>
        <v>0</v>
      </c>
      <c r="G193" s="328">
        <f>d3М!G188-d3П!G188</f>
        <v>0</v>
      </c>
      <c r="H193" s="328">
        <f>d3М!H188-d3П!H188</f>
        <v>0</v>
      </c>
      <c r="I193" s="328">
        <f>d3М!I188-d3П!I188</f>
        <v>0</v>
      </c>
      <c r="J193" s="328">
        <f>d3М!J188-d3П!J188</f>
        <v>0</v>
      </c>
      <c r="K193" s="328">
        <f>d3М!K188-d3П!K188</f>
        <v>0</v>
      </c>
      <c r="L193" s="328">
        <f>d3М!L188-d3П!L188</f>
        <v>0</v>
      </c>
      <c r="M193" s="328">
        <f>d3М!M188-d3П!M188</f>
        <v>0</v>
      </c>
      <c r="N193" s="328">
        <f>d3М!N188-d3П!N188</f>
        <v>0</v>
      </c>
      <c r="O193" s="328">
        <f>d3М!O188-d3П!O188</f>
        <v>0</v>
      </c>
      <c r="P193" s="328">
        <f>d3М!P188-d3П!P188</f>
        <v>0</v>
      </c>
      <c r="Q193" s="20"/>
      <c r="R193" s="46"/>
    </row>
    <row r="194" spans="1:18" ht="47.25" thickTop="1" thickBot="1" x14ac:dyDescent="0.25">
      <c r="A194" s="313" t="s">
        <v>753</v>
      </c>
      <c r="B194" s="313" t="s">
        <v>691</v>
      </c>
      <c r="C194" s="313"/>
      <c r="D194" s="313" t="s">
        <v>689</v>
      </c>
      <c r="E194" s="328">
        <f>d3М!E189-d3П!E189</f>
        <v>0</v>
      </c>
      <c r="F194" s="328">
        <f>d3М!F189-d3П!F189</f>
        <v>0</v>
      </c>
      <c r="G194" s="328">
        <f>d3М!G189-d3П!G189</f>
        <v>0</v>
      </c>
      <c r="H194" s="328">
        <f>d3М!H189-d3П!H189</f>
        <v>0</v>
      </c>
      <c r="I194" s="328">
        <f>d3М!I189-d3П!I189</f>
        <v>0</v>
      </c>
      <c r="J194" s="328">
        <f>d3М!J189-d3П!J189</f>
        <v>0</v>
      </c>
      <c r="K194" s="328">
        <f>d3М!K189-d3П!K189</f>
        <v>0</v>
      </c>
      <c r="L194" s="328">
        <f>d3М!L189-d3П!L189</f>
        <v>0</v>
      </c>
      <c r="M194" s="328">
        <f>d3М!M189-d3П!M189</f>
        <v>0</v>
      </c>
      <c r="N194" s="328">
        <f>d3М!N189-d3П!N189</f>
        <v>0</v>
      </c>
      <c r="O194" s="328">
        <f>d3М!O189-d3П!O189</f>
        <v>0</v>
      </c>
      <c r="P194" s="328">
        <f>d3М!P189-d3П!P189</f>
        <v>0</v>
      </c>
      <c r="Q194" s="20"/>
      <c r="R194" s="46"/>
    </row>
    <row r="195" spans="1:18" ht="47.25" thickTop="1" thickBot="1" x14ac:dyDescent="0.25">
      <c r="A195" s="103" t="s">
        <v>1310</v>
      </c>
      <c r="B195" s="103" t="s">
        <v>212</v>
      </c>
      <c r="C195" s="103" t="s">
        <v>213</v>
      </c>
      <c r="D195" s="103" t="s">
        <v>41</v>
      </c>
      <c r="E195" s="328">
        <f>d3М!E190-d3П!E190</f>
        <v>0</v>
      </c>
      <c r="F195" s="328">
        <f>d3М!F190-d3П!F190</f>
        <v>0</v>
      </c>
      <c r="G195" s="328">
        <f>d3М!G190-d3П!G190</f>
        <v>0</v>
      </c>
      <c r="H195" s="328">
        <f>d3М!H190-d3П!H190</f>
        <v>0</v>
      </c>
      <c r="I195" s="328">
        <f>d3М!I190-d3П!I190</f>
        <v>0</v>
      </c>
      <c r="J195" s="328">
        <f>d3М!J190-d3П!J190</f>
        <v>0</v>
      </c>
      <c r="K195" s="328">
        <f>d3М!K190-d3П!K190</f>
        <v>0</v>
      </c>
      <c r="L195" s="328">
        <f>d3М!L190-d3П!L190</f>
        <v>0</v>
      </c>
      <c r="M195" s="328">
        <f>d3М!M190-d3П!M190</f>
        <v>0</v>
      </c>
      <c r="N195" s="328">
        <f>d3М!N190-d3П!N190</f>
        <v>0</v>
      </c>
      <c r="O195" s="328">
        <f>d3М!O190-d3П!O190</f>
        <v>0</v>
      </c>
      <c r="P195" s="328">
        <f>d3М!P190-d3П!P190</f>
        <v>0</v>
      </c>
      <c r="Q195" s="20"/>
      <c r="R195" s="46"/>
    </row>
    <row r="196" spans="1:18" ht="48" hidden="1" thickTop="1" thickBot="1" x14ac:dyDescent="0.25">
      <c r="A196" s="140" t="s">
        <v>752</v>
      </c>
      <c r="B196" s="140" t="s">
        <v>694</v>
      </c>
      <c r="C196" s="140"/>
      <c r="D196" s="153" t="s">
        <v>692</v>
      </c>
      <c r="E196" s="141">
        <f>E197</f>
        <v>0</v>
      </c>
      <c r="F196" s="141">
        <f t="shared" ref="F196:P196" si="25">F197</f>
        <v>0</v>
      </c>
      <c r="G196" s="141">
        <f t="shared" si="25"/>
        <v>0</v>
      </c>
      <c r="H196" s="141">
        <f t="shared" si="25"/>
        <v>0</v>
      </c>
      <c r="I196" s="141">
        <f t="shared" si="25"/>
        <v>0</v>
      </c>
      <c r="J196" s="141">
        <f t="shared" si="25"/>
        <v>0</v>
      </c>
      <c r="K196" s="141">
        <f t="shared" si="25"/>
        <v>0</v>
      </c>
      <c r="L196" s="141">
        <f t="shared" si="25"/>
        <v>0</v>
      </c>
      <c r="M196" s="141">
        <f t="shared" si="25"/>
        <v>0</v>
      </c>
      <c r="N196" s="141">
        <f t="shared" si="25"/>
        <v>0</v>
      </c>
      <c r="O196" s="141">
        <f t="shared" si="25"/>
        <v>0</v>
      </c>
      <c r="P196" s="141">
        <f t="shared" si="25"/>
        <v>0</v>
      </c>
      <c r="Q196" s="20"/>
      <c r="R196" s="46"/>
    </row>
    <row r="197" spans="1:18" ht="138.75" hidden="1" thickTop="1" thickBot="1" x14ac:dyDescent="0.7">
      <c r="A197" s="797" t="s">
        <v>423</v>
      </c>
      <c r="B197" s="797" t="s">
        <v>338</v>
      </c>
      <c r="C197" s="797" t="s">
        <v>170</v>
      </c>
      <c r="D197" s="155" t="s">
        <v>440</v>
      </c>
      <c r="E197" s="800">
        <f t="shared" ref="E197" si="26">F197</f>
        <v>0</v>
      </c>
      <c r="F197" s="781"/>
      <c r="G197" s="781"/>
      <c r="H197" s="781"/>
      <c r="I197" s="781"/>
      <c r="J197" s="800">
        <f t="shared" ref="J197" si="27">L197+O197</f>
        <v>0</v>
      </c>
      <c r="K197" s="781"/>
      <c r="L197" s="781"/>
      <c r="M197" s="781"/>
      <c r="N197" s="781"/>
      <c r="O197" s="785">
        <f t="shared" ref="O197" si="28">K197</f>
        <v>0</v>
      </c>
      <c r="P197" s="782">
        <f t="shared" ref="P197" si="29">E197+J197</f>
        <v>0</v>
      </c>
      <c r="Q197" s="20"/>
      <c r="R197" s="50"/>
    </row>
    <row r="198" spans="1:18" ht="93" hidden="1" thickTop="1" thickBot="1" x14ac:dyDescent="0.25">
      <c r="A198" s="783"/>
      <c r="B198" s="805"/>
      <c r="C198" s="783"/>
      <c r="D198" s="156" t="s">
        <v>441</v>
      </c>
      <c r="E198" s="783"/>
      <c r="F198" s="784"/>
      <c r="G198" s="784"/>
      <c r="H198" s="784"/>
      <c r="I198" s="784"/>
      <c r="J198" s="783"/>
      <c r="K198" s="783"/>
      <c r="L198" s="784"/>
      <c r="M198" s="784"/>
      <c r="N198" s="784"/>
      <c r="O198" s="786"/>
      <c r="P198" s="787"/>
      <c r="Q198" s="20"/>
      <c r="R198" s="50"/>
    </row>
    <row r="199" spans="1:18" ht="120" customHeight="1" thickTop="1" thickBot="1" x14ac:dyDescent="0.25">
      <c r="A199" s="661">
        <v>1000000</v>
      </c>
      <c r="B199" s="661"/>
      <c r="C199" s="661"/>
      <c r="D199" s="662" t="s">
        <v>24</v>
      </c>
      <c r="E199" s="663">
        <f>E200</f>
        <v>0</v>
      </c>
      <c r="F199" s="664">
        <f t="shared" ref="F199:G199" si="30">F200</f>
        <v>0</v>
      </c>
      <c r="G199" s="664">
        <f t="shared" si="30"/>
        <v>0</v>
      </c>
      <c r="H199" s="664">
        <f>H200</f>
        <v>0</v>
      </c>
      <c r="I199" s="664">
        <f>I200</f>
        <v>0</v>
      </c>
      <c r="J199" s="663">
        <f>J200</f>
        <v>0</v>
      </c>
      <c r="K199" s="664">
        <f>K200</f>
        <v>0</v>
      </c>
      <c r="L199" s="664">
        <f>L200</f>
        <v>0</v>
      </c>
      <c r="M199" s="664">
        <f t="shared" ref="M199" si="31">M200</f>
        <v>0</v>
      </c>
      <c r="N199" s="664">
        <f>N200</f>
        <v>0</v>
      </c>
      <c r="O199" s="663">
        <f>O200</f>
        <v>0</v>
      </c>
      <c r="P199" s="664">
        <f t="shared" ref="P199" si="32">P200</f>
        <v>0</v>
      </c>
      <c r="Q199" s="20"/>
    </row>
    <row r="200" spans="1:18" ht="120" customHeight="1" thickTop="1" thickBot="1" x14ac:dyDescent="0.25">
      <c r="A200" s="658">
        <v>1010000</v>
      </c>
      <c r="B200" s="658"/>
      <c r="C200" s="658"/>
      <c r="D200" s="659" t="s">
        <v>39</v>
      </c>
      <c r="E200" s="660">
        <f>E201+E203+E217+E211</f>
        <v>0</v>
      </c>
      <c r="F200" s="660">
        <f>F201+F203+F217+F211</f>
        <v>0</v>
      </c>
      <c r="G200" s="660">
        <f>G201+G203+G217+G211</f>
        <v>0</v>
      </c>
      <c r="H200" s="660">
        <f>H201+H203+H217+H211</f>
        <v>0</v>
      </c>
      <c r="I200" s="660">
        <f>I201+I203+I217+I211</f>
        <v>0</v>
      </c>
      <c r="J200" s="660">
        <f t="shared" ref="J200" si="33">L200+O200</f>
        <v>0</v>
      </c>
      <c r="K200" s="660">
        <f>K201+K203+K217+K211</f>
        <v>0</v>
      </c>
      <c r="L200" s="660">
        <f>L201+L203+L217+L211</f>
        <v>0</v>
      </c>
      <c r="M200" s="660">
        <f>M201+M203+M217+M211</f>
        <v>0</v>
      </c>
      <c r="N200" s="660">
        <f>N201+N203+N217+N211</f>
        <v>0</v>
      </c>
      <c r="O200" s="660">
        <f>O201+O203+O217+O211</f>
        <v>0</v>
      </c>
      <c r="P200" s="660">
        <f t="shared" ref="P200" si="34">E200+J200</f>
        <v>0</v>
      </c>
      <c r="Q200" s="503" t="b">
        <f>P200=P202+P204+P205+P206+P210+P209+P214</f>
        <v>1</v>
      </c>
      <c r="R200" s="46"/>
    </row>
    <row r="201" spans="1:18" ht="47.25" thickTop="1" thickBot="1" x14ac:dyDescent="0.25">
      <c r="A201" s="311" t="s">
        <v>754</v>
      </c>
      <c r="B201" s="311" t="s">
        <v>708</v>
      </c>
      <c r="C201" s="311"/>
      <c r="D201" s="311" t="s">
        <v>709</v>
      </c>
      <c r="E201" s="328">
        <f>d3М!E196-d3П!E196</f>
        <v>0</v>
      </c>
      <c r="F201" s="328">
        <f>d3М!F196-d3П!F196</f>
        <v>0</v>
      </c>
      <c r="G201" s="328">
        <f>d3М!G196-d3П!G196</f>
        <v>0</v>
      </c>
      <c r="H201" s="328">
        <f>d3М!H196-d3П!H196</f>
        <v>0</v>
      </c>
      <c r="I201" s="328">
        <f>d3М!I196-d3П!I196</f>
        <v>0</v>
      </c>
      <c r="J201" s="328">
        <f>d3М!J196-d3П!J196</f>
        <v>0</v>
      </c>
      <c r="K201" s="328">
        <f>d3М!K196-d3П!K196</f>
        <v>0</v>
      </c>
      <c r="L201" s="328">
        <f>d3М!L196-d3П!L196</f>
        <v>0</v>
      </c>
      <c r="M201" s="328">
        <f>d3М!M196-d3П!M196</f>
        <v>0</v>
      </c>
      <c r="N201" s="328">
        <f>d3М!N196-d3П!N196</f>
        <v>0</v>
      </c>
      <c r="O201" s="328">
        <f>d3М!O196-d3П!O196</f>
        <v>0</v>
      </c>
      <c r="P201" s="328">
        <f>d3М!P196-d3П!P196</f>
        <v>0</v>
      </c>
      <c r="Q201" s="47"/>
      <c r="R201" s="46"/>
    </row>
    <row r="202" spans="1:18" ht="47.25" thickTop="1" thickBot="1" x14ac:dyDescent="0.25">
      <c r="A202" s="103" t="s">
        <v>636</v>
      </c>
      <c r="B202" s="103" t="s">
        <v>637</v>
      </c>
      <c r="C202" s="103" t="s">
        <v>181</v>
      </c>
      <c r="D202" s="103" t="s">
        <v>1120</v>
      </c>
      <c r="E202" s="328">
        <f>d3М!E197-d3П!E197</f>
        <v>0</v>
      </c>
      <c r="F202" s="328">
        <f>d3М!F197-d3П!F197</f>
        <v>0</v>
      </c>
      <c r="G202" s="328">
        <f>d3М!G197-d3П!G197</f>
        <v>0</v>
      </c>
      <c r="H202" s="328">
        <f>d3М!H197-d3П!H197</f>
        <v>0</v>
      </c>
      <c r="I202" s="328">
        <f>d3М!I197-d3П!I197</f>
        <v>0</v>
      </c>
      <c r="J202" s="328">
        <f>d3М!J197-d3П!J197</f>
        <v>0</v>
      </c>
      <c r="K202" s="328">
        <f>d3М!K197-d3П!K197</f>
        <v>0</v>
      </c>
      <c r="L202" s="328">
        <f>d3М!L197-d3П!L197</f>
        <v>0</v>
      </c>
      <c r="M202" s="328">
        <f>d3М!M197-d3П!M197</f>
        <v>0</v>
      </c>
      <c r="N202" s="328">
        <f>d3М!N197-d3П!N197</f>
        <v>0</v>
      </c>
      <c r="O202" s="328">
        <f>d3М!O197-d3П!O197</f>
        <v>0</v>
      </c>
      <c r="P202" s="328">
        <f>d3М!P197-d3П!P197</f>
        <v>0</v>
      </c>
      <c r="Q202" s="20"/>
      <c r="R202" s="46"/>
    </row>
    <row r="203" spans="1:18" s="24" customFormat="1" ht="47.25" thickTop="1" thickBot="1" x14ac:dyDescent="0.25">
      <c r="A203" s="311" t="s">
        <v>755</v>
      </c>
      <c r="B203" s="311" t="s">
        <v>756</v>
      </c>
      <c r="C203" s="311"/>
      <c r="D203" s="311" t="s">
        <v>757</v>
      </c>
      <c r="E203" s="328">
        <f>d3М!E198-d3П!E198</f>
        <v>0</v>
      </c>
      <c r="F203" s="328">
        <f>d3М!F198-d3П!F198</f>
        <v>0</v>
      </c>
      <c r="G203" s="328">
        <f>d3М!G198-d3П!G198</f>
        <v>0</v>
      </c>
      <c r="H203" s="328">
        <f>d3М!H198-d3П!H198</f>
        <v>0</v>
      </c>
      <c r="I203" s="328">
        <f>d3М!I198-d3П!I198</f>
        <v>0</v>
      </c>
      <c r="J203" s="328">
        <f>d3М!J198-d3П!J198</f>
        <v>0</v>
      </c>
      <c r="K203" s="328">
        <f>d3М!K198-d3П!K198</f>
        <v>0</v>
      </c>
      <c r="L203" s="328">
        <f>d3М!L198-d3П!L198</f>
        <v>0</v>
      </c>
      <c r="M203" s="328">
        <f>d3М!M198-d3П!M198</f>
        <v>0</v>
      </c>
      <c r="N203" s="328">
        <f>d3М!N198-d3П!N198</f>
        <v>0</v>
      </c>
      <c r="O203" s="328">
        <f>d3М!O198-d3П!O198</f>
        <v>0</v>
      </c>
      <c r="P203" s="328">
        <f>d3М!P198-d3П!P198</f>
        <v>0</v>
      </c>
      <c r="Q203" s="25"/>
      <c r="R203" s="50"/>
    </row>
    <row r="204" spans="1:18" ht="47.25" thickTop="1" thickBot="1" x14ac:dyDescent="0.25">
      <c r="A204" s="103" t="s">
        <v>172</v>
      </c>
      <c r="B204" s="103" t="s">
        <v>173</v>
      </c>
      <c r="C204" s="103" t="s">
        <v>174</v>
      </c>
      <c r="D204" s="103" t="s">
        <v>175</v>
      </c>
      <c r="E204" s="328">
        <f>d3М!E199-d3П!E199</f>
        <v>0</v>
      </c>
      <c r="F204" s="328">
        <f>d3М!F199-d3П!F199</f>
        <v>0</v>
      </c>
      <c r="G204" s="328">
        <f>d3М!G199-d3П!G199</f>
        <v>0</v>
      </c>
      <c r="H204" s="328">
        <f>d3М!H199-d3П!H199</f>
        <v>0</v>
      </c>
      <c r="I204" s="328">
        <f>d3М!I199-d3П!I199</f>
        <v>0</v>
      </c>
      <c r="J204" s="328">
        <f>d3М!J199-d3П!J199</f>
        <v>0</v>
      </c>
      <c r="K204" s="328">
        <f>d3М!K199-d3П!K199</f>
        <v>0</v>
      </c>
      <c r="L204" s="328">
        <f>d3М!L199-d3П!L199</f>
        <v>0</v>
      </c>
      <c r="M204" s="328">
        <f>d3М!M199-d3П!M199</f>
        <v>0</v>
      </c>
      <c r="N204" s="328">
        <f>d3М!N199-d3П!N199</f>
        <v>0</v>
      </c>
      <c r="O204" s="328">
        <f>d3М!O199-d3П!O199</f>
        <v>0</v>
      </c>
      <c r="P204" s="328">
        <f>d3М!P199-d3П!P199</f>
        <v>0</v>
      </c>
      <c r="Q204" s="20"/>
      <c r="R204" s="46"/>
    </row>
    <row r="205" spans="1:18" ht="47.25" thickTop="1" thickBot="1" x14ac:dyDescent="0.25">
      <c r="A205" s="103" t="s">
        <v>176</v>
      </c>
      <c r="B205" s="103" t="s">
        <v>177</v>
      </c>
      <c r="C205" s="103" t="s">
        <v>174</v>
      </c>
      <c r="D205" s="103" t="s">
        <v>463</v>
      </c>
      <c r="E205" s="328">
        <f>d3М!E200-d3П!E200</f>
        <v>0</v>
      </c>
      <c r="F205" s="328">
        <f>d3М!F200-d3П!F200</f>
        <v>0</v>
      </c>
      <c r="G205" s="328">
        <f>d3М!G200-d3П!G200</f>
        <v>0</v>
      </c>
      <c r="H205" s="328">
        <f>d3М!H200-d3П!H200</f>
        <v>0</v>
      </c>
      <c r="I205" s="328">
        <f>d3М!I200-d3П!I200</f>
        <v>0</v>
      </c>
      <c r="J205" s="328">
        <f>d3М!J200-d3П!J200</f>
        <v>0</v>
      </c>
      <c r="K205" s="328">
        <f>d3М!K200-d3П!K200</f>
        <v>0</v>
      </c>
      <c r="L205" s="328">
        <f>d3М!L200-d3П!L200</f>
        <v>0</v>
      </c>
      <c r="M205" s="328">
        <f>d3М!M200-d3П!M200</f>
        <v>0</v>
      </c>
      <c r="N205" s="328">
        <f>d3М!N200-d3П!N200</f>
        <v>0</v>
      </c>
      <c r="O205" s="328">
        <f>d3М!O200-d3П!O200</f>
        <v>0</v>
      </c>
      <c r="P205" s="328">
        <f>d3М!P200-d3П!P200</f>
        <v>0</v>
      </c>
      <c r="Q205" s="20"/>
      <c r="R205" s="46"/>
    </row>
    <row r="206" spans="1:18" ht="93" thickTop="1" thickBot="1" x14ac:dyDescent="0.25">
      <c r="A206" s="103" t="s">
        <v>178</v>
      </c>
      <c r="B206" s="103" t="s">
        <v>171</v>
      </c>
      <c r="C206" s="103" t="s">
        <v>179</v>
      </c>
      <c r="D206" s="103" t="s">
        <v>180</v>
      </c>
      <c r="E206" s="328">
        <f>d3М!E201-d3П!E201</f>
        <v>0</v>
      </c>
      <c r="F206" s="328">
        <f>d3М!F201-d3П!F201</f>
        <v>0</v>
      </c>
      <c r="G206" s="328">
        <f>d3М!G201-d3П!G201</f>
        <v>0</v>
      </c>
      <c r="H206" s="328">
        <f>d3М!H201-d3П!H201</f>
        <v>0</v>
      </c>
      <c r="I206" s="328">
        <f>d3М!I201-d3П!I201</f>
        <v>0</v>
      </c>
      <c r="J206" s="328">
        <f>d3М!J201-d3П!J201</f>
        <v>0</v>
      </c>
      <c r="K206" s="328">
        <f>d3М!K201-d3П!K201</f>
        <v>0</v>
      </c>
      <c r="L206" s="328">
        <f>d3М!L201-d3П!L201</f>
        <v>0</v>
      </c>
      <c r="M206" s="328">
        <f>d3М!M201-d3П!M201</f>
        <v>0</v>
      </c>
      <c r="N206" s="328">
        <f>d3М!N201-d3П!N201</f>
        <v>0</v>
      </c>
      <c r="O206" s="328">
        <f>d3М!O201-d3П!O201</f>
        <v>0</v>
      </c>
      <c r="P206" s="328">
        <f>d3М!P201-d3П!P201</f>
        <v>0</v>
      </c>
      <c r="Q206" s="20"/>
      <c r="R206" s="46"/>
    </row>
    <row r="207" spans="1:18" ht="47.25" hidden="1" thickTop="1" thickBot="1" x14ac:dyDescent="0.25">
      <c r="A207" s="128" t="s">
        <v>1194</v>
      </c>
      <c r="B207" s="128" t="s">
        <v>1195</v>
      </c>
      <c r="C207" s="128" t="s">
        <v>1197</v>
      </c>
      <c r="D207" s="128" t="s">
        <v>1196</v>
      </c>
      <c r="E207" s="328">
        <f>d3М!E202-d3П!E202</f>
        <v>0</v>
      </c>
      <c r="F207" s="328">
        <f>d3М!F202-d3П!F202</f>
        <v>0</v>
      </c>
      <c r="G207" s="328">
        <f>d3М!G202-d3П!G202</f>
        <v>0</v>
      </c>
      <c r="H207" s="328">
        <f>d3М!H202-d3П!H202</f>
        <v>0</v>
      </c>
      <c r="I207" s="328">
        <f>d3М!I202-d3П!I202</f>
        <v>0</v>
      </c>
      <c r="J207" s="328">
        <f>d3М!J202-d3П!J202</f>
        <v>0</v>
      </c>
      <c r="K207" s="328">
        <f>d3М!K202-d3П!K202</f>
        <v>0</v>
      </c>
      <c r="L207" s="328">
        <f>d3М!L202-d3П!L202</f>
        <v>0</v>
      </c>
      <c r="M207" s="328">
        <f>d3М!M202-d3П!M202</f>
        <v>0</v>
      </c>
      <c r="N207" s="328">
        <f>d3М!N202-d3П!N202</f>
        <v>0</v>
      </c>
      <c r="O207" s="328">
        <f>d3М!O202-d3П!O202</f>
        <v>0</v>
      </c>
      <c r="P207" s="328">
        <f>d3М!P202-d3П!P202</f>
        <v>0</v>
      </c>
      <c r="Q207" s="20"/>
      <c r="R207" s="46"/>
    </row>
    <row r="208" spans="1:18" ht="47.25" thickTop="1" thickBot="1" x14ac:dyDescent="0.25">
      <c r="A208" s="329" t="s">
        <v>758</v>
      </c>
      <c r="B208" s="329" t="s">
        <v>759</v>
      </c>
      <c r="C208" s="329"/>
      <c r="D208" s="329" t="s">
        <v>760</v>
      </c>
      <c r="E208" s="328">
        <f>d3М!E203-d3П!E203</f>
        <v>0</v>
      </c>
      <c r="F208" s="328">
        <f>d3М!F203-d3П!F203</f>
        <v>0</v>
      </c>
      <c r="G208" s="328">
        <f>d3М!G203-d3П!G203</f>
        <v>0</v>
      </c>
      <c r="H208" s="328">
        <f>d3М!H203-d3П!H203</f>
        <v>0</v>
      </c>
      <c r="I208" s="328">
        <f>d3М!I203-d3П!I203</f>
        <v>0</v>
      </c>
      <c r="J208" s="328">
        <f>d3М!J203-d3П!J203</f>
        <v>0</v>
      </c>
      <c r="K208" s="328">
        <f>d3М!K203-d3П!K203</f>
        <v>0</v>
      </c>
      <c r="L208" s="328">
        <f>d3М!L203-d3П!L203</f>
        <v>0</v>
      </c>
      <c r="M208" s="328">
        <f>d3М!M203-d3П!M203</f>
        <v>0</v>
      </c>
      <c r="N208" s="328">
        <f>d3М!N203-d3П!N203</f>
        <v>0</v>
      </c>
      <c r="O208" s="328">
        <f>d3М!O203-d3П!O203</f>
        <v>0</v>
      </c>
      <c r="P208" s="328">
        <f>d3М!P203-d3П!P203</f>
        <v>0</v>
      </c>
      <c r="Q208" s="20"/>
      <c r="R208" s="46"/>
    </row>
    <row r="209" spans="1:18" ht="47.25" thickTop="1" thickBot="1" x14ac:dyDescent="0.25">
      <c r="A209" s="103" t="s">
        <v>333</v>
      </c>
      <c r="B209" s="103" t="s">
        <v>334</v>
      </c>
      <c r="C209" s="103" t="s">
        <v>182</v>
      </c>
      <c r="D209" s="103" t="s">
        <v>464</v>
      </c>
      <c r="E209" s="328">
        <f>d3М!E204-d3П!E204</f>
        <v>0</v>
      </c>
      <c r="F209" s="328">
        <f>d3М!F204-d3П!F204</f>
        <v>0</v>
      </c>
      <c r="G209" s="328">
        <f>d3М!G204-d3П!G204</f>
        <v>0</v>
      </c>
      <c r="H209" s="328">
        <f>d3М!H204-d3П!H204</f>
        <v>0</v>
      </c>
      <c r="I209" s="328">
        <f>d3М!I204-d3П!I204</f>
        <v>0</v>
      </c>
      <c r="J209" s="328">
        <f>d3М!J204-d3П!J204</f>
        <v>0</v>
      </c>
      <c r="K209" s="328">
        <f>d3М!K204-d3П!K204</f>
        <v>0</v>
      </c>
      <c r="L209" s="328">
        <f>d3М!L204-d3П!L204</f>
        <v>0</v>
      </c>
      <c r="M209" s="328">
        <f>d3М!M204-d3П!M204</f>
        <v>0</v>
      </c>
      <c r="N209" s="328">
        <f>d3М!N204-d3П!N204</f>
        <v>0</v>
      </c>
      <c r="O209" s="328">
        <f>d3М!O204-d3П!O204</f>
        <v>0</v>
      </c>
      <c r="P209" s="328">
        <f>d3М!P204-d3П!P204</f>
        <v>0</v>
      </c>
      <c r="Q209" s="20"/>
      <c r="R209" s="46"/>
    </row>
    <row r="210" spans="1:18" ht="47.25" thickTop="1" thickBot="1" x14ac:dyDescent="0.25">
      <c r="A210" s="103" t="s">
        <v>335</v>
      </c>
      <c r="B210" s="103" t="s">
        <v>336</v>
      </c>
      <c r="C210" s="103" t="s">
        <v>182</v>
      </c>
      <c r="D210" s="103" t="s">
        <v>465</v>
      </c>
      <c r="E210" s="328">
        <f>d3М!E205-d3П!E205</f>
        <v>0</v>
      </c>
      <c r="F210" s="328">
        <f>d3М!F205-d3П!F205</f>
        <v>0</v>
      </c>
      <c r="G210" s="328">
        <f>d3М!G205-d3П!G205</f>
        <v>0</v>
      </c>
      <c r="H210" s="328">
        <f>d3М!H205-d3П!H205</f>
        <v>0</v>
      </c>
      <c r="I210" s="328">
        <f>d3М!I205-d3П!I205</f>
        <v>0</v>
      </c>
      <c r="J210" s="328">
        <f>d3М!J205-d3П!J205</f>
        <v>0</v>
      </c>
      <c r="K210" s="328">
        <f>d3М!K205-d3П!K205</f>
        <v>0</v>
      </c>
      <c r="L210" s="328">
        <f>d3М!L205-d3П!L205</f>
        <v>0</v>
      </c>
      <c r="M210" s="328">
        <f>d3М!M205-d3П!M205</f>
        <v>0</v>
      </c>
      <c r="N210" s="328">
        <f>d3М!N205-d3П!N205</f>
        <v>0</v>
      </c>
      <c r="O210" s="328">
        <f>d3М!O205-d3П!O205</f>
        <v>0</v>
      </c>
      <c r="P210" s="328">
        <f>d3М!P205-d3П!P205</f>
        <v>0</v>
      </c>
      <c r="Q210" s="20"/>
      <c r="R210" s="50"/>
    </row>
    <row r="211" spans="1:18" ht="47.25" thickTop="1" thickBot="1" x14ac:dyDescent="0.25">
      <c r="A211" s="311" t="s">
        <v>915</v>
      </c>
      <c r="B211" s="311" t="s">
        <v>748</v>
      </c>
      <c r="C211" s="311"/>
      <c r="D211" s="311" t="s">
        <v>749</v>
      </c>
      <c r="E211" s="328">
        <f>d3М!E206-d3П!E206</f>
        <v>0</v>
      </c>
      <c r="F211" s="328">
        <f>d3М!F206-d3П!F206</f>
        <v>0</v>
      </c>
      <c r="G211" s="328">
        <f>d3М!G206-d3П!G206</f>
        <v>0</v>
      </c>
      <c r="H211" s="328">
        <f>d3М!H206-d3П!H206</f>
        <v>0</v>
      </c>
      <c r="I211" s="328">
        <f>d3М!I206-d3П!I206</f>
        <v>0</v>
      </c>
      <c r="J211" s="328">
        <f>d3М!J206-d3П!J206</f>
        <v>0</v>
      </c>
      <c r="K211" s="328">
        <f>d3М!K206-d3П!K206</f>
        <v>0</v>
      </c>
      <c r="L211" s="328">
        <f>d3М!L206-d3П!L206</f>
        <v>0</v>
      </c>
      <c r="M211" s="328">
        <f>d3М!M206-d3П!M206</f>
        <v>0</v>
      </c>
      <c r="N211" s="328">
        <f>d3М!N206-d3П!N206</f>
        <v>0</v>
      </c>
      <c r="O211" s="328">
        <f>d3М!O206-d3П!O206</f>
        <v>0</v>
      </c>
      <c r="P211" s="328">
        <f>d3М!P206-d3П!P206</f>
        <v>0</v>
      </c>
      <c r="Q211" s="20"/>
      <c r="R211" s="50"/>
    </row>
    <row r="212" spans="1:18" ht="47.25" thickTop="1" thickBot="1" x14ac:dyDescent="0.25">
      <c r="A212" s="313" t="s">
        <v>916</v>
      </c>
      <c r="B212" s="313" t="s">
        <v>691</v>
      </c>
      <c r="C212" s="313"/>
      <c r="D212" s="313" t="s">
        <v>689</v>
      </c>
      <c r="E212" s="328">
        <f>d3М!E207-d3П!E207</f>
        <v>0</v>
      </c>
      <c r="F212" s="328">
        <f>d3М!F207-d3П!F207</f>
        <v>0</v>
      </c>
      <c r="G212" s="328">
        <f>d3М!G207-d3П!G207</f>
        <v>0</v>
      </c>
      <c r="H212" s="328">
        <f>d3М!H207-d3П!H207</f>
        <v>0</v>
      </c>
      <c r="I212" s="328">
        <f>d3М!I207-d3П!I207</f>
        <v>0</v>
      </c>
      <c r="J212" s="328">
        <f>d3М!J207-d3П!J207</f>
        <v>0</v>
      </c>
      <c r="K212" s="328">
        <f>d3М!K207-d3П!K207</f>
        <v>0</v>
      </c>
      <c r="L212" s="328">
        <f>d3М!L207-d3П!L207</f>
        <v>0</v>
      </c>
      <c r="M212" s="328">
        <f>d3М!M207-d3П!M207</f>
        <v>0</v>
      </c>
      <c r="N212" s="328">
        <f>d3М!N207-d3П!N207</f>
        <v>0</v>
      </c>
      <c r="O212" s="328">
        <f>d3М!O207-d3П!O207</f>
        <v>0</v>
      </c>
      <c r="P212" s="328">
        <f>d3М!P207-d3П!P207</f>
        <v>0</v>
      </c>
      <c r="Q212" s="20"/>
      <c r="R212" s="50"/>
    </row>
    <row r="213" spans="1:18" ht="47.25" thickTop="1" thickBot="1" x14ac:dyDescent="0.25">
      <c r="A213" s="329" t="s">
        <v>1032</v>
      </c>
      <c r="B213" s="329" t="s">
        <v>1033</v>
      </c>
      <c r="C213" s="329"/>
      <c r="D213" s="329" t="s">
        <v>1031</v>
      </c>
      <c r="E213" s="328">
        <f>d3М!E208-d3П!E208</f>
        <v>0</v>
      </c>
      <c r="F213" s="328">
        <f>d3М!F208-d3П!F208</f>
        <v>0</v>
      </c>
      <c r="G213" s="328">
        <f>d3М!G208-d3П!G208</f>
        <v>0</v>
      </c>
      <c r="H213" s="328">
        <f>d3М!H208-d3П!H208</f>
        <v>0</v>
      </c>
      <c r="I213" s="328">
        <f>d3М!I208-d3П!I208</f>
        <v>0</v>
      </c>
      <c r="J213" s="328">
        <f>d3М!J208-d3П!J208</f>
        <v>0</v>
      </c>
      <c r="K213" s="328">
        <f>d3М!K208-d3П!K208</f>
        <v>0</v>
      </c>
      <c r="L213" s="328">
        <f>d3М!L208-d3П!L208</f>
        <v>0</v>
      </c>
      <c r="M213" s="328">
        <f>d3М!M208-d3П!M208</f>
        <v>0</v>
      </c>
      <c r="N213" s="328">
        <f>d3М!N208-d3П!N208</f>
        <v>0</v>
      </c>
      <c r="O213" s="328">
        <f>d3М!O208-d3П!O208</f>
        <v>0</v>
      </c>
      <c r="P213" s="328">
        <f>d3М!P208-d3П!P208</f>
        <v>0</v>
      </c>
      <c r="Q213" s="20"/>
      <c r="R213" s="50"/>
    </row>
    <row r="214" spans="1:18" ht="47.25" thickTop="1" thickBot="1" x14ac:dyDescent="0.25">
      <c r="A214" s="103" t="s">
        <v>1035</v>
      </c>
      <c r="B214" s="103" t="s">
        <v>1036</v>
      </c>
      <c r="C214" s="103" t="s">
        <v>213</v>
      </c>
      <c r="D214" s="103" t="s">
        <v>1034</v>
      </c>
      <c r="E214" s="328">
        <f>d3М!E209-d3П!E209</f>
        <v>0</v>
      </c>
      <c r="F214" s="328">
        <f>d3М!F209-d3П!F209</f>
        <v>0</v>
      </c>
      <c r="G214" s="328">
        <f>d3М!G209-d3П!G209</f>
        <v>0</v>
      </c>
      <c r="H214" s="328">
        <f>d3М!H209-d3П!H209</f>
        <v>0</v>
      </c>
      <c r="I214" s="328">
        <f>d3М!I209-d3П!I209</f>
        <v>0</v>
      </c>
      <c r="J214" s="328">
        <f>d3М!J209-d3П!J209</f>
        <v>0</v>
      </c>
      <c r="K214" s="328">
        <f>d3М!K209-d3П!K209</f>
        <v>0</v>
      </c>
      <c r="L214" s="328">
        <f>d3М!L209-d3П!L209</f>
        <v>0</v>
      </c>
      <c r="M214" s="328">
        <f>d3М!M209-d3П!M209</f>
        <v>0</v>
      </c>
      <c r="N214" s="328">
        <f>d3М!N209-d3П!N209</f>
        <v>0</v>
      </c>
      <c r="O214" s="328">
        <f>d3М!O209-d3П!O209</f>
        <v>0</v>
      </c>
      <c r="P214" s="328">
        <f>d3М!P209-d3П!P209</f>
        <v>0</v>
      </c>
      <c r="Q214" s="20"/>
      <c r="R214" s="50"/>
    </row>
    <row r="215" spans="1:18" ht="48" hidden="1" thickTop="1" thickBot="1" x14ac:dyDescent="0.25">
      <c r="A215" s="128" t="s">
        <v>1265</v>
      </c>
      <c r="B215" s="128" t="s">
        <v>212</v>
      </c>
      <c r="C215" s="128" t="s">
        <v>213</v>
      </c>
      <c r="D215" s="128" t="s">
        <v>41</v>
      </c>
      <c r="E215" s="127">
        <f t="shared" ref="E215:E216" si="35">F215</f>
        <v>0</v>
      </c>
      <c r="F215" s="134"/>
      <c r="G215" s="134"/>
      <c r="H215" s="134"/>
      <c r="I215" s="134"/>
      <c r="J215" s="127">
        <f>L215+O215</f>
        <v>0</v>
      </c>
      <c r="K215" s="134"/>
      <c r="L215" s="134"/>
      <c r="M215" s="134"/>
      <c r="N215" s="134"/>
      <c r="O215" s="132">
        <f>K215</f>
        <v>0</v>
      </c>
      <c r="P215" s="127">
        <f>E215+J215</f>
        <v>0</v>
      </c>
      <c r="Q215" s="20"/>
      <c r="R215" s="50"/>
    </row>
    <row r="216" spans="1:18" ht="48" hidden="1" thickTop="1" thickBot="1" x14ac:dyDescent="0.25">
      <c r="A216" s="128" t="s">
        <v>917</v>
      </c>
      <c r="B216" s="128" t="s">
        <v>197</v>
      </c>
      <c r="C216" s="128" t="s">
        <v>170</v>
      </c>
      <c r="D216" s="128" t="s">
        <v>34</v>
      </c>
      <c r="E216" s="127">
        <f t="shared" si="35"/>
        <v>0</v>
      </c>
      <c r="F216" s="134"/>
      <c r="G216" s="134"/>
      <c r="H216" s="134"/>
      <c r="I216" s="134"/>
      <c r="J216" s="127">
        <f t="shared" ref="J216" si="36">L216+O216</f>
        <v>0</v>
      </c>
      <c r="K216" s="134">
        <f>940242-455475-484767</f>
        <v>0</v>
      </c>
      <c r="L216" s="134"/>
      <c r="M216" s="134"/>
      <c r="N216" s="134"/>
      <c r="O216" s="132">
        <f t="shared" ref="O216" si="37">K216</f>
        <v>0</v>
      </c>
      <c r="P216" s="127">
        <f t="shared" ref="P216" si="38">E216+J216</f>
        <v>0</v>
      </c>
      <c r="Q216" s="20"/>
      <c r="R216" s="46"/>
    </row>
    <row r="217" spans="1:18" ht="47.25" hidden="1" thickTop="1" thickBot="1" x14ac:dyDescent="0.25">
      <c r="A217" s="146" t="s">
        <v>761</v>
      </c>
      <c r="B217" s="146" t="s">
        <v>702</v>
      </c>
      <c r="C217" s="146"/>
      <c r="D217" s="146" t="s">
        <v>703</v>
      </c>
      <c r="E217" s="42">
        <f>E218</f>
        <v>0</v>
      </c>
      <c r="F217" s="42">
        <f t="shared" ref="F217:P218" si="39">F218</f>
        <v>0</v>
      </c>
      <c r="G217" s="42">
        <f t="shared" si="39"/>
        <v>0</v>
      </c>
      <c r="H217" s="42">
        <f t="shared" si="39"/>
        <v>0</v>
      </c>
      <c r="I217" s="42">
        <f t="shared" si="39"/>
        <v>0</v>
      </c>
      <c r="J217" s="42">
        <f t="shared" si="39"/>
        <v>0</v>
      </c>
      <c r="K217" s="42">
        <f t="shared" si="39"/>
        <v>0</v>
      </c>
      <c r="L217" s="42">
        <f t="shared" si="39"/>
        <v>0</v>
      </c>
      <c r="M217" s="42">
        <f t="shared" si="39"/>
        <v>0</v>
      </c>
      <c r="N217" s="42">
        <f t="shared" si="39"/>
        <v>0</v>
      </c>
      <c r="O217" s="42">
        <f t="shared" si="39"/>
        <v>0</v>
      </c>
      <c r="P217" s="42">
        <f t="shared" si="39"/>
        <v>0</v>
      </c>
      <c r="Q217" s="20"/>
      <c r="R217" s="50"/>
    </row>
    <row r="218" spans="1:18" ht="91.5" hidden="1" thickTop="1" thickBot="1" x14ac:dyDescent="0.25">
      <c r="A218" s="147" t="s">
        <v>762</v>
      </c>
      <c r="B218" s="147" t="s">
        <v>705</v>
      </c>
      <c r="C218" s="147"/>
      <c r="D218" s="147" t="s">
        <v>706</v>
      </c>
      <c r="E218" s="148">
        <f>E219</f>
        <v>0</v>
      </c>
      <c r="F218" s="148">
        <f t="shared" si="39"/>
        <v>0</v>
      </c>
      <c r="G218" s="148">
        <f t="shared" si="39"/>
        <v>0</v>
      </c>
      <c r="H218" s="148">
        <f t="shared" si="39"/>
        <v>0</v>
      </c>
      <c r="I218" s="148">
        <f t="shared" si="39"/>
        <v>0</v>
      </c>
      <c r="J218" s="148">
        <f t="shared" si="39"/>
        <v>0</v>
      </c>
      <c r="K218" s="148">
        <f t="shared" si="39"/>
        <v>0</v>
      </c>
      <c r="L218" s="148">
        <f t="shared" si="39"/>
        <v>0</v>
      </c>
      <c r="M218" s="148">
        <f t="shared" si="39"/>
        <v>0</v>
      </c>
      <c r="N218" s="148">
        <f t="shared" si="39"/>
        <v>0</v>
      </c>
      <c r="O218" s="148">
        <f t="shared" si="39"/>
        <v>0</v>
      </c>
      <c r="P218" s="148">
        <f t="shared" si="39"/>
        <v>0</v>
      </c>
      <c r="Q218" s="20"/>
      <c r="R218" s="50"/>
    </row>
    <row r="219" spans="1:18" ht="48" hidden="1" thickTop="1" thickBot="1" x14ac:dyDescent="0.25">
      <c r="A219" s="41" t="s">
        <v>586</v>
      </c>
      <c r="B219" s="41" t="s">
        <v>363</v>
      </c>
      <c r="C219" s="41" t="s">
        <v>43</v>
      </c>
      <c r="D219" s="41" t="s">
        <v>364</v>
      </c>
      <c r="E219" s="42">
        <f t="shared" ref="E219" si="40">F219</f>
        <v>0</v>
      </c>
      <c r="F219" s="43">
        <v>0</v>
      </c>
      <c r="G219" s="43"/>
      <c r="H219" s="43"/>
      <c r="I219" s="43"/>
      <c r="J219" s="42">
        <f>L219+O219</f>
        <v>0</v>
      </c>
      <c r="K219" s="43"/>
      <c r="L219" s="43"/>
      <c r="M219" s="43"/>
      <c r="N219" s="43"/>
      <c r="O219" s="44">
        <f>K219</f>
        <v>0</v>
      </c>
      <c r="P219" s="42">
        <f>E219+J219</f>
        <v>0</v>
      </c>
      <c r="Q219" s="20"/>
      <c r="R219" s="50"/>
    </row>
    <row r="220" spans="1:18" ht="120" customHeight="1" thickTop="1" thickBot="1" x14ac:dyDescent="0.25">
      <c r="A220" s="661" t="s">
        <v>22</v>
      </c>
      <c r="B220" s="661"/>
      <c r="C220" s="661"/>
      <c r="D220" s="662" t="s">
        <v>23</v>
      </c>
      <c r="E220" s="663">
        <f>E221</f>
        <v>93550</v>
      </c>
      <c r="F220" s="664">
        <f t="shared" ref="F220:G220" si="41">F221</f>
        <v>93550</v>
      </c>
      <c r="G220" s="664">
        <f t="shared" si="41"/>
        <v>76680</v>
      </c>
      <c r="H220" s="664">
        <f>H221</f>
        <v>0</v>
      </c>
      <c r="I220" s="664">
        <f t="shared" ref="I220" si="42">I221</f>
        <v>0</v>
      </c>
      <c r="J220" s="663">
        <f>J221</f>
        <v>0</v>
      </c>
      <c r="K220" s="664">
        <f>K221</f>
        <v>0</v>
      </c>
      <c r="L220" s="664">
        <f>L221</f>
        <v>0</v>
      </c>
      <c r="M220" s="664">
        <f t="shared" ref="M220" si="43">M221</f>
        <v>0</v>
      </c>
      <c r="N220" s="664">
        <f>N221</f>
        <v>0</v>
      </c>
      <c r="O220" s="663">
        <f>O221</f>
        <v>0</v>
      </c>
      <c r="P220" s="664">
        <f t="shared" ref="P220" si="44">P221</f>
        <v>93550</v>
      </c>
      <c r="Q220" s="20"/>
    </row>
    <row r="221" spans="1:18" ht="120" customHeight="1" thickTop="1" thickBot="1" x14ac:dyDescent="0.25">
      <c r="A221" s="658" t="s">
        <v>21</v>
      </c>
      <c r="B221" s="658"/>
      <c r="C221" s="658"/>
      <c r="D221" s="659" t="s">
        <v>35</v>
      </c>
      <c r="E221" s="660">
        <f>E222+E228+E243+E246+E253</f>
        <v>93550</v>
      </c>
      <c r="F221" s="660">
        <f t="shared" ref="F221:I221" si="45">F222+F228+F243+F246+F253</f>
        <v>93550</v>
      </c>
      <c r="G221" s="660">
        <f t="shared" si="45"/>
        <v>76680</v>
      </c>
      <c r="H221" s="660">
        <f t="shared" si="45"/>
        <v>0</v>
      </c>
      <c r="I221" s="660">
        <f t="shared" si="45"/>
        <v>0</v>
      </c>
      <c r="J221" s="660">
        <f>L221+O221</f>
        <v>0</v>
      </c>
      <c r="K221" s="660">
        <f t="shared" ref="K221:O221" si="46">K222+K228+K243+K246+K253</f>
        <v>0</v>
      </c>
      <c r="L221" s="660">
        <f t="shared" si="46"/>
        <v>0</v>
      </c>
      <c r="M221" s="660">
        <f t="shared" si="46"/>
        <v>0</v>
      </c>
      <c r="N221" s="660">
        <f t="shared" si="46"/>
        <v>0</v>
      </c>
      <c r="O221" s="660">
        <f t="shared" si="46"/>
        <v>0</v>
      </c>
      <c r="P221" s="660">
        <f>E221+J221</f>
        <v>93550</v>
      </c>
      <c r="Q221" s="503" t="b">
        <f>P221=P226+P227+P230+P231+P233+P235+P236+P240+P241+P242+P238</f>
        <v>1</v>
      </c>
      <c r="R221" s="46"/>
    </row>
    <row r="222" spans="1:18" ht="47.25" thickTop="1" thickBot="1" x14ac:dyDescent="0.25">
      <c r="A222" s="311" t="s">
        <v>763</v>
      </c>
      <c r="B222" s="311" t="s">
        <v>711</v>
      </c>
      <c r="C222" s="311"/>
      <c r="D222" s="311" t="s">
        <v>712</v>
      </c>
      <c r="E222" s="328">
        <f>d3М!E217-d3П!E217</f>
        <v>0</v>
      </c>
      <c r="F222" s="328">
        <f>d3М!F217-d3П!F217</f>
        <v>0</v>
      </c>
      <c r="G222" s="328">
        <f>d3М!G217-d3П!G217</f>
        <v>0</v>
      </c>
      <c r="H222" s="328">
        <f>d3М!H217-d3П!H217</f>
        <v>0</v>
      </c>
      <c r="I222" s="328">
        <f>d3М!I217-d3П!I217</f>
        <v>0</v>
      </c>
      <c r="J222" s="328">
        <f>d3М!J217-d3П!J217</f>
        <v>0</v>
      </c>
      <c r="K222" s="328">
        <f>d3М!K217-d3П!K217</f>
        <v>0</v>
      </c>
      <c r="L222" s="328">
        <f>d3М!L217-d3П!L217</f>
        <v>0</v>
      </c>
      <c r="M222" s="328">
        <f>d3М!M217-d3П!M217</f>
        <v>0</v>
      </c>
      <c r="N222" s="328">
        <f>d3М!N217-d3П!N217</f>
        <v>0</v>
      </c>
      <c r="O222" s="328">
        <f>d3М!O217-d3П!O217</f>
        <v>0</v>
      </c>
      <c r="P222" s="328">
        <f>d3М!P217-d3П!P217</f>
        <v>0</v>
      </c>
      <c r="Q222" s="47"/>
      <c r="R222" s="46"/>
    </row>
    <row r="223" spans="1:18" s="33" customFormat="1" ht="48" hidden="1" thickTop="1" thickBot="1" x14ac:dyDescent="0.25">
      <c r="A223" s="329" t="s">
        <v>764</v>
      </c>
      <c r="B223" s="329" t="s">
        <v>765</v>
      </c>
      <c r="C223" s="329"/>
      <c r="D223" s="329" t="s">
        <v>766</v>
      </c>
      <c r="E223" s="328">
        <f>d3М!E218-d3П!E218</f>
        <v>0</v>
      </c>
      <c r="F223" s="328">
        <f>d3М!F218-d3П!F218</f>
        <v>0</v>
      </c>
      <c r="G223" s="328">
        <f>d3М!G218-d3П!G218</f>
        <v>0</v>
      </c>
      <c r="H223" s="328">
        <f>d3М!H218-d3П!H218</f>
        <v>0</v>
      </c>
      <c r="I223" s="328">
        <f>d3М!I218-d3П!I218</f>
        <v>0</v>
      </c>
      <c r="J223" s="328">
        <f>d3М!J218-d3П!J218</f>
        <v>0</v>
      </c>
      <c r="K223" s="328">
        <f>d3М!K218-d3П!K218</f>
        <v>0</v>
      </c>
      <c r="L223" s="328">
        <f>d3М!L218-d3П!L218</f>
        <v>0</v>
      </c>
      <c r="M223" s="328">
        <f>d3М!M218-d3П!M218</f>
        <v>0</v>
      </c>
      <c r="N223" s="328">
        <f>d3М!N218-d3П!N218</f>
        <v>0</v>
      </c>
      <c r="O223" s="328">
        <f>d3М!O218-d3П!O218</f>
        <v>0</v>
      </c>
      <c r="P223" s="328">
        <f>d3М!P218-d3П!P218</f>
        <v>0</v>
      </c>
      <c r="Q223" s="157"/>
      <c r="R223" s="52"/>
    </row>
    <row r="224" spans="1:18" ht="47.25" hidden="1" thickTop="1" thickBot="1" x14ac:dyDescent="0.25">
      <c r="A224" s="103" t="s">
        <v>183</v>
      </c>
      <c r="B224" s="103" t="s">
        <v>184</v>
      </c>
      <c r="C224" s="103" t="s">
        <v>185</v>
      </c>
      <c r="D224" s="103" t="s">
        <v>638</v>
      </c>
      <c r="E224" s="328">
        <f>d3М!E219-d3П!E219</f>
        <v>0</v>
      </c>
      <c r="F224" s="328">
        <f>d3М!F219-d3П!F219</f>
        <v>0</v>
      </c>
      <c r="G224" s="328">
        <f>d3М!G219-d3П!G219</f>
        <v>0</v>
      </c>
      <c r="H224" s="328">
        <f>d3М!H219-d3П!H219</f>
        <v>0</v>
      </c>
      <c r="I224" s="328">
        <f>d3М!I219-d3П!I219</f>
        <v>0</v>
      </c>
      <c r="J224" s="328">
        <f>d3М!J219-d3П!J219</f>
        <v>0</v>
      </c>
      <c r="K224" s="328">
        <f>d3М!K219-d3П!K219</f>
        <v>0</v>
      </c>
      <c r="L224" s="328">
        <f>d3М!L219-d3П!L219</f>
        <v>0</v>
      </c>
      <c r="M224" s="328">
        <f>d3М!M219-d3П!M219</f>
        <v>0</v>
      </c>
      <c r="N224" s="328">
        <f>d3М!N219-d3П!N219</f>
        <v>0</v>
      </c>
      <c r="O224" s="328">
        <f>d3М!O219-d3П!O219</f>
        <v>0</v>
      </c>
      <c r="P224" s="328">
        <f>d3М!P219-d3П!P219</f>
        <v>0</v>
      </c>
      <c r="Q224" s="50"/>
      <c r="R224" s="50"/>
    </row>
    <row r="225" spans="1:18" s="33" customFormat="1" ht="93" thickTop="1" thickBot="1" x14ac:dyDescent="0.25">
      <c r="A225" s="329" t="s">
        <v>767</v>
      </c>
      <c r="B225" s="329" t="s">
        <v>768</v>
      </c>
      <c r="C225" s="329"/>
      <c r="D225" s="329" t="s">
        <v>1554</v>
      </c>
      <c r="E225" s="328">
        <f>d3М!E220-d3П!E220</f>
        <v>0</v>
      </c>
      <c r="F225" s="328">
        <f>d3М!F220-d3П!F220</f>
        <v>0</v>
      </c>
      <c r="G225" s="328">
        <f>d3М!G220-d3П!G220</f>
        <v>0</v>
      </c>
      <c r="H225" s="328">
        <f>d3М!H220-d3П!H220</f>
        <v>0</v>
      </c>
      <c r="I225" s="328">
        <f>d3М!I220-d3П!I220</f>
        <v>0</v>
      </c>
      <c r="J225" s="328">
        <f>d3М!J220-d3П!J220</f>
        <v>0</v>
      </c>
      <c r="K225" s="328">
        <f>d3М!K220-d3П!K220</f>
        <v>0</v>
      </c>
      <c r="L225" s="328">
        <f>d3М!L220-d3П!L220</f>
        <v>0</v>
      </c>
      <c r="M225" s="328">
        <f>d3М!M220-d3П!M220</f>
        <v>0</v>
      </c>
      <c r="N225" s="328">
        <f>d3М!N220-d3П!N220</f>
        <v>0</v>
      </c>
      <c r="O225" s="328">
        <f>d3М!O220-d3П!O220</f>
        <v>0</v>
      </c>
      <c r="P225" s="328">
        <f>d3М!P220-d3П!P220</f>
        <v>0</v>
      </c>
      <c r="Q225" s="51"/>
      <c r="R225" s="51"/>
    </row>
    <row r="226" spans="1:18" ht="47.25" thickTop="1" thickBot="1" x14ac:dyDescent="0.25">
      <c r="A226" s="103" t="s">
        <v>189</v>
      </c>
      <c r="B226" s="103" t="s">
        <v>190</v>
      </c>
      <c r="C226" s="103" t="s">
        <v>185</v>
      </c>
      <c r="D226" s="103" t="s">
        <v>10</v>
      </c>
      <c r="E226" s="328">
        <f>d3М!E221-d3П!E221</f>
        <v>0</v>
      </c>
      <c r="F226" s="328">
        <f>d3М!F221-d3П!F221</f>
        <v>0</v>
      </c>
      <c r="G226" s="328">
        <f>d3М!G221-d3П!G221</f>
        <v>0</v>
      </c>
      <c r="H226" s="328">
        <f>d3М!H221-d3П!H221</f>
        <v>0</v>
      </c>
      <c r="I226" s="328">
        <f>d3М!I221-d3П!I221</f>
        <v>0</v>
      </c>
      <c r="J226" s="328">
        <f>d3М!J221-d3П!J221</f>
        <v>0</v>
      </c>
      <c r="K226" s="328">
        <f>d3М!K221-d3П!K221</f>
        <v>0</v>
      </c>
      <c r="L226" s="328">
        <f>d3М!L221-d3П!L221</f>
        <v>0</v>
      </c>
      <c r="M226" s="328">
        <f>d3М!M221-d3П!M221</f>
        <v>0</v>
      </c>
      <c r="N226" s="328">
        <f>d3М!N221-d3П!N221</f>
        <v>0</v>
      </c>
      <c r="O226" s="328">
        <f>d3М!O221-d3П!O221</f>
        <v>0</v>
      </c>
      <c r="P226" s="328">
        <f>d3М!P221-d3П!P221</f>
        <v>0</v>
      </c>
      <c r="Q226" s="20"/>
      <c r="R226" s="46"/>
    </row>
    <row r="227" spans="1:18" ht="47.25" thickTop="1" thickBot="1" x14ac:dyDescent="0.25">
      <c r="A227" s="103" t="s">
        <v>351</v>
      </c>
      <c r="B227" s="103" t="s">
        <v>352</v>
      </c>
      <c r="C227" s="103" t="s">
        <v>185</v>
      </c>
      <c r="D227" s="103" t="s">
        <v>353</v>
      </c>
      <c r="E227" s="328">
        <f>d3М!E222-d3П!E222</f>
        <v>0</v>
      </c>
      <c r="F227" s="328">
        <f>d3М!F222-d3П!F222</f>
        <v>0</v>
      </c>
      <c r="G227" s="328">
        <f>d3М!G222-d3П!G222</f>
        <v>0</v>
      </c>
      <c r="H227" s="328">
        <f>d3М!H222-d3П!H222</f>
        <v>0</v>
      </c>
      <c r="I227" s="328">
        <f>d3М!I222-d3П!I222</f>
        <v>0</v>
      </c>
      <c r="J227" s="328">
        <f>d3М!J222-d3П!J222</f>
        <v>0</v>
      </c>
      <c r="K227" s="328">
        <f>d3М!K222-d3П!K222</f>
        <v>0</v>
      </c>
      <c r="L227" s="328">
        <f>d3М!L222-d3П!L222</f>
        <v>0</v>
      </c>
      <c r="M227" s="328">
        <f>d3М!M222-d3П!M222</f>
        <v>0</v>
      </c>
      <c r="N227" s="328">
        <f>d3М!N222-d3П!N222</f>
        <v>0</v>
      </c>
      <c r="O227" s="328">
        <f>d3М!O222-d3П!O222</f>
        <v>0</v>
      </c>
      <c r="P227" s="328">
        <f>d3М!P222-d3П!P222</f>
        <v>0</v>
      </c>
      <c r="Q227" s="20"/>
      <c r="R227" s="46"/>
    </row>
    <row r="228" spans="1:18" ht="47.25" thickTop="1" thickBot="1" x14ac:dyDescent="0.25">
      <c r="A228" s="311" t="s">
        <v>769</v>
      </c>
      <c r="B228" s="311" t="s">
        <v>770</v>
      </c>
      <c r="C228" s="103"/>
      <c r="D228" s="311" t="s">
        <v>771</v>
      </c>
      <c r="E228" s="328">
        <f>d3М!E223-d3П!E223</f>
        <v>93550</v>
      </c>
      <c r="F228" s="328">
        <f>d3М!F223-d3П!F223</f>
        <v>93550</v>
      </c>
      <c r="G228" s="328">
        <f>d3М!G223-d3П!G223</f>
        <v>76680</v>
      </c>
      <c r="H228" s="328">
        <f>d3М!H223-d3П!H223</f>
        <v>0</v>
      </c>
      <c r="I228" s="328">
        <f>d3М!I223-d3П!I223</f>
        <v>0</v>
      </c>
      <c r="J228" s="328">
        <f>d3М!J223-d3П!J223</f>
        <v>0</v>
      </c>
      <c r="K228" s="328">
        <f>d3М!K223-d3П!K223</f>
        <v>0</v>
      </c>
      <c r="L228" s="328">
        <f>d3М!L223-d3П!L223</f>
        <v>0</v>
      </c>
      <c r="M228" s="328">
        <f>d3М!M223-d3П!M223</f>
        <v>0</v>
      </c>
      <c r="N228" s="328">
        <f>d3М!N223-d3П!N223</f>
        <v>0</v>
      </c>
      <c r="O228" s="328">
        <f>d3М!O223-d3П!O223</f>
        <v>0</v>
      </c>
      <c r="P228" s="328">
        <f>d3М!P223-d3П!P223</f>
        <v>93550</v>
      </c>
      <c r="Q228" s="20"/>
      <c r="R228" s="46"/>
    </row>
    <row r="229" spans="1:18" s="33" customFormat="1" ht="48" thickTop="1" thickBot="1" x14ac:dyDescent="0.25">
      <c r="A229" s="329" t="s">
        <v>772</v>
      </c>
      <c r="B229" s="329" t="s">
        <v>773</v>
      </c>
      <c r="C229" s="329"/>
      <c r="D229" s="329" t="s">
        <v>774</v>
      </c>
      <c r="E229" s="328">
        <f>d3М!E224-d3П!E224</f>
        <v>0</v>
      </c>
      <c r="F229" s="328">
        <f>d3М!F224-d3П!F224</f>
        <v>0</v>
      </c>
      <c r="G229" s="328">
        <f>d3М!G224-d3П!G224</f>
        <v>0</v>
      </c>
      <c r="H229" s="328">
        <f>d3М!H224-d3П!H224</f>
        <v>0</v>
      </c>
      <c r="I229" s="328">
        <f>d3М!I224-d3П!I224</f>
        <v>0</v>
      </c>
      <c r="J229" s="328">
        <f>d3М!J224-d3П!J224</f>
        <v>0</v>
      </c>
      <c r="K229" s="328">
        <f>d3М!K224-d3П!K224</f>
        <v>0</v>
      </c>
      <c r="L229" s="328">
        <f>d3М!L224-d3П!L224</f>
        <v>0</v>
      </c>
      <c r="M229" s="328">
        <f>d3М!M224-d3П!M224</f>
        <v>0</v>
      </c>
      <c r="N229" s="328">
        <f>d3М!N224-d3П!N224</f>
        <v>0</v>
      </c>
      <c r="O229" s="328">
        <f>d3М!O224-d3П!O224</f>
        <v>0</v>
      </c>
      <c r="P229" s="328">
        <f>d3М!P224-d3П!P224</f>
        <v>0</v>
      </c>
      <c r="Q229" s="36"/>
      <c r="R229" s="52"/>
    </row>
    <row r="230" spans="1:18" ht="47.25" thickTop="1" thickBot="1" x14ac:dyDescent="0.25">
      <c r="A230" s="103" t="s">
        <v>44</v>
      </c>
      <c r="B230" s="103" t="s">
        <v>186</v>
      </c>
      <c r="C230" s="103" t="s">
        <v>195</v>
      </c>
      <c r="D230" s="103" t="s">
        <v>45</v>
      </c>
      <c r="E230" s="328">
        <f>d3М!E225-d3П!E225</f>
        <v>0</v>
      </c>
      <c r="F230" s="328">
        <f>d3М!F225-d3П!F225</f>
        <v>0</v>
      </c>
      <c r="G230" s="328">
        <f>d3М!G225-d3П!G225</f>
        <v>0</v>
      </c>
      <c r="H230" s="328">
        <f>d3М!H225-d3П!H225</f>
        <v>0</v>
      </c>
      <c r="I230" s="328">
        <f>d3М!I225-d3П!I225</f>
        <v>0</v>
      </c>
      <c r="J230" s="328">
        <f>d3М!J225-d3П!J225</f>
        <v>0</v>
      </c>
      <c r="K230" s="328">
        <f>d3М!K225-d3П!K225</f>
        <v>0</v>
      </c>
      <c r="L230" s="328">
        <f>d3М!L225-d3П!L225</f>
        <v>0</v>
      </c>
      <c r="M230" s="328">
        <f>d3М!M225-d3П!M225</f>
        <v>0</v>
      </c>
      <c r="N230" s="328">
        <f>d3М!N225-d3П!N225</f>
        <v>0</v>
      </c>
      <c r="O230" s="328">
        <f>d3М!O225-d3П!O225</f>
        <v>0</v>
      </c>
      <c r="P230" s="328">
        <f>d3М!P225-d3П!P225</f>
        <v>0</v>
      </c>
      <c r="Q230" s="20"/>
      <c r="R230" s="46"/>
    </row>
    <row r="231" spans="1:18" ht="93" thickTop="1" thickBot="1" x14ac:dyDescent="0.25">
      <c r="A231" s="103" t="s">
        <v>46</v>
      </c>
      <c r="B231" s="103" t="s">
        <v>187</v>
      </c>
      <c r="C231" s="103" t="s">
        <v>195</v>
      </c>
      <c r="D231" s="103" t="s">
        <v>4</v>
      </c>
      <c r="E231" s="328">
        <f>d3М!E226-d3П!E226</f>
        <v>0</v>
      </c>
      <c r="F231" s="328">
        <f>d3М!F226-d3П!F226</f>
        <v>0</v>
      </c>
      <c r="G231" s="328">
        <f>d3М!G226-d3П!G226</f>
        <v>0</v>
      </c>
      <c r="H231" s="328">
        <f>d3М!H226-d3П!H226</f>
        <v>0</v>
      </c>
      <c r="I231" s="328">
        <f>d3М!I226-d3П!I226</f>
        <v>0</v>
      </c>
      <c r="J231" s="328">
        <f>d3М!J226-d3П!J226</f>
        <v>0</v>
      </c>
      <c r="K231" s="328">
        <f>d3М!K226-d3П!K226</f>
        <v>0</v>
      </c>
      <c r="L231" s="328">
        <f>d3М!L226-d3П!L226</f>
        <v>0</v>
      </c>
      <c r="M231" s="328">
        <f>d3М!M226-d3П!M226</f>
        <v>0</v>
      </c>
      <c r="N231" s="328">
        <f>d3М!N226-d3П!N226</f>
        <v>0</v>
      </c>
      <c r="O231" s="328">
        <f>d3М!O226-d3П!O226</f>
        <v>0</v>
      </c>
      <c r="P231" s="328">
        <f>d3М!P226-d3П!P226</f>
        <v>0</v>
      </c>
      <c r="Q231" s="20"/>
      <c r="R231" s="46"/>
    </row>
    <row r="232" spans="1:18" s="33" customFormat="1" ht="93" thickTop="1" thickBot="1" x14ac:dyDescent="0.25">
      <c r="A232" s="329" t="s">
        <v>775</v>
      </c>
      <c r="B232" s="329" t="s">
        <v>776</v>
      </c>
      <c r="C232" s="329"/>
      <c r="D232" s="329" t="s">
        <v>777</v>
      </c>
      <c r="E232" s="328">
        <f>d3М!E227-d3П!E227</f>
        <v>0</v>
      </c>
      <c r="F232" s="328">
        <f>d3М!F227-d3П!F227</f>
        <v>0</v>
      </c>
      <c r="G232" s="328">
        <f>d3М!G227-d3П!G227</f>
        <v>0</v>
      </c>
      <c r="H232" s="328">
        <f>d3М!H227-d3П!H227</f>
        <v>0</v>
      </c>
      <c r="I232" s="328">
        <f>d3М!I227-d3П!I227</f>
        <v>0</v>
      </c>
      <c r="J232" s="328">
        <f>d3М!J227-d3П!J227</f>
        <v>0</v>
      </c>
      <c r="K232" s="328">
        <f>d3М!K227-d3П!K227</f>
        <v>0</v>
      </c>
      <c r="L232" s="328">
        <f>d3М!L227-d3П!L227</f>
        <v>0</v>
      </c>
      <c r="M232" s="328">
        <f>d3М!M227-d3П!M227</f>
        <v>0</v>
      </c>
      <c r="N232" s="328">
        <f>d3М!N227-d3П!N227</f>
        <v>0</v>
      </c>
      <c r="O232" s="328">
        <f>d3М!O227-d3П!O227</f>
        <v>0</v>
      </c>
      <c r="P232" s="328">
        <f>d3М!P227-d3П!P227</f>
        <v>0</v>
      </c>
      <c r="Q232" s="36"/>
      <c r="R232" s="53"/>
    </row>
    <row r="233" spans="1:18" ht="93" thickTop="1" thickBot="1" x14ac:dyDescent="0.25">
      <c r="A233" s="103" t="s">
        <v>47</v>
      </c>
      <c r="B233" s="103" t="s">
        <v>188</v>
      </c>
      <c r="C233" s="103" t="s">
        <v>195</v>
      </c>
      <c r="D233" s="103" t="s">
        <v>349</v>
      </c>
      <c r="E233" s="328">
        <f>d3М!E228-d3П!E228</f>
        <v>0</v>
      </c>
      <c r="F233" s="328">
        <f>d3М!F228-d3П!F228</f>
        <v>0</v>
      </c>
      <c r="G233" s="328">
        <f>d3М!G228-d3П!G228</f>
        <v>0</v>
      </c>
      <c r="H233" s="328">
        <f>d3М!H228-d3П!H228</f>
        <v>0</v>
      </c>
      <c r="I233" s="328">
        <f>d3М!I228-d3П!I228</f>
        <v>0</v>
      </c>
      <c r="J233" s="328">
        <f>d3М!J228-d3П!J228</f>
        <v>0</v>
      </c>
      <c r="K233" s="328">
        <f>d3М!K228-d3П!K228</f>
        <v>0</v>
      </c>
      <c r="L233" s="328">
        <f>d3М!L228-d3П!L228</f>
        <v>0</v>
      </c>
      <c r="M233" s="328">
        <f>d3М!M228-d3П!M228</f>
        <v>0</v>
      </c>
      <c r="N233" s="328">
        <f>d3М!N228-d3П!N228</f>
        <v>0</v>
      </c>
      <c r="O233" s="328">
        <f>d3М!O228-d3П!O228</f>
        <v>0</v>
      </c>
      <c r="P233" s="328">
        <f>d3М!P228-d3П!P228</f>
        <v>0</v>
      </c>
      <c r="Q233" s="20"/>
      <c r="R233" s="46"/>
    </row>
    <row r="234" spans="1:18" ht="47.25" thickTop="1" thickBot="1" x14ac:dyDescent="0.25">
      <c r="A234" s="329" t="s">
        <v>778</v>
      </c>
      <c r="B234" s="329" t="s">
        <v>779</v>
      </c>
      <c r="C234" s="329"/>
      <c r="D234" s="329" t="s">
        <v>780</v>
      </c>
      <c r="E234" s="328">
        <f>d3М!E229-d3П!E229</f>
        <v>0</v>
      </c>
      <c r="F234" s="328">
        <f>d3М!F229-d3П!F229</f>
        <v>0</v>
      </c>
      <c r="G234" s="328">
        <f>d3М!G229-d3П!G229</f>
        <v>0</v>
      </c>
      <c r="H234" s="328">
        <f>d3М!H229-d3П!H229</f>
        <v>0</v>
      </c>
      <c r="I234" s="328">
        <f>d3М!I229-d3П!I229</f>
        <v>0</v>
      </c>
      <c r="J234" s="328">
        <f>d3М!J229-d3П!J229</f>
        <v>0</v>
      </c>
      <c r="K234" s="328">
        <f>d3М!K229-d3П!K229</f>
        <v>0</v>
      </c>
      <c r="L234" s="328">
        <f>d3М!L229-d3П!L229</f>
        <v>0</v>
      </c>
      <c r="M234" s="328">
        <f>d3М!M229-d3П!M229</f>
        <v>0</v>
      </c>
      <c r="N234" s="328">
        <f>d3М!N229-d3П!N229</f>
        <v>0</v>
      </c>
      <c r="O234" s="328">
        <f>d3М!O229-d3П!O229</f>
        <v>0</v>
      </c>
      <c r="P234" s="328">
        <f>d3М!P229-d3П!P229</f>
        <v>0</v>
      </c>
      <c r="Q234" s="20"/>
      <c r="R234" s="46"/>
    </row>
    <row r="235" spans="1:18" ht="93" thickTop="1" thickBot="1" x14ac:dyDescent="0.25">
      <c r="A235" s="103" t="s">
        <v>28</v>
      </c>
      <c r="B235" s="103" t="s">
        <v>192</v>
      </c>
      <c r="C235" s="103" t="s">
        <v>195</v>
      </c>
      <c r="D235" s="103" t="s">
        <v>48</v>
      </c>
      <c r="E235" s="328">
        <f>d3М!E230-d3П!E230</f>
        <v>0</v>
      </c>
      <c r="F235" s="328">
        <f>d3М!F230-d3П!F230</f>
        <v>0</v>
      </c>
      <c r="G235" s="328">
        <f>d3М!G230-d3П!G230</f>
        <v>0</v>
      </c>
      <c r="H235" s="328">
        <f>d3М!H230-d3П!H230</f>
        <v>0</v>
      </c>
      <c r="I235" s="328">
        <f>d3М!I230-d3П!I230</f>
        <v>0</v>
      </c>
      <c r="J235" s="328">
        <f>d3М!J230-d3П!J230</f>
        <v>0</v>
      </c>
      <c r="K235" s="328">
        <f>d3М!K230-d3П!K230</f>
        <v>0</v>
      </c>
      <c r="L235" s="328">
        <f>d3М!L230-d3П!L230</f>
        <v>0</v>
      </c>
      <c r="M235" s="328">
        <f>d3М!M230-d3П!M230</f>
        <v>0</v>
      </c>
      <c r="N235" s="328">
        <f>d3М!N230-d3П!N230</f>
        <v>0</v>
      </c>
      <c r="O235" s="328">
        <f>d3М!O230-d3П!O230</f>
        <v>0</v>
      </c>
      <c r="P235" s="328">
        <f>d3М!P230-d3П!P230</f>
        <v>0</v>
      </c>
      <c r="Q235" s="20"/>
      <c r="R235" s="46"/>
    </row>
    <row r="236" spans="1:18" ht="93" thickTop="1" thickBot="1" x14ac:dyDescent="0.25">
      <c r="A236" s="103" t="s">
        <v>29</v>
      </c>
      <c r="B236" s="103" t="s">
        <v>193</v>
      </c>
      <c r="C236" s="103" t="s">
        <v>195</v>
      </c>
      <c r="D236" s="103" t="s">
        <v>49</v>
      </c>
      <c r="E236" s="328">
        <f>d3М!E231-d3П!E231</f>
        <v>0</v>
      </c>
      <c r="F236" s="328">
        <f>d3М!F231-d3П!F231</f>
        <v>0</v>
      </c>
      <c r="G236" s="328">
        <f>d3М!G231-d3П!G231</f>
        <v>0</v>
      </c>
      <c r="H236" s="328">
        <f>d3М!H231-d3П!H231</f>
        <v>0</v>
      </c>
      <c r="I236" s="328">
        <f>d3М!I231-d3П!I231</f>
        <v>0</v>
      </c>
      <c r="J236" s="328">
        <f>d3М!J231-d3П!J231</f>
        <v>0</v>
      </c>
      <c r="K236" s="328">
        <f>d3М!K231-d3П!K231</f>
        <v>0</v>
      </c>
      <c r="L236" s="328">
        <f>d3М!L231-d3П!L231</f>
        <v>0</v>
      </c>
      <c r="M236" s="328">
        <f>d3М!M231-d3П!M231</f>
        <v>0</v>
      </c>
      <c r="N236" s="328">
        <f>d3М!N231-d3П!N231</f>
        <v>0</v>
      </c>
      <c r="O236" s="328">
        <f>d3М!O231-d3П!O231</f>
        <v>0</v>
      </c>
      <c r="P236" s="328">
        <f>d3М!P231-d3П!P231</f>
        <v>0</v>
      </c>
      <c r="Q236" s="20"/>
      <c r="R236" s="46"/>
    </row>
    <row r="237" spans="1:18" ht="69.75" customHeight="1" thickTop="1" thickBot="1" x14ac:dyDescent="0.25">
      <c r="A237" s="673" t="s">
        <v>1378</v>
      </c>
      <c r="B237" s="669" t="s">
        <v>816</v>
      </c>
      <c r="C237" s="669"/>
      <c r="D237" s="669" t="s">
        <v>817</v>
      </c>
      <c r="E237" s="328">
        <f>d3М!E232-d3П!E232</f>
        <v>93550</v>
      </c>
      <c r="F237" s="328">
        <f>d3М!F232-d3П!F232</f>
        <v>93550</v>
      </c>
      <c r="G237" s="328">
        <f>d3М!G232-d3П!G232</f>
        <v>76680</v>
      </c>
      <c r="H237" s="328">
        <f>d3М!H232-d3П!H232</f>
        <v>0</v>
      </c>
      <c r="I237" s="328">
        <f>d3М!I232-d3П!I232</f>
        <v>0</v>
      </c>
      <c r="J237" s="328">
        <f>d3М!J232-d3П!J232</f>
        <v>0</v>
      </c>
      <c r="K237" s="328">
        <f>d3М!K232-d3П!K232</f>
        <v>0</v>
      </c>
      <c r="L237" s="328">
        <f>d3М!L232-d3П!L232</f>
        <v>0</v>
      </c>
      <c r="M237" s="328">
        <f>d3М!M232-d3П!M232</f>
        <v>0</v>
      </c>
      <c r="N237" s="328">
        <f>d3М!N232-d3П!N232</f>
        <v>0</v>
      </c>
      <c r="O237" s="328">
        <f>d3М!O232-d3П!O232</f>
        <v>0</v>
      </c>
      <c r="P237" s="328">
        <f>d3М!P232-d3П!P232</f>
        <v>93550</v>
      </c>
      <c r="Q237" s="20"/>
      <c r="R237" s="46"/>
    </row>
    <row r="238" spans="1:18" ht="93" thickTop="1" thickBot="1" x14ac:dyDescent="0.25">
      <c r="A238" s="665" t="s">
        <v>1379</v>
      </c>
      <c r="B238" s="665" t="s">
        <v>1380</v>
      </c>
      <c r="C238" s="665" t="s">
        <v>195</v>
      </c>
      <c r="D238" s="665" t="s">
        <v>1381</v>
      </c>
      <c r="E238" s="328">
        <f>d3М!E233-d3П!E233</f>
        <v>93550</v>
      </c>
      <c r="F238" s="328">
        <f>d3М!F233-d3П!F233</f>
        <v>93550</v>
      </c>
      <c r="G238" s="328">
        <f>d3М!G233-d3П!G233</f>
        <v>76680</v>
      </c>
      <c r="H238" s="328">
        <f>d3М!H233-d3П!H233</f>
        <v>0</v>
      </c>
      <c r="I238" s="328">
        <f>d3М!I233-d3П!I233</f>
        <v>0</v>
      </c>
      <c r="J238" s="328">
        <f>d3М!J233-d3П!J233</f>
        <v>0</v>
      </c>
      <c r="K238" s="328">
        <f>d3М!K233-d3П!K233</f>
        <v>0</v>
      </c>
      <c r="L238" s="328">
        <f>d3М!L233-d3П!L233</f>
        <v>0</v>
      </c>
      <c r="M238" s="328">
        <f>d3М!M233-d3П!M233</f>
        <v>0</v>
      </c>
      <c r="N238" s="328">
        <f>d3М!N233-d3П!N233</f>
        <v>0</v>
      </c>
      <c r="O238" s="328">
        <f>d3М!O233-d3П!O233</f>
        <v>0</v>
      </c>
      <c r="P238" s="328">
        <f>d3М!P233-d3П!P233</f>
        <v>93550</v>
      </c>
      <c r="Q238" s="20"/>
      <c r="R238" s="46"/>
    </row>
    <row r="239" spans="1:18" ht="47.25" thickTop="1" thickBot="1" x14ac:dyDescent="0.25">
      <c r="A239" s="589" t="s">
        <v>781</v>
      </c>
      <c r="B239" s="329" t="s">
        <v>782</v>
      </c>
      <c r="C239" s="329"/>
      <c r="D239" s="329" t="s">
        <v>783</v>
      </c>
      <c r="E239" s="328">
        <f>d3М!E234-d3П!E234</f>
        <v>0</v>
      </c>
      <c r="F239" s="328">
        <f>d3М!F234-d3П!F234</f>
        <v>0</v>
      </c>
      <c r="G239" s="328">
        <f>d3М!G234-d3П!G234</f>
        <v>0</v>
      </c>
      <c r="H239" s="328">
        <f>d3М!H234-d3П!H234</f>
        <v>0</v>
      </c>
      <c r="I239" s="328">
        <f>d3М!I234-d3П!I234</f>
        <v>0</v>
      </c>
      <c r="J239" s="328">
        <f>d3М!J234-d3П!J234</f>
        <v>0</v>
      </c>
      <c r="K239" s="328">
        <f>d3М!K234-d3П!K234</f>
        <v>0</v>
      </c>
      <c r="L239" s="328">
        <f>d3М!L234-d3П!L234</f>
        <v>0</v>
      </c>
      <c r="M239" s="328">
        <f>d3М!M234-d3П!M234</f>
        <v>0</v>
      </c>
      <c r="N239" s="328">
        <f>d3М!N234-d3П!N234</f>
        <v>0</v>
      </c>
      <c r="O239" s="328">
        <f>d3М!O234-d3П!O234</f>
        <v>0</v>
      </c>
      <c r="P239" s="328">
        <f>d3М!P234-d3П!P234</f>
        <v>0</v>
      </c>
      <c r="Q239" s="20"/>
      <c r="R239" s="46"/>
    </row>
    <row r="240" spans="1:18" ht="93" thickTop="1" thickBot="1" x14ac:dyDescent="0.25">
      <c r="A240" s="590" t="s">
        <v>30</v>
      </c>
      <c r="B240" s="590" t="s">
        <v>194</v>
      </c>
      <c r="C240" s="590" t="s">
        <v>195</v>
      </c>
      <c r="D240" s="103" t="s">
        <v>31</v>
      </c>
      <c r="E240" s="328">
        <f>d3М!E235-d3П!E235</f>
        <v>0</v>
      </c>
      <c r="F240" s="328">
        <f>d3М!F235-d3П!F235</f>
        <v>0</v>
      </c>
      <c r="G240" s="328">
        <f>d3М!G235-d3П!G235</f>
        <v>0</v>
      </c>
      <c r="H240" s="328">
        <f>d3М!H235-d3П!H235</f>
        <v>0</v>
      </c>
      <c r="I240" s="328">
        <f>d3М!I235-d3П!I235</f>
        <v>0</v>
      </c>
      <c r="J240" s="328">
        <f>d3М!J235-d3П!J235</f>
        <v>0</v>
      </c>
      <c r="K240" s="328">
        <f>d3М!K235-d3П!K235</f>
        <v>0</v>
      </c>
      <c r="L240" s="328">
        <f>d3М!L235-d3П!L235</f>
        <v>0</v>
      </c>
      <c r="M240" s="328">
        <f>d3М!M235-d3П!M235</f>
        <v>0</v>
      </c>
      <c r="N240" s="328">
        <f>d3М!N235-d3П!N235</f>
        <v>0</v>
      </c>
      <c r="O240" s="328">
        <f>d3М!O235-d3П!O235</f>
        <v>0</v>
      </c>
      <c r="P240" s="328">
        <f>d3М!P235-d3П!P235</f>
        <v>0</v>
      </c>
      <c r="Q240" s="20"/>
      <c r="R240" s="46"/>
    </row>
    <row r="241" spans="1:18" ht="93" thickTop="1" thickBot="1" x14ac:dyDescent="0.25">
      <c r="A241" s="590" t="s">
        <v>512</v>
      </c>
      <c r="B241" s="590" t="s">
        <v>510</v>
      </c>
      <c r="C241" s="590" t="s">
        <v>195</v>
      </c>
      <c r="D241" s="103" t="s">
        <v>511</v>
      </c>
      <c r="E241" s="328">
        <f>d3М!E236-d3П!E236</f>
        <v>0</v>
      </c>
      <c r="F241" s="328">
        <f>d3М!F236-d3П!F236</f>
        <v>0</v>
      </c>
      <c r="G241" s="328">
        <f>d3М!G236-d3П!G236</f>
        <v>0</v>
      </c>
      <c r="H241" s="328">
        <f>d3М!H236-d3П!H236</f>
        <v>0</v>
      </c>
      <c r="I241" s="328">
        <f>d3М!I236-d3П!I236</f>
        <v>0</v>
      </c>
      <c r="J241" s="328">
        <f>d3М!J236-d3П!J236</f>
        <v>0</v>
      </c>
      <c r="K241" s="328">
        <f>d3М!K236-d3П!K236</f>
        <v>0</v>
      </c>
      <c r="L241" s="328">
        <f>d3М!L236-d3П!L236</f>
        <v>0</v>
      </c>
      <c r="M241" s="328">
        <f>d3М!M236-d3П!M236</f>
        <v>0</v>
      </c>
      <c r="N241" s="328">
        <f>d3М!N236-d3П!N236</f>
        <v>0</v>
      </c>
      <c r="O241" s="328">
        <f>d3М!O236-d3П!O236</f>
        <v>0</v>
      </c>
      <c r="P241" s="328">
        <f>d3М!P236-d3П!P236</f>
        <v>0</v>
      </c>
      <c r="Q241" s="20"/>
      <c r="R241" s="46"/>
    </row>
    <row r="242" spans="1:18" ht="47.25" thickTop="1" thickBot="1" x14ac:dyDescent="0.25">
      <c r="A242" s="590" t="s">
        <v>32</v>
      </c>
      <c r="B242" s="590" t="s">
        <v>196</v>
      </c>
      <c r="C242" s="590" t="s">
        <v>195</v>
      </c>
      <c r="D242" s="103" t="s">
        <v>33</v>
      </c>
      <c r="E242" s="328">
        <f>d3М!E237-d3П!E237</f>
        <v>0</v>
      </c>
      <c r="F242" s="328">
        <f>d3М!F237-d3П!F237</f>
        <v>0</v>
      </c>
      <c r="G242" s="328">
        <f>d3М!G237-d3П!G237</f>
        <v>0</v>
      </c>
      <c r="H242" s="328">
        <f>d3М!H237-d3П!H237</f>
        <v>0</v>
      </c>
      <c r="I242" s="328">
        <f>d3М!I237-d3П!I237</f>
        <v>0</v>
      </c>
      <c r="J242" s="328">
        <f>d3М!J237-d3П!J237</f>
        <v>0</v>
      </c>
      <c r="K242" s="328">
        <f>d3М!K237-d3П!K237</f>
        <v>0</v>
      </c>
      <c r="L242" s="328">
        <f>d3М!L237-d3П!L237</f>
        <v>0</v>
      </c>
      <c r="M242" s="328">
        <f>d3М!M237-d3П!M237</f>
        <v>0</v>
      </c>
      <c r="N242" s="328">
        <f>d3М!N237-d3П!N237</f>
        <v>0</v>
      </c>
      <c r="O242" s="328">
        <f>d3М!O237-d3П!O237</f>
        <v>0</v>
      </c>
      <c r="P242" s="328">
        <f>d3М!P237-d3П!P237</f>
        <v>0</v>
      </c>
      <c r="Q242" s="20"/>
      <c r="R242" s="46"/>
    </row>
    <row r="243" spans="1:18" ht="47.25" hidden="1" thickTop="1" thickBot="1" x14ac:dyDescent="0.25">
      <c r="A243" s="125" t="s">
        <v>784</v>
      </c>
      <c r="B243" s="125" t="s">
        <v>742</v>
      </c>
      <c r="C243" s="125"/>
      <c r="D243" s="408" t="s">
        <v>743</v>
      </c>
      <c r="E243" s="152">
        <f>E244</f>
        <v>0</v>
      </c>
      <c r="F243" s="152">
        <f t="shared" ref="F243:P244" si="47">F244</f>
        <v>0</v>
      </c>
      <c r="G243" s="152">
        <f t="shared" si="47"/>
        <v>0</v>
      </c>
      <c r="H243" s="152">
        <f t="shared" si="47"/>
        <v>0</v>
      </c>
      <c r="I243" s="152">
        <f t="shared" si="47"/>
        <v>0</v>
      </c>
      <c r="J243" s="152">
        <f t="shared" si="47"/>
        <v>0</v>
      </c>
      <c r="K243" s="152">
        <f t="shared" si="47"/>
        <v>0</v>
      </c>
      <c r="L243" s="152">
        <f t="shared" si="47"/>
        <v>0</v>
      </c>
      <c r="M243" s="152">
        <f t="shared" si="47"/>
        <v>0</v>
      </c>
      <c r="N243" s="152">
        <f t="shared" si="47"/>
        <v>0</v>
      </c>
      <c r="O243" s="152">
        <f t="shared" si="47"/>
        <v>0</v>
      </c>
      <c r="P243" s="152">
        <f t="shared" si="47"/>
        <v>0</v>
      </c>
      <c r="Q243" s="20"/>
      <c r="R243" s="46"/>
    </row>
    <row r="244" spans="1:18" ht="48" hidden="1" thickTop="1" thickBot="1" x14ac:dyDescent="0.25">
      <c r="A244" s="409" t="s">
        <v>785</v>
      </c>
      <c r="B244" s="409" t="s">
        <v>745</v>
      </c>
      <c r="C244" s="409"/>
      <c r="D244" s="140" t="s">
        <v>746</v>
      </c>
      <c r="E244" s="158">
        <f>E245</f>
        <v>0</v>
      </c>
      <c r="F244" s="158">
        <f t="shared" si="47"/>
        <v>0</v>
      </c>
      <c r="G244" s="158">
        <f t="shared" si="47"/>
        <v>0</v>
      </c>
      <c r="H244" s="158">
        <f t="shared" si="47"/>
        <v>0</v>
      </c>
      <c r="I244" s="158">
        <f t="shared" si="47"/>
        <v>0</v>
      </c>
      <c r="J244" s="158">
        <f t="shared" si="47"/>
        <v>0</v>
      </c>
      <c r="K244" s="158">
        <f t="shared" si="47"/>
        <v>0</v>
      </c>
      <c r="L244" s="158">
        <f t="shared" si="47"/>
        <v>0</v>
      </c>
      <c r="M244" s="158">
        <f t="shared" si="47"/>
        <v>0</v>
      </c>
      <c r="N244" s="158">
        <f t="shared" si="47"/>
        <v>0</v>
      </c>
      <c r="O244" s="158">
        <f t="shared" si="47"/>
        <v>0</v>
      </c>
      <c r="P244" s="158">
        <f t="shared" si="47"/>
        <v>0</v>
      </c>
      <c r="Q244" s="20"/>
      <c r="R244" s="46"/>
    </row>
    <row r="245" spans="1:18" ht="93" hidden="1" thickTop="1" thickBot="1" x14ac:dyDescent="0.25">
      <c r="A245" s="410" t="s">
        <v>342</v>
      </c>
      <c r="B245" s="410" t="s">
        <v>341</v>
      </c>
      <c r="C245" s="410" t="s">
        <v>340</v>
      </c>
      <c r="D245" s="128" t="s">
        <v>639</v>
      </c>
      <c r="E245" s="152">
        <f>F245</f>
        <v>0</v>
      </c>
      <c r="F245" s="129"/>
      <c r="G245" s="134"/>
      <c r="H245" s="134"/>
      <c r="I245" s="134"/>
      <c r="J245" s="127">
        <f t="shared" ref="J245:J252" si="48">L245+O245</f>
        <v>0</v>
      </c>
      <c r="K245" s="134"/>
      <c r="L245" s="134"/>
      <c r="M245" s="134"/>
      <c r="N245" s="134"/>
      <c r="O245" s="132">
        <f t="shared" ref="O245:O252" si="49">K245</f>
        <v>0</v>
      </c>
      <c r="P245" s="127">
        <f t="shared" ref="P245:P252" si="50">E245+J245</f>
        <v>0</v>
      </c>
      <c r="Q245" s="20"/>
      <c r="R245" s="50"/>
    </row>
    <row r="246" spans="1:18" ht="47.25" hidden="1" thickTop="1" thickBot="1" x14ac:dyDescent="0.25">
      <c r="A246" s="125" t="s">
        <v>786</v>
      </c>
      <c r="B246" s="125" t="s">
        <v>748</v>
      </c>
      <c r="C246" s="125"/>
      <c r="D246" s="125" t="s">
        <v>749</v>
      </c>
      <c r="E246" s="152">
        <f>E250+E247</f>
        <v>0</v>
      </c>
      <c r="F246" s="152">
        <f t="shared" ref="F246:P246" si="51">F250+F247</f>
        <v>0</v>
      </c>
      <c r="G246" s="152">
        <f t="shared" si="51"/>
        <v>0</v>
      </c>
      <c r="H246" s="152">
        <f t="shared" si="51"/>
        <v>0</v>
      </c>
      <c r="I246" s="152">
        <f t="shared" si="51"/>
        <v>0</v>
      </c>
      <c r="J246" s="152">
        <f t="shared" si="51"/>
        <v>0</v>
      </c>
      <c r="K246" s="152">
        <f t="shared" si="51"/>
        <v>0</v>
      </c>
      <c r="L246" s="152">
        <f t="shared" si="51"/>
        <v>0</v>
      </c>
      <c r="M246" s="152">
        <f t="shared" si="51"/>
        <v>0</v>
      </c>
      <c r="N246" s="152">
        <f t="shared" si="51"/>
        <v>0</v>
      </c>
      <c r="O246" s="152">
        <f t="shared" si="51"/>
        <v>0</v>
      </c>
      <c r="P246" s="152">
        <f t="shared" si="51"/>
        <v>0</v>
      </c>
      <c r="Q246" s="20"/>
      <c r="R246" s="50"/>
    </row>
    <row r="247" spans="1:18" ht="47.25" hidden="1" thickTop="1" thickBot="1" x14ac:dyDescent="0.25">
      <c r="A247" s="136" t="s">
        <v>1099</v>
      </c>
      <c r="B247" s="136" t="s">
        <v>803</v>
      </c>
      <c r="C247" s="136"/>
      <c r="D247" s="136" t="s">
        <v>804</v>
      </c>
      <c r="E247" s="137">
        <f>E248</f>
        <v>0</v>
      </c>
      <c r="F247" s="137">
        <f t="shared" ref="F247:P248" si="52">F248</f>
        <v>0</v>
      </c>
      <c r="G247" s="137">
        <f t="shared" si="52"/>
        <v>0</v>
      </c>
      <c r="H247" s="137">
        <f t="shared" si="52"/>
        <v>0</v>
      </c>
      <c r="I247" s="137">
        <f t="shared" si="52"/>
        <v>0</v>
      </c>
      <c r="J247" s="137">
        <f t="shared" si="52"/>
        <v>0</v>
      </c>
      <c r="K247" s="137">
        <f t="shared" si="52"/>
        <v>0</v>
      </c>
      <c r="L247" s="137">
        <f t="shared" si="52"/>
        <v>0</v>
      </c>
      <c r="M247" s="137">
        <f t="shared" si="52"/>
        <v>0</v>
      </c>
      <c r="N247" s="137">
        <f t="shared" si="52"/>
        <v>0</v>
      </c>
      <c r="O247" s="137">
        <f t="shared" si="52"/>
        <v>0</v>
      </c>
      <c r="P247" s="137">
        <f t="shared" si="52"/>
        <v>0</v>
      </c>
      <c r="Q247" s="20"/>
      <c r="R247" s="50"/>
    </row>
    <row r="248" spans="1:18" ht="54" hidden="1" thickTop="1" thickBot="1" x14ac:dyDescent="0.25">
      <c r="A248" s="140" t="s">
        <v>1100</v>
      </c>
      <c r="B248" s="140" t="s">
        <v>821</v>
      </c>
      <c r="C248" s="140"/>
      <c r="D248" s="140" t="s">
        <v>1491</v>
      </c>
      <c r="E248" s="141">
        <f>E249</f>
        <v>0</v>
      </c>
      <c r="F248" s="141">
        <f t="shared" si="52"/>
        <v>0</v>
      </c>
      <c r="G248" s="141">
        <f t="shared" si="52"/>
        <v>0</v>
      </c>
      <c r="H248" s="141">
        <f t="shared" si="52"/>
        <v>0</v>
      </c>
      <c r="I248" s="141">
        <f t="shared" si="52"/>
        <v>0</v>
      </c>
      <c r="J248" s="141">
        <f t="shared" si="52"/>
        <v>0</v>
      </c>
      <c r="K248" s="141">
        <f t="shared" si="52"/>
        <v>0</v>
      </c>
      <c r="L248" s="141">
        <f t="shared" si="52"/>
        <v>0</v>
      </c>
      <c r="M248" s="141">
        <f t="shared" si="52"/>
        <v>0</v>
      </c>
      <c r="N248" s="141">
        <f t="shared" si="52"/>
        <v>0</v>
      </c>
      <c r="O248" s="141">
        <f t="shared" si="52"/>
        <v>0</v>
      </c>
      <c r="P248" s="141">
        <f t="shared" si="52"/>
        <v>0</v>
      </c>
      <c r="Q248" s="20"/>
      <c r="R248" s="50"/>
    </row>
    <row r="249" spans="1:18" ht="54" hidden="1" thickTop="1" thickBot="1" x14ac:dyDescent="0.25">
      <c r="A249" s="128" t="s">
        <v>1101</v>
      </c>
      <c r="B249" s="128" t="s">
        <v>313</v>
      </c>
      <c r="C249" s="128" t="s">
        <v>304</v>
      </c>
      <c r="D249" s="128" t="s">
        <v>1237</v>
      </c>
      <c r="E249" s="127">
        <f t="shared" ref="E249" si="53">F249</f>
        <v>0</v>
      </c>
      <c r="F249" s="134"/>
      <c r="G249" s="134"/>
      <c r="H249" s="134"/>
      <c r="I249" s="134"/>
      <c r="J249" s="127">
        <f t="shared" ref="J249" si="54">L249+O249</f>
        <v>0</v>
      </c>
      <c r="K249" s="134">
        <f>49500-49500</f>
        <v>0</v>
      </c>
      <c r="L249" s="134"/>
      <c r="M249" s="134"/>
      <c r="N249" s="134"/>
      <c r="O249" s="132">
        <f t="shared" ref="O249" si="55">K249</f>
        <v>0</v>
      </c>
      <c r="P249" s="127">
        <f>E249+J249</f>
        <v>0</v>
      </c>
      <c r="Q249" s="20"/>
      <c r="R249" s="50"/>
    </row>
    <row r="250" spans="1:18" ht="47.25" hidden="1" thickTop="1" thickBot="1" x14ac:dyDescent="0.25">
      <c r="A250" s="136" t="s">
        <v>787</v>
      </c>
      <c r="B250" s="136" t="s">
        <v>691</v>
      </c>
      <c r="C250" s="136"/>
      <c r="D250" s="136" t="s">
        <v>689</v>
      </c>
      <c r="E250" s="159">
        <f>E252+E251</f>
        <v>0</v>
      </c>
      <c r="F250" s="159">
        <f t="shared" ref="F250:H250" si="56">F252+F251</f>
        <v>0</v>
      </c>
      <c r="G250" s="159">
        <f t="shared" si="56"/>
        <v>0</v>
      </c>
      <c r="H250" s="159">
        <f t="shared" si="56"/>
        <v>0</v>
      </c>
      <c r="I250" s="159">
        <f>I252+I251</f>
        <v>0</v>
      </c>
      <c r="J250" s="159">
        <f>J252+J251</f>
        <v>0</v>
      </c>
      <c r="K250" s="159">
        <f>K252+K251</f>
        <v>0</v>
      </c>
      <c r="L250" s="159">
        <f t="shared" ref="L250:O250" si="57">L252+L251</f>
        <v>0</v>
      </c>
      <c r="M250" s="159">
        <f t="shared" si="57"/>
        <v>0</v>
      </c>
      <c r="N250" s="159">
        <f t="shared" si="57"/>
        <v>0</v>
      </c>
      <c r="O250" s="159">
        <f t="shared" si="57"/>
        <v>0</v>
      </c>
      <c r="P250" s="159">
        <f>P252+P251</f>
        <v>0</v>
      </c>
      <c r="Q250" s="20"/>
      <c r="R250" s="50"/>
    </row>
    <row r="251" spans="1:18" ht="48" hidden="1" thickTop="1" thickBot="1" x14ac:dyDescent="0.25">
      <c r="A251" s="410" t="s">
        <v>1336</v>
      </c>
      <c r="B251" s="410" t="s">
        <v>212</v>
      </c>
      <c r="C251" s="410"/>
      <c r="D251" s="128" t="s">
        <v>41</v>
      </c>
      <c r="E251" s="152">
        <f>F251</f>
        <v>0</v>
      </c>
      <c r="F251" s="129"/>
      <c r="G251" s="134"/>
      <c r="H251" s="134"/>
      <c r="I251" s="134"/>
      <c r="J251" s="127">
        <f t="shared" ref="J251" si="58">L251+O251</f>
        <v>0</v>
      </c>
      <c r="K251" s="134"/>
      <c r="L251" s="134"/>
      <c r="M251" s="134"/>
      <c r="N251" s="134"/>
      <c r="O251" s="132">
        <f t="shared" ref="O251" si="59">K251</f>
        <v>0</v>
      </c>
      <c r="P251" s="127">
        <f t="shared" ref="P251" si="60">E251+J251</f>
        <v>0</v>
      </c>
      <c r="Q251" s="20"/>
      <c r="R251" s="50"/>
    </row>
    <row r="252" spans="1:18" ht="48" hidden="1" thickTop="1" thickBot="1" x14ac:dyDescent="0.25">
      <c r="A252" s="128" t="s">
        <v>607</v>
      </c>
      <c r="B252" s="128" t="s">
        <v>197</v>
      </c>
      <c r="C252" s="128" t="s">
        <v>170</v>
      </c>
      <c r="D252" s="128" t="s">
        <v>34</v>
      </c>
      <c r="E252" s="127">
        <f t="shared" ref="E252" si="61">F252</f>
        <v>0</v>
      </c>
      <c r="F252" s="134"/>
      <c r="G252" s="134"/>
      <c r="H252" s="134"/>
      <c r="I252" s="134"/>
      <c r="J252" s="127">
        <f t="shared" si="48"/>
        <v>0</v>
      </c>
      <c r="K252" s="134"/>
      <c r="L252" s="134"/>
      <c r="M252" s="134"/>
      <c r="N252" s="134"/>
      <c r="O252" s="132">
        <f t="shared" si="49"/>
        <v>0</v>
      </c>
      <c r="P252" s="127">
        <f t="shared" si="50"/>
        <v>0</v>
      </c>
      <c r="Q252" s="20"/>
      <c r="R252" s="46"/>
    </row>
    <row r="253" spans="1:18" ht="47.25" hidden="1" thickTop="1" thickBot="1" x14ac:dyDescent="0.25">
      <c r="A253" s="146" t="s">
        <v>1107</v>
      </c>
      <c r="B253" s="146" t="s">
        <v>702</v>
      </c>
      <c r="C253" s="146"/>
      <c r="D253" s="146" t="s">
        <v>703</v>
      </c>
      <c r="E253" s="42">
        <f>E254</f>
        <v>0</v>
      </c>
      <c r="F253" s="42">
        <f t="shared" ref="F253:P254" si="62">F254</f>
        <v>0</v>
      </c>
      <c r="G253" s="42">
        <f t="shared" si="62"/>
        <v>0</v>
      </c>
      <c r="H253" s="42">
        <f t="shared" si="62"/>
        <v>0</v>
      </c>
      <c r="I253" s="42">
        <f t="shared" si="62"/>
        <v>0</v>
      </c>
      <c r="J253" s="42">
        <f t="shared" si="62"/>
        <v>0</v>
      </c>
      <c r="K253" s="42">
        <f t="shared" si="62"/>
        <v>0</v>
      </c>
      <c r="L253" s="42">
        <f t="shared" si="62"/>
        <v>0</v>
      </c>
      <c r="M253" s="42">
        <f t="shared" si="62"/>
        <v>0</v>
      </c>
      <c r="N253" s="42">
        <f t="shared" si="62"/>
        <v>0</v>
      </c>
      <c r="O253" s="42">
        <f t="shared" si="62"/>
        <v>0</v>
      </c>
      <c r="P253" s="42">
        <f t="shared" si="62"/>
        <v>0</v>
      </c>
      <c r="Q253" s="20"/>
      <c r="R253" s="46"/>
    </row>
    <row r="254" spans="1:18" ht="91.5" hidden="1" thickTop="1" thickBot="1" x14ac:dyDescent="0.25">
      <c r="A254" s="147" t="s">
        <v>1108</v>
      </c>
      <c r="B254" s="147" t="s">
        <v>705</v>
      </c>
      <c r="C254" s="147"/>
      <c r="D254" s="147" t="s">
        <v>706</v>
      </c>
      <c r="E254" s="148">
        <f>E255</f>
        <v>0</v>
      </c>
      <c r="F254" s="148">
        <f t="shared" si="62"/>
        <v>0</v>
      </c>
      <c r="G254" s="148">
        <f t="shared" si="62"/>
        <v>0</v>
      </c>
      <c r="H254" s="148">
        <f t="shared" si="62"/>
        <v>0</v>
      </c>
      <c r="I254" s="148">
        <f t="shared" si="62"/>
        <v>0</v>
      </c>
      <c r="J254" s="148">
        <f t="shared" si="62"/>
        <v>0</v>
      </c>
      <c r="K254" s="148">
        <f t="shared" si="62"/>
        <v>0</v>
      </c>
      <c r="L254" s="148">
        <f t="shared" si="62"/>
        <v>0</v>
      </c>
      <c r="M254" s="148">
        <f t="shared" si="62"/>
        <v>0</v>
      </c>
      <c r="N254" s="148">
        <f t="shared" si="62"/>
        <v>0</v>
      </c>
      <c r="O254" s="148">
        <f t="shared" si="62"/>
        <v>0</v>
      </c>
      <c r="P254" s="148">
        <f t="shared" si="62"/>
        <v>0</v>
      </c>
      <c r="Q254" s="20"/>
      <c r="R254" s="46"/>
    </row>
    <row r="255" spans="1:18" ht="48" hidden="1" thickTop="1" thickBot="1" x14ac:dyDescent="0.25">
      <c r="A255" s="41" t="s">
        <v>1109</v>
      </c>
      <c r="B255" s="41" t="s">
        <v>363</v>
      </c>
      <c r="C255" s="41" t="s">
        <v>43</v>
      </c>
      <c r="D255" s="41" t="s">
        <v>364</v>
      </c>
      <c r="E255" s="42">
        <f t="shared" ref="E255" si="63">F255</f>
        <v>0</v>
      </c>
      <c r="F255" s="43">
        <v>0</v>
      </c>
      <c r="G255" s="43"/>
      <c r="H255" s="43"/>
      <c r="I255" s="43"/>
      <c r="J255" s="42">
        <f>L255+O255</f>
        <v>0</v>
      </c>
      <c r="K255" s="43">
        <v>0</v>
      </c>
      <c r="L255" s="43"/>
      <c r="M255" s="43"/>
      <c r="N255" s="43"/>
      <c r="O255" s="44">
        <f>K255</f>
        <v>0</v>
      </c>
      <c r="P255" s="42">
        <f>E255+J255</f>
        <v>0</v>
      </c>
      <c r="Q255" s="20"/>
      <c r="R255" s="46"/>
    </row>
    <row r="256" spans="1:18" ht="120" customHeight="1" thickTop="1" thickBot="1" x14ac:dyDescent="0.25">
      <c r="A256" s="661" t="s">
        <v>158</v>
      </c>
      <c r="B256" s="661"/>
      <c r="C256" s="661"/>
      <c r="D256" s="662" t="s">
        <v>561</v>
      </c>
      <c r="E256" s="663">
        <f>E257</f>
        <v>0</v>
      </c>
      <c r="F256" s="664">
        <f t="shared" ref="F256:G256" si="64">F257</f>
        <v>0</v>
      </c>
      <c r="G256" s="664">
        <f t="shared" si="64"/>
        <v>0</v>
      </c>
      <c r="H256" s="664">
        <f>H257</f>
        <v>0</v>
      </c>
      <c r="I256" s="664">
        <f t="shared" ref="I256" si="65">I257</f>
        <v>0</v>
      </c>
      <c r="J256" s="663">
        <f>J257</f>
        <v>0</v>
      </c>
      <c r="K256" s="664">
        <f>K257</f>
        <v>0</v>
      </c>
      <c r="L256" s="664">
        <f>L257</f>
        <v>0</v>
      </c>
      <c r="M256" s="664">
        <f t="shared" ref="M256" si="66">M257</f>
        <v>0</v>
      </c>
      <c r="N256" s="664">
        <f>N257</f>
        <v>0</v>
      </c>
      <c r="O256" s="663">
        <f>O257</f>
        <v>0</v>
      </c>
      <c r="P256" s="664">
        <f>P257</f>
        <v>0</v>
      </c>
      <c r="Q256" s="20"/>
      <c r="R256" s="50"/>
    </row>
    <row r="257" spans="1:18" ht="120" customHeight="1" thickTop="1" thickBot="1" x14ac:dyDescent="0.25">
      <c r="A257" s="658" t="s">
        <v>159</v>
      </c>
      <c r="B257" s="658"/>
      <c r="C257" s="658"/>
      <c r="D257" s="659" t="s">
        <v>562</v>
      </c>
      <c r="E257" s="660">
        <f>E258+E262+E270+E279</f>
        <v>0</v>
      </c>
      <c r="F257" s="660">
        <f>F258+F262+F270+F279</f>
        <v>0</v>
      </c>
      <c r="G257" s="660">
        <f>G258+G262+G270+G279</f>
        <v>0</v>
      </c>
      <c r="H257" s="660">
        <f>H258+H262+H270+H279</f>
        <v>0</v>
      </c>
      <c r="I257" s="660">
        <f>I258+I262+I270+I279</f>
        <v>0</v>
      </c>
      <c r="J257" s="660">
        <f t="shared" ref="J257" si="67">L257+O257</f>
        <v>0</v>
      </c>
      <c r="K257" s="660">
        <f>K258+K262+K270+K279</f>
        <v>0</v>
      </c>
      <c r="L257" s="660">
        <f>L258+L262+L270+L279</f>
        <v>0</v>
      </c>
      <c r="M257" s="660">
        <f>M258+M262+M270+M279</f>
        <v>0</v>
      </c>
      <c r="N257" s="660">
        <f>N258+N262+N270+N279</f>
        <v>0</v>
      </c>
      <c r="O257" s="660">
        <f>O258+O262+O270+O279</f>
        <v>0</v>
      </c>
      <c r="P257" s="660">
        <f>E257+J257</f>
        <v>0</v>
      </c>
      <c r="Q257" s="503" t="b">
        <f>P257=P259+P264+P265+P267+P268+P269+P272+P274+P275+P281</f>
        <v>1</v>
      </c>
      <c r="R257" s="54"/>
    </row>
    <row r="258" spans="1:18" ht="47.25" thickTop="1" thickBot="1" x14ac:dyDescent="0.25">
      <c r="A258" s="311" t="s">
        <v>788</v>
      </c>
      <c r="B258" s="311" t="s">
        <v>684</v>
      </c>
      <c r="C258" s="311"/>
      <c r="D258" s="311" t="s">
        <v>685</v>
      </c>
      <c r="E258" s="328">
        <f>d3М!E253-d3П!E253</f>
        <v>0</v>
      </c>
      <c r="F258" s="328">
        <f>d3М!F253-d3П!F253</f>
        <v>0</v>
      </c>
      <c r="G258" s="328">
        <f>d3М!G253-d3П!G253</f>
        <v>0</v>
      </c>
      <c r="H258" s="328">
        <f>d3М!H253-d3П!H253</f>
        <v>0</v>
      </c>
      <c r="I258" s="328">
        <f>d3М!I253-d3П!I253</f>
        <v>0</v>
      </c>
      <c r="J258" s="328">
        <f>d3М!J253-d3П!J253</f>
        <v>0</v>
      </c>
      <c r="K258" s="328">
        <f>d3М!K253-d3П!K253</f>
        <v>0</v>
      </c>
      <c r="L258" s="328">
        <f>d3М!L253-d3П!L253</f>
        <v>0</v>
      </c>
      <c r="M258" s="328">
        <f>d3М!M253-d3П!M253</f>
        <v>0</v>
      </c>
      <c r="N258" s="328">
        <f>d3М!N253-d3П!N253</f>
        <v>0</v>
      </c>
      <c r="O258" s="328">
        <f>d3М!O253-d3П!O253</f>
        <v>0</v>
      </c>
      <c r="P258" s="328">
        <f>d3М!P253-d3П!P253</f>
        <v>0</v>
      </c>
      <c r="Q258" s="47"/>
      <c r="R258" s="54"/>
    </row>
    <row r="259" spans="1:18" ht="93" thickTop="1" thickBot="1" x14ac:dyDescent="0.25">
      <c r="A259" s="103" t="s">
        <v>421</v>
      </c>
      <c r="B259" s="103" t="s">
        <v>236</v>
      </c>
      <c r="C259" s="103" t="s">
        <v>234</v>
      </c>
      <c r="D259" s="103" t="s">
        <v>235</v>
      </c>
      <c r="E259" s="328">
        <f>d3М!E254-d3П!E254</f>
        <v>0</v>
      </c>
      <c r="F259" s="328">
        <f>d3М!F254-d3П!F254</f>
        <v>0</v>
      </c>
      <c r="G259" s="328">
        <f>d3М!G254-d3П!G254</f>
        <v>0</v>
      </c>
      <c r="H259" s="328">
        <f>d3М!H254-d3П!H254</f>
        <v>0</v>
      </c>
      <c r="I259" s="328">
        <f>d3М!I254-d3П!I254</f>
        <v>0</v>
      </c>
      <c r="J259" s="328">
        <f>d3М!J254-d3П!J254</f>
        <v>0</v>
      </c>
      <c r="K259" s="328">
        <f>d3М!K254-d3П!K254</f>
        <v>0</v>
      </c>
      <c r="L259" s="328">
        <f>d3М!L254-d3П!L254</f>
        <v>0</v>
      </c>
      <c r="M259" s="328">
        <f>d3М!M254-d3П!M254</f>
        <v>0</v>
      </c>
      <c r="N259" s="328">
        <f>d3М!N254-d3П!N254</f>
        <v>0</v>
      </c>
      <c r="O259" s="328">
        <f>d3М!O254-d3П!O254</f>
        <v>0</v>
      </c>
      <c r="P259" s="328">
        <f>d3М!P254-d3П!P254</f>
        <v>0</v>
      </c>
      <c r="Q259" s="20"/>
      <c r="R259" s="54"/>
    </row>
    <row r="260" spans="1:18" ht="93" hidden="1" thickTop="1" thickBot="1" x14ac:dyDescent="0.25">
      <c r="A260" s="128" t="s">
        <v>627</v>
      </c>
      <c r="B260" s="128" t="s">
        <v>362</v>
      </c>
      <c r="C260" s="128" t="s">
        <v>625</v>
      </c>
      <c r="D260" s="128" t="s">
        <v>626</v>
      </c>
      <c r="E260" s="328">
        <f>d3М!E255-d3П!E255</f>
        <v>0</v>
      </c>
      <c r="F260" s="328">
        <f>d3М!F255-d3П!F255</f>
        <v>0</v>
      </c>
      <c r="G260" s="328">
        <f>d3М!G255-d3П!G255</f>
        <v>0</v>
      </c>
      <c r="H260" s="328">
        <f>d3М!H255-d3П!H255</f>
        <v>0</v>
      </c>
      <c r="I260" s="328">
        <f>d3М!I255-d3П!I255</f>
        <v>0</v>
      </c>
      <c r="J260" s="328">
        <f>d3М!J255-d3П!J255</f>
        <v>0</v>
      </c>
      <c r="K260" s="328">
        <f>d3М!K255-d3П!K255</f>
        <v>0</v>
      </c>
      <c r="L260" s="328">
        <f>d3М!L255-d3П!L255</f>
        <v>0</v>
      </c>
      <c r="M260" s="328">
        <f>d3М!M255-d3П!M255</f>
        <v>0</v>
      </c>
      <c r="N260" s="328">
        <f>d3М!N255-d3П!N255</f>
        <v>0</v>
      </c>
      <c r="O260" s="328">
        <f>d3М!O255-d3П!O255</f>
        <v>0</v>
      </c>
      <c r="P260" s="328">
        <f>d3М!P255-d3П!P255</f>
        <v>0</v>
      </c>
      <c r="Q260" s="20"/>
      <c r="R260" s="54"/>
    </row>
    <row r="261" spans="1:18" ht="47.25" hidden="1" thickTop="1" thickBot="1" x14ac:dyDescent="0.25">
      <c r="A261" s="128" t="s">
        <v>1143</v>
      </c>
      <c r="B261" s="128" t="s">
        <v>43</v>
      </c>
      <c r="C261" s="128" t="s">
        <v>42</v>
      </c>
      <c r="D261" s="128" t="s">
        <v>248</v>
      </c>
      <c r="E261" s="328">
        <f>d3М!E256-d3П!E256</f>
        <v>0</v>
      </c>
      <c r="F261" s="328">
        <f>d3М!F256-d3П!F256</f>
        <v>0</v>
      </c>
      <c r="G261" s="328">
        <f>d3М!G256-d3П!G256</f>
        <v>0</v>
      </c>
      <c r="H261" s="328">
        <f>d3М!H256-d3П!H256</f>
        <v>0</v>
      </c>
      <c r="I261" s="328">
        <f>d3М!I256-d3П!I256</f>
        <v>0</v>
      </c>
      <c r="J261" s="328">
        <f>d3М!J256-d3П!J256</f>
        <v>0</v>
      </c>
      <c r="K261" s="328">
        <f>d3М!K256-d3П!K256</f>
        <v>0</v>
      </c>
      <c r="L261" s="328">
        <f>d3М!L256-d3П!L256</f>
        <v>0</v>
      </c>
      <c r="M261" s="328">
        <f>d3М!M256-d3П!M256</f>
        <v>0</v>
      </c>
      <c r="N261" s="328">
        <f>d3М!N256-d3П!N256</f>
        <v>0</v>
      </c>
      <c r="O261" s="328">
        <f>d3М!O256-d3П!O256</f>
        <v>0</v>
      </c>
      <c r="P261" s="328">
        <f>d3М!P256-d3П!P256</f>
        <v>0</v>
      </c>
      <c r="Q261" s="20"/>
      <c r="R261" s="54"/>
    </row>
    <row r="262" spans="1:18" ht="47.25" thickTop="1" thickBot="1" x14ac:dyDescent="0.25">
      <c r="A262" s="311" t="s">
        <v>789</v>
      </c>
      <c r="B262" s="311" t="s">
        <v>742</v>
      </c>
      <c r="C262" s="311"/>
      <c r="D262" s="347" t="s">
        <v>743</v>
      </c>
      <c r="E262" s="328">
        <f>d3М!E257-d3П!E257</f>
        <v>0</v>
      </c>
      <c r="F262" s="328">
        <f>d3М!F257-d3П!F257</f>
        <v>0</v>
      </c>
      <c r="G262" s="328">
        <f>d3М!G257-d3П!G257</f>
        <v>0</v>
      </c>
      <c r="H262" s="328">
        <f>d3М!H257-d3П!H257</f>
        <v>0</v>
      </c>
      <c r="I262" s="328">
        <f>d3М!I257-d3П!I257</f>
        <v>0</v>
      </c>
      <c r="J262" s="328">
        <f>d3М!J257-d3П!J257</f>
        <v>0</v>
      </c>
      <c r="K262" s="328">
        <f>d3М!K257-d3П!K257</f>
        <v>0</v>
      </c>
      <c r="L262" s="328">
        <f>d3М!L257-d3П!L257</f>
        <v>0</v>
      </c>
      <c r="M262" s="328">
        <f>d3М!M257-d3П!M257</f>
        <v>0</v>
      </c>
      <c r="N262" s="328">
        <f>d3М!N257-d3П!N257</f>
        <v>0</v>
      </c>
      <c r="O262" s="328">
        <f>d3М!O257-d3П!O257</f>
        <v>0</v>
      </c>
      <c r="P262" s="328">
        <f>d3М!P257-d3П!P257</f>
        <v>0</v>
      </c>
      <c r="Q262" s="20"/>
      <c r="R262" s="54"/>
    </row>
    <row r="263" spans="1:18" s="33" customFormat="1" ht="93" thickTop="1" thickBot="1" x14ac:dyDescent="0.25">
      <c r="A263" s="329" t="s">
        <v>790</v>
      </c>
      <c r="B263" s="329" t="s">
        <v>791</v>
      </c>
      <c r="C263" s="329"/>
      <c r="D263" s="329" t="s">
        <v>792</v>
      </c>
      <c r="E263" s="328">
        <f>d3М!E258-d3П!E258</f>
        <v>0</v>
      </c>
      <c r="F263" s="328">
        <f>d3М!F258-d3П!F258</f>
        <v>0</v>
      </c>
      <c r="G263" s="328">
        <f>d3М!G258-d3П!G258</f>
        <v>0</v>
      </c>
      <c r="H263" s="328">
        <f>d3М!H258-d3П!H258</f>
        <v>0</v>
      </c>
      <c r="I263" s="328">
        <f>d3М!I258-d3П!I258</f>
        <v>0</v>
      </c>
      <c r="J263" s="328">
        <f>d3М!J258-d3П!J258</f>
        <v>0</v>
      </c>
      <c r="K263" s="328">
        <f>d3М!K258-d3П!K258</f>
        <v>0</v>
      </c>
      <c r="L263" s="328">
        <f>d3М!L258-d3П!L258</f>
        <v>0</v>
      </c>
      <c r="M263" s="328">
        <f>d3М!M258-d3П!M258</f>
        <v>0</v>
      </c>
      <c r="N263" s="328">
        <f>d3М!N258-d3П!N258</f>
        <v>0</v>
      </c>
      <c r="O263" s="328">
        <f>d3М!O258-d3П!O258</f>
        <v>0</v>
      </c>
      <c r="P263" s="328">
        <f>d3М!P258-d3П!P258</f>
        <v>0</v>
      </c>
      <c r="Q263" s="36"/>
      <c r="R263" s="54"/>
    </row>
    <row r="264" spans="1:18" ht="47.25" thickTop="1" thickBot="1" x14ac:dyDescent="0.25">
      <c r="A264" s="103" t="s">
        <v>280</v>
      </c>
      <c r="B264" s="103" t="s">
        <v>281</v>
      </c>
      <c r="C264" s="103" t="s">
        <v>340</v>
      </c>
      <c r="D264" s="103" t="s">
        <v>282</v>
      </c>
      <c r="E264" s="328">
        <f>d3М!E259-d3П!E259</f>
        <v>0</v>
      </c>
      <c r="F264" s="328">
        <f>d3М!F259-d3П!F259</f>
        <v>0</v>
      </c>
      <c r="G264" s="328">
        <f>d3М!G259-d3П!G259</f>
        <v>0</v>
      </c>
      <c r="H264" s="328">
        <f>d3М!H259-d3П!H259</f>
        <v>0</v>
      </c>
      <c r="I264" s="328">
        <f>d3М!I259-d3П!I259</f>
        <v>0</v>
      </c>
      <c r="J264" s="328">
        <f>d3М!J259-d3П!J259</f>
        <v>0</v>
      </c>
      <c r="K264" s="328">
        <f>d3М!K259-d3П!K259</f>
        <v>0</v>
      </c>
      <c r="L264" s="328">
        <f>d3М!L259-d3П!L259</f>
        <v>0</v>
      </c>
      <c r="M264" s="328">
        <f>d3М!M259-d3П!M259</f>
        <v>0</v>
      </c>
      <c r="N264" s="328">
        <f>d3М!N259-d3П!N259</f>
        <v>0</v>
      </c>
      <c r="O264" s="328">
        <f>d3М!O259-d3П!O259</f>
        <v>0</v>
      </c>
      <c r="P264" s="328">
        <f>d3М!P259-d3П!P259</f>
        <v>0</v>
      </c>
      <c r="Q264" s="20"/>
      <c r="R264" s="54"/>
    </row>
    <row r="265" spans="1:18" ht="47.25" thickTop="1" thickBot="1" x14ac:dyDescent="0.25">
      <c r="A265" s="103" t="s">
        <v>301</v>
      </c>
      <c r="B265" s="103" t="s">
        <v>302</v>
      </c>
      <c r="C265" s="103" t="s">
        <v>283</v>
      </c>
      <c r="D265" s="103" t="s">
        <v>303</v>
      </c>
      <c r="E265" s="328">
        <f>d3М!E260-d3П!E260</f>
        <v>0</v>
      </c>
      <c r="F265" s="328">
        <f>d3М!F260-d3П!F260</f>
        <v>0</v>
      </c>
      <c r="G265" s="328">
        <f>d3М!G260-d3П!G260</f>
        <v>0</v>
      </c>
      <c r="H265" s="328">
        <f>d3М!H260-d3П!H260</f>
        <v>0</v>
      </c>
      <c r="I265" s="328">
        <f>d3М!I260-d3П!I260</f>
        <v>0</v>
      </c>
      <c r="J265" s="328">
        <f>d3М!J260-d3П!J260</f>
        <v>0</v>
      </c>
      <c r="K265" s="328">
        <f>d3М!K260-d3П!K260</f>
        <v>0</v>
      </c>
      <c r="L265" s="328">
        <f>d3М!L260-d3П!L260</f>
        <v>0</v>
      </c>
      <c r="M265" s="328">
        <f>d3М!M260-d3П!M260</f>
        <v>0</v>
      </c>
      <c r="N265" s="328">
        <f>d3М!N260-d3П!N260</f>
        <v>0</v>
      </c>
      <c r="O265" s="328">
        <f>d3М!O260-d3П!O260</f>
        <v>0</v>
      </c>
      <c r="P265" s="328">
        <f>d3М!P260-d3П!P260</f>
        <v>0</v>
      </c>
      <c r="Q265" s="20"/>
      <c r="R265" s="54"/>
    </row>
    <row r="266" spans="1:18" ht="93" hidden="1" thickTop="1" thickBot="1" x14ac:dyDescent="0.25">
      <c r="A266" s="128" t="s">
        <v>284</v>
      </c>
      <c r="B266" s="128" t="s">
        <v>285</v>
      </c>
      <c r="C266" s="128" t="s">
        <v>283</v>
      </c>
      <c r="D266" s="128" t="s">
        <v>466</v>
      </c>
      <c r="E266" s="328">
        <f>d3М!E261-d3П!E261</f>
        <v>0</v>
      </c>
      <c r="F266" s="328">
        <f>d3М!F261-d3П!F261</f>
        <v>0</v>
      </c>
      <c r="G266" s="328">
        <f>d3М!G261-d3П!G261</f>
        <v>0</v>
      </c>
      <c r="H266" s="328">
        <f>d3М!H261-d3П!H261</f>
        <v>0</v>
      </c>
      <c r="I266" s="328">
        <f>d3М!I261-d3П!I261</f>
        <v>0</v>
      </c>
      <c r="J266" s="328">
        <f>d3М!J261-d3П!J261</f>
        <v>0</v>
      </c>
      <c r="K266" s="328">
        <f>d3М!K261-d3П!K261</f>
        <v>0</v>
      </c>
      <c r="L266" s="328">
        <f>d3М!L261-d3П!L261</f>
        <v>0</v>
      </c>
      <c r="M266" s="328">
        <f>d3М!M261-d3П!M261</f>
        <v>0</v>
      </c>
      <c r="N266" s="328">
        <f>d3М!N261-d3П!N261</f>
        <v>0</v>
      </c>
      <c r="O266" s="328">
        <f>d3М!O261-d3П!O261</f>
        <v>0</v>
      </c>
      <c r="P266" s="328">
        <f>d3М!P261-d3П!P261</f>
        <v>0</v>
      </c>
      <c r="Q266" s="20"/>
      <c r="R266" s="54"/>
    </row>
    <row r="267" spans="1:18" ht="93" thickTop="1" thickBot="1" x14ac:dyDescent="0.25">
      <c r="A267" s="103" t="s">
        <v>929</v>
      </c>
      <c r="B267" s="103" t="s">
        <v>297</v>
      </c>
      <c r="C267" s="103" t="s">
        <v>283</v>
      </c>
      <c r="D267" s="103" t="s">
        <v>298</v>
      </c>
      <c r="E267" s="328">
        <f>d3М!E262-d3П!E262</f>
        <v>0</v>
      </c>
      <c r="F267" s="328">
        <f>d3М!F262-d3П!F262</f>
        <v>0</v>
      </c>
      <c r="G267" s="328">
        <f>d3М!G262-d3П!G262</f>
        <v>0</v>
      </c>
      <c r="H267" s="328">
        <f>d3М!H262-d3П!H262</f>
        <v>0</v>
      </c>
      <c r="I267" s="328">
        <f>d3М!I262-d3П!I262</f>
        <v>0</v>
      </c>
      <c r="J267" s="328">
        <f>d3М!J262-d3П!J262</f>
        <v>0</v>
      </c>
      <c r="K267" s="328">
        <f>d3М!K262-d3П!K262</f>
        <v>0</v>
      </c>
      <c r="L267" s="328">
        <f>d3М!L262-d3П!L262</f>
        <v>0</v>
      </c>
      <c r="M267" s="328">
        <f>d3М!M262-d3П!M262</f>
        <v>0</v>
      </c>
      <c r="N267" s="328">
        <f>d3М!N262-d3П!N262</f>
        <v>0</v>
      </c>
      <c r="O267" s="328">
        <f>d3М!O262-d3П!O262</f>
        <v>0</v>
      </c>
      <c r="P267" s="328">
        <f>d3М!P262-d3П!P262</f>
        <v>0</v>
      </c>
      <c r="Q267" s="20"/>
      <c r="R267" s="54"/>
    </row>
    <row r="268" spans="1:18" ht="47.25" thickTop="1" thickBot="1" x14ac:dyDescent="0.25">
      <c r="A268" s="103" t="s">
        <v>288</v>
      </c>
      <c r="B268" s="103" t="s">
        <v>289</v>
      </c>
      <c r="C268" s="103" t="s">
        <v>283</v>
      </c>
      <c r="D268" s="103" t="s">
        <v>290</v>
      </c>
      <c r="E268" s="328">
        <f>d3М!E263-d3П!E263</f>
        <v>0</v>
      </c>
      <c r="F268" s="328">
        <f>d3М!F263-d3П!F263</f>
        <v>0</v>
      </c>
      <c r="G268" s="328">
        <f>d3М!G263-d3П!G263</f>
        <v>0</v>
      </c>
      <c r="H268" s="328">
        <f>d3М!H263-d3П!H263</f>
        <v>0</v>
      </c>
      <c r="I268" s="328">
        <f>d3М!I263-d3П!I263</f>
        <v>0</v>
      </c>
      <c r="J268" s="328">
        <f>d3М!J263-d3П!J263</f>
        <v>0</v>
      </c>
      <c r="K268" s="328">
        <f>d3М!K263-d3П!K263</f>
        <v>0</v>
      </c>
      <c r="L268" s="328">
        <f>d3М!L263-d3П!L263</f>
        <v>0</v>
      </c>
      <c r="M268" s="328">
        <f>d3М!M263-d3П!M263</f>
        <v>0</v>
      </c>
      <c r="N268" s="328">
        <f>d3М!N263-d3П!N263</f>
        <v>0</v>
      </c>
      <c r="O268" s="328">
        <f>d3М!O263-d3П!O263</f>
        <v>0</v>
      </c>
      <c r="P268" s="328">
        <f>d3М!P263-d3П!P263</f>
        <v>0</v>
      </c>
      <c r="Q268" s="20"/>
      <c r="R268" s="50"/>
    </row>
    <row r="269" spans="1:18" ht="47.25" thickTop="1" thickBot="1" x14ac:dyDescent="0.25">
      <c r="A269" s="103" t="s">
        <v>1261</v>
      </c>
      <c r="B269" s="103" t="s">
        <v>1149</v>
      </c>
      <c r="C269" s="103" t="s">
        <v>1150</v>
      </c>
      <c r="D269" s="103" t="s">
        <v>1147</v>
      </c>
      <c r="E269" s="328">
        <f>d3М!E264-d3П!E264</f>
        <v>0</v>
      </c>
      <c r="F269" s="328">
        <f>d3М!F264-d3П!F264</f>
        <v>0</v>
      </c>
      <c r="G269" s="328">
        <f>d3М!G264-d3П!G264</f>
        <v>0</v>
      </c>
      <c r="H269" s="328">
        <f>d3М!H264-d3П!H264</f>
        <v>0</v>
      </c>
      <c r="I269" s="328">
        <f>d3М!I264-d3П!I264</f>
        <v>0</v>
      </c>
      <c r="J269" s="328">
        <f>d3М!J264-d3П!J264</f>
        <v>0</v>
      </c>
      <c r="K269" s="328">
        <f>d3М!K264-d3П!K264</f>
        <v>0</v>
      </c>
      <c r="L269" s="328">
        <f>d3М!L264-d3П!L264</f>
        <v>0</v>
      </c>
      <c r="M269" s="328">
        <f>d3М!M264-d3П!M264</f>
        <v>0</v>
      </c>
      <c r="N269" s="328">
        <f>d3М!N264-d3П!N264</f>
        <v>0</v>
      </c>
      <c r="O269" s="328">
        <f>d3М!O264-d3П!O264</f>
        <v>0</v>
      </c>
      <c r="P269" s="328">
        <f>d3М!P264-d3П!P264</f>
        <v>0</v>
      </c>
      <c r="Q269" s="20"/>
      <c r="R269" s="50"/>
    </row>
    <row r="270" spans="1:18" ht="47.25" thickTop="1" thickBot="1" x14ac:dyDescent="0.25">
      <c r="A270" s="311" t="s">
        <v>793</v>
      </c>
      <c r="B270" s="311" t="s">
        <v>748</v>
      </c>
      <c r="C270" s="311"/>
      <c r="D270" s="311" t="s">
        <v>794</v>
      </c>
      <c r="E270" s="328">
        <f>d3М!E265-d3П!E265</f>
        <v>0</v>
      </c>
      <c r="F270" s="328">
        <f>d3М!F265-d3П!F265</f>
        <v>0</v>
      </c>
      <c r="G270" s="328">
        <f>d3М!G265-d3П!G265</f>
        <v>0</v>
      </c>
      <c r="H270" s="328">
        <f>d3М!H265-d3П!H265</f>
        <v>0</v>
      </c>
      <c r="I270" s="328">
        <f>d3М!I265-d3П!I265</f>
        <v>0</v>
      </c>
      <c r="J270" s="328">
        <f>d3М!J265-d3П!J265</f>
        <v>0</v>
      </c>
      <c r="K270" s="328">
        <f>d3М!K265-d3П!K265</f>
        <v>0</v>
      </c>
      <c r="L270" s="328">
        <f>d3М!L265-d3П!L265</f>
        <v>0</v>
      </c>
      <c r="M270" s="328">
        <f>d3М!M265-d3П!M265</f>
        <v>0</v>
      </c>
      <c r="N270" s="328">
        <f>d3М!N265-d3П!N265</f>
        <v>0</v>
      </c>
      <c r="O270" s="328">
        <f>d3М!O265-d3П!O265</f>
        <v>0</v>
      </c>
      <c r="P270" s="328">
        <f>d3М!P265-d3П!P265</f>
        <v>0</v>
      </c>
      <c r="Q270" s="20"/>
      <c r="R270" s="50"/>
    </row>
    <row r="271" spans="1:18" ht="47.25" thickTop="1" thickBot="1" x14ac:dyDescent="0.25">
      <c r="A271" s="313" t="s">
        <v>1145</v>
      </c>
      <c r="B271" s="313" t="s">
        <v>803</v>
      </c>
      <c r="C271" s="313"/>
      <c r="D271" s="313" t="s">
        <v>804</v>
      </c>
      <c r="E271" s="328">
        <f>d3М!E266-d3П!E266</f>
        <v>0</v>
      </c>
      <c r="F271" s="328">
        <f>d3М!F266-d3П!F266</f>
        <v>0</v>
      </c>
      <c r="G271" s="328">
        <f>d3М!G266-d3П!G266</f>
        <v>0</v>
      </c>
      <c r="H271" s="328">
        <f>d3М!H266-d3П!H266</f>
        <v>0</v>
      </c>
      <c r="I271" s="328">
        <f>d3М!I266-d3П!I266</f>
        <v>0</v>
      </c>
      <c r="J271" s="328">
        <f>d3М!J266-d3П!J266</f>
        <v>0</v>
      </c>
      <c r="K271" s="328">
        <f>d3М!K266-d3П!K266</f>
        <v>0</v>
      </c>
      <c r="L271" s="328">
        <f>d3М!L266-d3П!L266</f>
        <v>0</v>
      </c>
      <c r="M271" s="328">
        <f>d3М!M266-d3П!M266</f>
        <v>0</v>
      </c>
      <c r="N271" s="328">
        <f>d3М!N266-d3П!N266</f>
        <v>0</v>
      </c>
      <c r="O271" s="328">
        <f>d3М!O266-d3П!O266</f>
        <v>0</v>
      </c>
      <c r="P271" s="328">
        <f>d3М!P266-d3П!P266</f>
        <v>0</v>
      </c>
      <c r="Q271" s="20"/>
      <c r="R271" s="50"/>
    </row>
    <row r="272" spans="1:18" ht="54" thickTop="1" thickBot="1" x14ac:dyDescent="0.25">
      <c r="A272" s="103" t="s">
        <v>1146</v>
      </c>
      <c r="B272" s="103" t="s">
        <v>305</v>
      </c>
      <c r="C272" s="103" t="s">
        <v>304</v>
      </c>
      <c r="D272" s="103" t="s">
        <v>1502</v>
      </c>
      <c r="E272" s="328">
        <f>d3М!E267-d3П!E267</f>
        <v>0</v>
      </c>
      <c r="F272" s="328">
        <f>d3М!F267-d3П!F267</f>
        <v>0</v>
      </c>
      <c r="G272" s="328">
        <f>d3М!G267-d3П!G267</f>
        <v>0</v>
      </c>
      <c r="H272" s="328">
        <f>d3М!H267-d3П!H267</f>
        <v>0</v>
      </c>
      <c r="I272" s="328">
        <f>d3М!I267-d3П!I267</f>
        <v>0</v>
      </c>
      <c r="J272" s="328">
        <f>d3М!J267-d3П!J267</f>
        <v>0</v>
      </c>
      <c r="K272" s="328">
        <f>d3М!K267-d3П!K267</f>
        <v>0</v>
      </c>
      <c r="L272" s="328">
        <f>d3М!L267-d3П!L267</f>
        <v>0</v>
      </c>
      <c r="M272" s="328">
        <f>d3М!M267-d3П!M267</f>
        <v>0</v>
      </c>
      <c r="N272" s="328">
        <f>d3М!N267-d3П!N267</f>
        <v>0</v>
      </c>
      <c r="O272" s="328">
        <f>d3М!O267-d3П!O267</f>
        <v>0</v>
      </c>
      <c r="P272" s="328">
        <f>d3М!P267-d3П!P267</f>
        <v>0</v>
      </c>
      <c r="Q272" s="20"/>
      <c r="R272" s="50"/>
    </row>
    <row r="273" spans="1:18" ht="47.25" thickTop="1" thickBot="1" x14ac:dyDescent="0.25">
      <c r="A273" s="313" t="s">
        <v>795</v>
      </c>
      <c r="B273" s="313" t="s">
        <v>691</v>
      </c>
      <c r="C273" s="313"/>
      <c r="D273" s="313" t="s">
        <v>689</v>
      </c>
      <c r="E273" s="328">
        <f>d3М!E268-d3П!E268</f>
        <v>0</v>
      </c>
      <c r="F273" s="328">
        <f>d3М!F268-d3П!F268</f>
        <v>0</v>
      </c>
      <c r="G273" s="328">
        <f>d3М!G268-d3П!G268</f>
        <v>0</v>
      </c>
      <c r="H273" s="328">
        <f>d3М!H268-d3П!H268</f>
        <v>0</v>
      </c>
      <c r="I273" s="328">
        <f>d3М!I268-d3П!I268</f>
        <v>0</v>
      </c>
      <c r="J273" s="328">
        <f>d3М!J268-d3П!J268</f>
        <v>0</v>
      </c>
      <c r="K273" s="328">
        <f>d3М!K268-d3П!K268</f>
        <v>0</v>
      </c>
      <c r="L273" s="328">
        <f>d3М!L268-d3П!L268</f>
        <v>0</v>
      </c>
      <c r="M273" s="328">
        <f>d3М!M268-d3П!M268</f>
        <v>0</v>
      </c>
      <c r="N273" s="328">
        <f>d3М!N268-d3П!N268</f>
        <v>0</v>
      </c>
      <c r="O273" s="328">
        <f>d3М!O268-d3П!O268</f>
        <v>0</v>
      </c>
      <c r="P273" s="328">
        <f>d3М!P268-d3П!P268</f>
        <v>0</v>
      </c>
      <c r="Q273" s="20"/>
      <c r="R273" s="50"/>
    </row>
    <row r="274" spans="1:18" ht="47.25" thickTop="1" thickBot="1" x14ac:dyDescent="0.25">
      <c r="A274" s="103" t="s">
        <v>296</v>
      </c>
      <c r="B274" s="103" t="s">
        <v>212</v>
      </c>
      <c r="C274" s="103" t="s">
        <v>213</v>
      </c>
      <c r="D274" s="103" t="s">
        <v>41</v>
      </c>
      <c r="E274" s="328">
        <f>d3М!E269-d3П!E269</f>
        <v>0</v>
      </c>
      <c r="F274" s="328">
        <f>d3М!F269-d3П!F269</f>
        <v>0</v>
      </c>
      <c r="G274" s="328">
        <f>d3М!G269-d3П!G269</f>
        <v>0</v>
      </c>
      <c r="H274" s="328">
        <f>d3М!H269-d3П!H269</f>
        <v>0</v>
      </c>
      <c r="I274" s="328">
        <f>d3М!I269-d3П!I269</f>
        <v>0</v>
      </c>
      <c r="J274" s="328">
        <f>d3М!J269-d3П!J269</f>
        <v>0</v>
      </c>
      <c r="K274" s="328">
        <f>d3М!K269-d3П!K269</f>
        <v>0</v>
      </c>
      <c r="L274" s="328">
        <f>d3М!L269-d3П!L269</f>
        <v>0</v>
      </c>
      <c r="M274" s="328">
        <f>d3М!M269-d3П!M269</f>
        <v>0</v>
      </c>
      <c r="N274" s="328">
        <f>d3М!N269-d3П!N269</f>
        <v>0</v>
      </c>
      <c r="O274" s="328">
        <f>d3М!O269-d3П!O269</f>
        <v>0</v>
      </c>
      <c r="P274" s="328">
        <f>d3М!P269-d3П!P269</f>
        <v>0</v>
      </c>
      <c r="Q274" s="20"/>
      <c r="R274" s="54"/>
    </row>
    <row r="275" spans="1:18" ht="47.25" thickTop="1" thickBot="1" x14ac:dyDescent="0.25">
      <c r="A275" s="103" t="s">
        <v>918</v>
      </c>
      <c r="B275" s="103" t="s">
        <v>197</v>
      </c>
      <c r="C275" s="103" t="s">
        <v>170</v>
      </c>
      <c r="D275" s="103" t="s">
        <v>34</v>
      </c>
      <c r="E275" s="328">
        <f>d3М!E270-d3П!E270</f>
        <v>0</v>
      </c>
      <c r="F275" s="328">
        <f>d3М!F270-d3П!F270</f>
        <v>0</v>
      </c>
      <c r="G275" s="328">
        <f>d3М!G270-d3П!G270</f>
        <v>0</v>
      </c>
      <c r="H275" s="328">
        <f>d3М!H270-d3П!H270</f>
        <v>0</v>
      </c>
      <c r="I275" s="328">
        <f>d3М!I270-d3П!I270</f>
        <v>0</v>
      </c>
      <c r="J275" s="328">
        <f>d3М!J270-d3П!J270</f>
        <v>0</v>
      </c>
      <c r="K275" s="328">
        <f>d3М!K270-d3П!K270</f>
        <v>0</v>
      </c>
      <c r="L275" s="328">
        <f>d3М!L270-d3П!L270</f>
        <v>0</v>
      </c>
      <c r="M275" s="328">
        <f>d3М!M270-d3П!M270</f>
        <v>0</v>
      </c>
      <c r="N275" s="328">
        <f>d3М!N270-d3П!N270</f>
        <v>0</v>
      </c>
      <c r="O275" s="328">
        <f>d3М!O270-d3П!O270</f>
        <v>0</v>
      </c>
      <c r="P275" s="328">
        <f>d3М!P270-d3П!P270</f>
        <v>0</v>
      </c>
      <c r="Q275" s="20"/>
      <c r="R275" s="54"/>
    </row>
    <row r="276" spans="1:18" ht="48" hidden="1" customHeight="1" thickTop="1" thickBot="1" x14ac:dyDescent="0.25">
      <c r="A276" s="140" t="s">
        <v>796</v>
      </c>
      <c r="B276" s="140" t="s">
        <v>694</v>
      </c>
      <c r="C276" s="140"/>
      <c r="D276" s="140" t="s">
        <v>797</v>
      </c>
      <c r="E276" s="328">
        <f>d3М!E271-d3П!E271</f>
        <v>0</v>
      </c>
      <c r="F276" s="328">
        <f>d3М!F271-d3П!F271</f>
        <v>0</v>
      </c>
      <c r="G276" s="328">
        <f>d3М!G271-d3П!G271</f>
        <v>0</v>
      </c>
      <c r="H276" s="328">
        <f>d3М!H271-d3П!H271</f>
        <v>0</v>
      </c>
      <c r="I276" s="328">
        <f>d3М!I271-d3П!I271</f>
        <v>0</v>
      </c>
      <c r="J276" s="328">
        <f>d3М!J271-d3П!J271</f>
        <v>0</v>
      </c>
      <c r="K276" s="328">
        <f>d3М!K271-d3П!K271</f>
        <v>0</v>
      </c>
      <c r="L276" s="328">
        <f>d3М!L271-d3П!L271</f>
        <v>0</v>
      </c>
      <c r="M276" s="328">
        <f>d3М!M271-d3П!M271</f>
        <v>0</v>
      </c>
      <c r="N276" s="328">
        <f>d3М!N271-d3П!N271</f>
        <v>0</v>
      </c>
      <c r="O276" s="328">
        <f>d3М!O271-d3П!O271</f>
        <v>0</v>
      </c>
      <c r="P276" s="328">
        <f>d3М!P271-d3П!P271</f>
        <v>0</v>
      </c>
      <c r="Q276" s="20"/>
      <c r="R276" s="50"/>
    </row>
    <row r="277" spans="1:18" ht="214.5" hidden="1" customHeight="1" thickTop="1" thickBot="1" x14ac:dyDescent="0.7">
      <c r="A277" s="797" t="s">
        <v>424</v>
      </c>
      <c r="B277" s="797" t="s">
        <v>338</v>
      </c>
      <c r="C277" s="797" t="s">
        <v>170</v>
      </c>
      <c r="D277" s="155" t="s">
        <v>440</v>
      </c>
      <c r="E277" s="328">
        <f>d3М!E272-d3П!E272</f>
        <v>0</v>
      </c>
      <c r="F277" s="328">
        <f>d3М!F272-d3П!F272</f>
        <v>0</v>
      </c>
      <c r="G277" s="328">
        <f>d3М!G272-d3П!G272</f>
        <v>0</v>
      </c>
      <c r="H277" s="328">
        <f>d3М!H272-d3П!H272</f>
        <v>0</v>
      </c>
      <c r="I277" s="328">
        <f>d3М!I272-d3П!I272</f>
        <v>0</v>
      </c>
      <c r="J277" s="328">
        <f>d3М!J272-d3П!J272</f>
        <v>0</v>
      </c>
      <c r="K277" s="328">
        <f>d3М!K272-d3П!K272</f>
        <v>0</v>
      </c>
      <c r="L277" s="328">
        <f>d3М!L272-d3П!L272</f>
        <v>0</v>
      </c>
      <c r="M277" s="328">
        <f>d3М!M272-d3П!M272</f>
        <v>0</v>
      </c>
      <c r="N277" s="328">
        <f>d3М!N272-d3П!N272</f>
        <v>0</v>
      </c>
      <c r="O277" s="328">
        <f>d3М!O272-d3П!O272</f>
        <v>0</v>
      </c>
      <c r="P277" s="328">
        <f>d3М!P272-d3П!P272</f>
        <v>0</v>
      </c>
      <c r="Q277" s="20"/>
      <c r="R277" s="50"/>
    </row>
    <row r="278" spans="1:18" ht="93" hidden="1" customHeight="1" thickTop="1" thickBot="1" x14ac:dyDescent="0.25">
      <c r="A278" s="797"/>
      <c r="B278" s="797"/>
      <c r="C278" s="797"/>
      <c r="D278" s="156" t="s">
        <v>441</v>
      </c>
      <c r="E278" s="328">
        <f>d3М!E273-d3П!E273</f>
        <v>0</v>
      </c>
      <c r="F278" s="328">
        <f>d3М!F273-d3П!F273</f>
        <v>0</v>
      </c>
      <c r="G278" s="328">
        <f>d3М!G273-d3П!G273</f>
        <v>0</v>
      </c>
      <c r="H278" s="328">
        <f>d3М!H273-d3П!H273</f>
        <v>0</v>
      </c>
      <c r="I278" s="328">
        <f>d3М!I273-d3П!I273</f>
        <v>0</v>
      </c>
      <c r="J278" s="328">
        <f>d3М!J273-d3П!J273</f>
        <v>0</v>
      </c>
      <c r="K278" s="328">
        <f>d3М!K273-d3П!K273</f>
        <v>0</v>
      </c>
      <c r="L278" s="328">
        <f>d3М!L273-d3П!L273</f>
        <v>0</v>
      </c>
      <c r="M278" s="328">
        <f>d3М!M273-d3П!M273</f>
        <v>0</v>
      </c>
      <c r="N278" s="328">
        <f>d3М!N273-d3П!N273</f>
        <v>0</v>
      </c>
      <c r="O278" s="328">
        <f>d3М!O273-d3П!O273</f>
        <v>0</v>
      </c>
      <c r="P278" s="328">
        <f>d3М!P273-d3П!P273</f>
        <v>0</v>
      </c>
      <c r="Q278" s="20"/>
      <c r="R278" s="50"/>
    </row>
    <row r="279" spans="1:18" ht="47.25" thickTop="1" thickBot="1" x14ac:dyDescent="0.25">
      <c r="A279" s="311" t="s">
        <v>1230</v>
      </c>
      <c r="B279" s="311" t="s">
        <v>696</v>
      </c>
      <c r="C279" s="311"/>
      <c r="D279" s="311" t="s">
        <v>697</v>
      </c>
      <c r="E279" s="328">
        <f>d3М!E274-d3П!E274</f>
        <v>0</v>
      </c>
      <c r="F279" s="328">
        <f>d3М!F274-d3П!F274</f>
        <v>0</v>
      </c>
      <c r="G279" s="328">
        <f>d3М!G274-d3П!G274</f>
        <v>0</v>
      </c>
      <c r="H279" s="328">
        <f>d3М!H274-d3П!H274</f>
        <v>0</v>
      </c>
      <c r="I279" s="328">
        <f>d3М!I274-d3П!I274</f>
        <v>0</v>
      </c>
      <c r="J279" s="328">
        <f>d3М!J274-d3П!J274</f>
        <v>0</v>
      </c>
      <c r="K279" s="328">
        <f>d3М!K274-d3П!K274</f>
        <v>0</v>
      </c>
      <c r="L279" s="328">
        <f>d3М!L274-d3П!L274</f>
        <v>0</v>
      </c>
      <c r="M279" s="328">
        <f>d3М!M274-d3П!M274</f>
        <v>0</v>
      </c>
      <c r="N279" s="328">
        <f>d3М!N274-d3П!N274</f>
        <v>0</v>
      </c>
      <c r="O279" s="328">
        <f>d3М!O274-d3П!O274</f>
        <v>0</v>
      </c>
      <c r="P279" s="328">
        <f>d3М!P274-d3П!P274</f>
        <v>0</v>
      </c>
      <c r="Q279" s="20"/>
      <c r="R279" s="50"/>
    </row>
    <row r="280" spans="1:18" ht="47.25" thickTop="1" thickBot="1" x14ac:dyDescent="0.25">
      <c r="A280" s="313" t="s">
        <v>1500</v>
      </c>
      <c r="B280" s="313" t="s">
        <v>812</v>
      </c>
      <c r="C280" s="313"/>
      <c r="D280" s="356" t="s">
        <v>1281</v>
      </c>
      <c r="E280" s="328">
        <f>d3М!E275-d3П!E275</f>
        <v>0</v>
      </c>
      <c r="F280" s="328">
        <f>d3М!F275-d3П!F275</f>
        <v>0</v>
      </c>
      <c r="G280" s="328">
        <f>d3М!G275-d3П!G275</f>
        <v>0</v>
      </c>
      <c r="H280" s="328">
        <f>d3М!H275-d3П!H275</f>
        <v>0</v>
      </c>
      <c r="I280" s="328">
        <f>d3М!I275-d3П!I275</f>
        <v>0</v>
      </c>
      <c r="J280" s="328">
        <f>d3М!J275-d3П!J275</f>
        <v>0</v>
      </c>
      <c r="K280" s="328">
        <f>d3М!K275-d3П!K275</f>
        <v>0</v>
      </c>
      <c r="L280" s="328">
        <f>d3М!L275-d3П!L275</f>
        <v>0</v>
      </c>
      <c r="M280" s="328">
        <f>d3М!M275-d3П!M275</f>
        <v>0</v>
      </c>
      <c r="N280" s="328">
        <f>d3М!N275-d3П!N275</f>
        <v>0</v>
      </c>
      <c r="O280" s="328">
        <f>d3М!O275-d3П!O275</f>
        <v>0</v>
      </c>
      <c r="P280" s="328">
        <f>d3М!P275-d3П!P275</f>
        <v>0</v>
      </c>
      <c r="Q280" s="20"/>
      <c r="R280" s="50"/>
    </row>
    <row r="281" spans="1:18" ht="93" thickTop="1" thickBot="1" x14ac:dyDescent="0.25">
      <c r="A281" s="103" t="s">
        <v>1501</v>
      </c>
      <c r="B281" s="103" t="s">
        <v>518</v>
      </c>
      <c r="C281" s="103" t="s">
        <v>251</v>
      </c>
      <c r="D281" s="103" t="s">
        <v>519</v>
      </c>
      <c r="E281" s="328">
        <f>d3М!E276-d3П!E276</f>
        <v>0</v>
      </c>
      <c r="F281" s="328">
        <f>d3М!F276-d3П!F276</f>
        <v>0</v>
      </c>
      <c r="G281" s="328">
        <f>d3М!G276-d3П!G276</f>
        <v>0</v>
      </c>
      <c r="H281" s="328">
        <f>d3М!H276-d3П!H276</f>
        <v>0</v>
      </c>
      <c r="I281" s="328">
        <f>d3М!I276-d3П!I276</f>
        <v>0</v>
      </c>
      <c r="J281" s="328">
        <f>d3М!J276-d3П!J276</f>
        <v>0</v>
      </c>
      <c r="K281" s="328">
        <f>d3М!K276-d3П!K276</f>
        <v>0</v>
      </c>
      <c r="L281" s="328">
        <f>d3М!L276-d3П!L276</f>
        <v>0</v>
      </c>
      <c r="M281" s="328">
        <f>d3М!M276-d3П!M276</f>
        <v>0</v>
      </c>
      <c r="N281" s="328">
        <f>d3М!N276-d3П!N276</f>
        <v>0</v>
      </c>
      <c r="O281" s="328">
        <f>d3М!O276-d3П!O276</f>
        <v>0</v>
      </c>
      <c r="P281" s="328">
        <f>d3М!P276-d3П!P276</f>
        <v>0</v>
      </c>
      <c r="Q281" s="20"/>
      <c r="R281" s="50"/>
    </row>
    <row r="282" spans="1:18" ht="47.25" hidden="1" thickTop="1" thickBot="1" x14ac:dyDescent="0.25">
      <c r="A282" s="136" t="s">
        <v>1231</v>
      </c>
      <c r="B282" s="136" t="s">
        <v>1186</v>
      </c>
      <c r="C282" s="136"/>
      <c r="D282" s="136" t="s">
        <v>1184</v>
      </c>
      <c r="E282" s="137">
        <f t="shared" ref="E282:P282" si="68">SUM(E283:E283)</f>
        <v>0</v>
      </c>
      <c r="F282" s="137">
        <f t="shared" si="68"/>
        <v>0</v>
      </c>
      <c r="G282" s="137">
        <f t="shared" si="68"/>
        <v>0</v>
      </c>
      <c r="H282" s="137">
        <f t="shared" si="68"/>
        <v>0</v>
      </c>
      <c r="I282" s="137">
        <f t="shared" si="68"/>
        <v>0</v>
      </c>
      <c r="J282" s="137">
        <f t="shared" si="68"/>
        <v>0</v>
      </c>
      <c r="K282" s="137">
        <f t="shared" si="68"/>
        <v>0</v>
      </c>
      <c r="L282" s="137">
        <f t="shared" si="68"/>
        <v>0</v>
      </c>
      <c r="M282" s="137">
        <f t="shared" si="68"/>
        <v>0</v>
      </c>
      <c r="N282" s="137">
        <f t="shared" si="68"/>
        <v>0</v>
      </c>
      <c r="O282" s="137">
        <f t="shared" si="68"/>
        <v>0</v>
      </c>
      <c r="P282" s="137">
        <f t="shared" si="68"/>
        <v>0</v>
      </c>
      <c r="Q282" s="20"/>
      <c r="R282" s="50"/>
    </row>
    <row r="283" spans="1:18" ht="48" hidden="1" thickTop="1" thickBot="1" x14ac:dyDescent="0.25">
      <c r="A283" s="128" t="s">
        <v>1232</v>
      </c>
      <c r="B283" s="128" t="s">
        <v>1213</v>
      </c>
      <c r="C283" s="128" t="s">
        <v>1188</v>
      </c>
      <c r="D283" s="128" t="s">
        <v>1214</v>
      </c>
      <c r="E283" s="127">
        <f>F283</f>
        <v>0</v>
      </c>
      <c r="F283" s="134"/>
      <c r="G283" s="134"/>
      <c r="H283" s="134"/>
      <c r="I283" s="134"/>
      <c r="J283" s="127">
        <f>L283+O283</f>
        <v>0</v>
      </c>
      <c r="K283" s="134"/>
      <c r="L283" s="134"/>
      <c r="M283" s="134"/>
      <c r="N283" s="134"/>
      <c r="O283" s="132">
        <f>K283</f>
        <v>0</v>
      </c>
      <c r="P283" s="127">
        <f>E283+J283</f>
        <v>0</v>
      </c>
      <c r="Q283" s="20"/>
      <c r="R283" s="50"/>
    </row>
    <row r="284" spans="1:18" ht="120" customHeight="1" thickTop="1" thickBot="1" x14ac:dyDescent="0.25">
      <c r="A284" s="661" t="s">
        <v>540</v>
      </c>
      <c r="B284" s="661"/>
      <c r="C284" s="661"/>
      <c r="D284" s="662" t="s">
        <v>559</v>
      </c>
      <c r="E284" s="663">
        <f>E285</f>
        <v>0</v>
      </c>
      <c r="F284" s="664">
        <f t="shared" ref="F284:G284" si="69">F285</f>
        <v>0</v>
      </c>
      <c r="G284" s="664">
        <f t="shared" si="69"/>
        <v>0</v>
      </c>
      <c r="H284" s="664">
        <f>H285</f>
        <v>0</v>
      </c>
      <c r="I284" s="664">
        <f t="shared" ref="I284" si="70">I285</f>
        <v>0</v>
      </c>
      <c r="J284" s="663">
        <f>J285</f>
        <v>0</v>
      </c>
      <c r="K284" s="664">
        <f>K285</f>
        <v>0</v>
      </c>
      <c r="L284" s="664">
        <f>L285</f>
        <v>0</v>
      </c>
      <c r="M284" s="664">
        <f t="shared" ref="M284" si="71">M285</f>
        <v>0</v>
      </c>
      <c r="N284" s="664">
        <f>N285</f>
        <v>0</v>
      </c>
      <c r="O284" s="663">
        <f>O285</f>
        <v>0</v>
      </c>
      <c r="P284" s="664">
        <f>P285</f>
        <v>0</v>
      </c>
      <c r="Q284" s="20"/>
      <c r="R284" s="50"/>
    </row>
    <row r="285" spans="1:18" ht="120" customHeight="1" thickTop="1" thickBot="1" x14ac:dyDescent="0.25">
      <c r="A285" s="658" t="s">
        <v>541</v>
      </c>
      <c r="B285" s="658"/>
      <c r="C285" s="658"/>
      <c r="D285" s="659" t="s">
        <v>560</v>
      </c>
      <c r="E285" s="660">
        <f>E286+E290+E298+E311+E316</f>
        <v>0</v>
      </c>
      <c r="F285" s="660">
        <f>F286+F290+F298+F311+F316</f>
        <v>0</v>
      </c>
      <c r="G285" s="660">
        <f>G286+G290+G298+G311+G316</f>
        <v>0</v>
      </c>
      <c r="H285" s="660">
        <f>H286+H290+H298+H311+H316</f>
        <v>0</v>
      </c>
      <c r="I285" s="660">
        <f>I286+I290+I298+I311+I316</f>
        <v>0</v>
      </c>
      <c r="J285" s="660">
        <f t="shared" ref="J285" si="72">L285+O285</f>
        <v>0</v>
      </c>
      <c r="K285" s="660">
        <f>K286+K290+K298+K311+K316</f>
        <v>0</v>
      </c>
      <c r="L285" s="660">
        <f>L286+L290+L298+L311+L316</f>
        <v>0</v>
      </c>
      <c r="M285" s="660">
        <f>M286+M290+M298+M311+M316</f>
        <v>0</v>
      </c>
      <c r="N285" s="660">
        <f>N286+N290+N298+N311+N316</f>
        <v>0</v>
      </c>
      <c r="O285" s="660">
        <f>O286+O290+O298+O311+O316</f>
        <v>0</v>
      </c>
      <c r="P285" s="660">
        <f>E285+J285</f>
        <v>0</v>
      </c>
      <c r="Q285" s="503" t="b">
        <f>P285=P287+P292+P293+P295+P296+P297+P300+P303+P305+P306+P313+P314</f>
        <v>1</v>
      </c>
      <c r="R285" s="45"/>
    </row>
    <row r="286" spans="1:18" ht="47.25" thickTop="1" thickBot="1" x14ac:dyDescent="0.25">
      <c r="A286" s="311" t="s">
        <v>798</v>
      </c>
      <c r="B286" s="311" t="s">
        <v>684</v>
      </c>
      <c r="C286" s="311"/>
      <c r="D286" s="311" t="s">
        <v>685</v>
      </c>
      <c r="E286" s="328">
        <f>d3М!E281-d3П!E281</f>
        <v>0</v>
      </c>
      <c r="F286" s="328">
        <f>d3М!F281-d3П!F281</f>
        <v>0</v>
      </c>
      <c r="G286" s="328">
        <f>d3М!G281-d3П!G281</f>
        <v>0</v>
      </c>
      <c r="H286" s="328">
        <f>d3М!H281-d3П!H281</f>
        <v>0</v>
      </c>
      <c r="I286" s="328">
        <f>d3М!I281-d3П!I281</f>
        <v>0</v>
      </c>
      <c r="J286" s="328">
        <f>d3М!J281-d3П!J281</f>
        <v>0</v>
      </c>
      <c r="K286" s="328">
        <f>d3М!K281-d3П!K281</f>
        <v>0</v>
      </c>
      <c r="L286" s="328">
        <f>d3М!L281-d3П!L281</f>
        <v>0</v>
      </c>
      <c r="M286" s="328">
        <f>d3М!M281-d3П!M281</f>
        <v>0</v>
      </c>
      <c r="N286" s="328">
        <f>d3М!N281-d3П!N281</f>
        <v>0</v>
      </c>
      <c r="O286" s="328">
        <f>d3М!O281-d3П!O281</f>
        <v>0</v>
      </c>
      <c r="P286" s="328">
        <f>d3М!P281-d3П!P281</f>
        <v>0</v>
      </c>
      <c r="Q286" s="47"/>
      <c r="R286" s="45"/>
    </row>
    <row r="287" spans="1:18" ht="93" thickTop="1" thickBot="1" x14ac:dyDescent="0.25">
      <c r="A287" s="103" t="s">
        <v>542</v>
      </c>
      <c r="B287" s="103" t="s">
        <v>236</v>
      </c>
      <c r="C287" s="103" t="s">
        <v>234</v>
      </c>
      <c r="D287" s="103" t="s">
        <v>235</v>
      </c>
      <c r="E287" s="328">
        <f>d3М!E282-d3П!E282</f>
        <v>0</v>
      </c>
      <c r="F287" s="328">
        <f>d3М!F282-d3П!F282</f>
        <v>0</v>
      </c>
      <c r="G287" s="328">
        <f>d3М!G282-d3П!G282</f>
        <v>0</v>
      </c>
      <c r="H287" s="328">
        <f>d3М!H282-d3П!H282</f>
        <v>0</v>
      </c>
      <c r="I287" s="328">
        <f>d3М!I282-d3П!I282</f>
        <v>0</v>
      </c>
      <c r="J287" s="328">
        <f>d3М!J282-d3П!J282</f>
        <v>0</v>
      </c>
      <c r="K287" s="328">
        <f>d3М!K282-d3П!K282</f>
        <v>0</v>
      </c>
      <c r="L287" s="328">
        <f>d3М!L282-d3П!L282</f>
        <v>0</v>
      </c>
      <c r="M287" s="328">
        <f>d3М!M282-d3П!M282</f>
        <v>0</v>
      </c>
      <c r="N287" s="328">
        <f>d3М!N282-d3П!N282</f>
        <v>0</v>
      </c>
      <c r="O287" s="328">
        <f>d3М!O282-d3П!O282</f>
        <v>0</v>
      </c>
      <c r="P287" s="328">
        <f>d3М!P282-d3П!P282</f>
        <v>0</v>
      </c>
      <c r="Q287" s="20"/>
      <c r="R287" s="45"/>
    </row>
    <row r="288" spans="1:18" ht="93" hidden="1" thickTop="1" thickBot="1" x14ac:dyDescent="0.25">
      <c r="A288" s="128" t="s">
        <v>629</v>
      </c>
      <c r="B288" s="128" t="s">
        <v>362</v>
      </c>
      <c r="C288" s="128" t="s">
        <v>625</v>
      </c>
      <c r="D288" s="128" t="s">
        <v>626</v>
      </c>
      <c r="E288" s="328">
        <f>d3М!E283-d3П!E283</f>
        <v>0</v>
      </c>
      <c r="F288" s="328">
        <f>d3М!F283-d3П!F283</f>
        <v>0</v>
      </c>
      <c r="G288" s="328">
        <f>d3М!G283-d3П!G283</f>
        <v>0</v>
      </c>
      <c r="H288" s="328">
        <f>d3М!H283-d3П!H283</f>
        <v>0</v>
      </c>
      <c r="I288" s="328">
        <f>d3М!I283-d3П!I283</f>
        <v>0</v>
      </c>
      <c r="J288" s="328">
        <f>d3М!J283-d3П!J283</f>
        <v>0</v>
      </c>
      <c r="K288" s="328">
        <f>d3М!K283-d3П!K283</f>
        <v>0</v>
      </c>
      <c r="L288" s="328">
        <f>d3М!L283-d3П!L283</f>
        <v>0</v>
      </c>
      <c r="M288" s="328">
        <f>d3М!M283-d3П!M283</f>
        <v>0</v>
      </c>
      <c r="N288" s="328">
        <f>d3М!N283-d3П!N283</f>
        <v>0</v>
      </c>
      <c r="O288" s="328">
        <f>d3М!O283-d3П!O283</f>
        <v>0</v>
      </c>
      <c r="P288" s="328">
        <f>d3М!P283-d3П!P283</f>
        <v>0</v>
      </c>
      <c r="Q288" s="20"/>
      <c r="R288" s="45"/>
    </row>
    <row r="289" spans="1:18" ht="47.25" hidden="1" thickTop="1" thickBot="1" x14ac:dyDescent="0.25">
      <c r="A289" s="128" t="s">
        <v>543</v>
      </c>
      <c r="B289" s="128" t="s">
        <v>43</v>
      </c>
      <c r="C289" s="128" t="s">
        <v>42</v>
      </c>
      <c r="D289" s="128" t="s">
        <v>248</v>
      </c>
      <c r="E289" s="328">
        <f>d3М!E284-d3П!E284</f>
        <v>0</v>
      </c>
      <c r="F289" s="328">
        <f>d3М!F284-d3П!F284</f>
        <v>0</v>
      </c>
      <c r="G289" s="328">
        <f>d3М!G284-d3П!G284</f>
        <v>0</v>
      </c>
      <c r="H289" s="328">
        <f>d3М!H284-d3П!H284</f>
        <v>0</v>
      </c>
      <c r="I289" s="328">
        <f>d3М!I284-d3П!I284</f>
        <v>0</v>
      </c>
      <c r="J289" s="328">
        <f>d3М!J284-d3П!J284</f>
        <v>0</v>
      </c>
      <c r="K289" s="328">
        <f>d3М!K284-d3П!K284</f>
        <v>0</v>
      </c>
      <c r="L289" s="328">
        <f>d3М!L284-d3П!L284</f>
        <v>0</v>
      </c>
      <c r="M289" s="328">
        <f>d3М!M284-d3П!M284</f>
        <v>0</v>
      </c>
      <c r="N289" s="328">
        <f>d3М!N284-d3П!N284</f>
        <v>0</v>
      </c>
      <c r="O289" s="328">
        <f>d3М!O284-d3П!O284</f>
        <v>0</v>
      </c>
      <c r="P289" s="328">
        <f>d3М!P284-d3П!P284</f>
        <v>0</v>
      </c>
      <c r="Q289" s="20"/>
      <c r="R289" s="50"/>
    </row>
    <row r="290" spans="1:18" ht="47.25" thickTop="1" thickBot="1" x14ac:dyDescent="0.25">
      <c r="A290" s="311" t="s">
        <v>799</v>
      </c>
      <c r="B290" s="311" t="s">
        <v>742</v>
      </c>
      <c r="C290" s="311"/>
      <c r="D290" s="347" t="s">
        <v>743</v>
      </c>
      <c r="E290" s="328">
        <f>d3М!E285-d3П!E285</f>
        <v>0</v>
      </c>
      <c r="F290" s="328">
        <f>d3М!F285-d3П!F285</f>
        <v>0</v>
      </c>
      <c r="G290" s="328">
        <f>d3М!G285-d3П!G285</f>
        <v>0</v>
      </c>
      <c r="H290" s="328">
        <f>d3М!H285-d3П!H285</f>
        <v>0</v>
      </c>
      <c r="I290" s="328">
        <f>d3М!I285-d3П!I285</f>
        <v>0</v>
      </c>
      <c r="J290" s="328">
        <f>d3М!J285-d3П!J285</f>
        <v>0</v>
      </c>
      <c r="K290" s="328">
        <f>d3М!K285-d3П!K285</f>
        <v>0</v>
      </c>
      <c r="L290" s="328">
        <f>d3М!L285-d3П!L285</f>
        <v>0</v>
      </c>
      <c r="M290" s="328">
        <f>d3М!M285-d3П!M285</f>
        <v>0</v>
      </c>
      <c r="N290" s="328">
        <f>d3М!N285-d3П!N285</f>
        <v>0</v>
      </c>
      <c r="O290" s="328">
        <f>d3М!O285-d3П!O285</f>
        <v>0</v>
      </c>
      <c r="P290" s="328">
        <f>d3М!P285-d3П!P285</f>
        <v>0</v>
      </c>
      <c r="Q290" s="20"/>
      <c r="R290" s="50"/>
    </row>
    <row r="291" spans="1:18" ht="93" thickTop="1" thickBot="1" x14ac:dyDescent="0.25">
      <c r="A291" s="329" t="s">
        <v>800</v>
      </c>
      <c r="B291" s="329" t="s">
        <v>791</v>
      </c>
      <c r="C291" s="329"/>
      <c r="D291" s="329" t="s">
        <v>792</v>
      </c>
      <c r="E291" s="328">
        <f>d3М!E286-d3П!E286</f>
        <v>0</v>
      </c>
      <c r="F291" s="328">
        <f>d3М!F286-d3П!F286</f>
        <v>0</v>
      </c>
      <c r="G291" s="328">
        <f>d3М!G286-d3П!G286</f>
        <v>0</v>
      </c>
      <c r="H291" s="328">
        <f>d3М!H286-d3П!H286</f>
        <v>0</v>
      </c>
      <c r="I291" s="328">
        <f>d3М!I286-d3П!I286</f>
        <v>0</v>
      </c>
      <c r="J291" s="328">
        <f>d3М!J286-d3П!J286</f>
        <v>0</v>
      </c>
      <c r="K291" s="328">
        <f>d3М!K286-d3П!K286</f>
        <v>0</v>
      </c>
      <c r="L291" s="328">
        <f>d3М!L286-d3П!L286</f>
        <v>0</v>
      </c>
      <c r="M291" s="328">
        <f>d3М!M286-d3П!M286</f>
        <v>0</v>
      </c>
      <c r="N291" s="328">
        <f>d3М!N286-d3П!N286</f>
        <v>0</v>
      </c>
      <c r="O291" s="328">
        <f>d3М!O286-d3П!O286</f>
        <v>0</v>
      </c>
      <c r="P291" s="328">
        <f>d3М!P286-d3П!P286</f>
        <v>0</v>
      </c>
      <c r="Q291" s="20"/>
      <c r="R291" s="50"/>
    </row>
    <row r="292" spans="1:18" ht="93" thickTop="1" thickBot="1" x14ac:dyDescent="0.25">
      <c r="A292" s="103" t="s">
        <v>544</v>
      </c>
      <c r="B292" s="103" t="s">
        <v>376</v>
      </c>
      <c r="C292" s="103" t="s">
        <v>283</v>
      </c>
      <c r="D292" s="103" t="s">
        <v>377</v>
      </c>
      <c r="E292" s="328">
        <f>d3М!E287-d3П!E287</f>
        <v>0</v>
      </c>
      <c r="F292" s="328">
        <f>d3М!F287-d3П!F287</f>
        <v>0</v>
      </c>
      <c r="G292" s="328">
        <f>d3М!G287-d3П!G287</f>
        <v>0</v>
      </c>
      <c r="H292" s="328">
        <f>d3М!H287-d3П!H287</f>
        <v>0</v>
      </c>
      <c r="I292" s="328">
        <f>d3М!I287-d3П!I287</f>
        <v>0</v>
      </c>
      <c r="J292" s="328">
        <f>d3М!J287-d3П!J287</f>
        <v>0</v>
      </c>
      <c r="K292" s="328">
        <f>d3М!K287-d3П!K287</f>
        <v>0</v>
      </c>
      <c r="L292" s="328">
        <f>d3М!L287-d3П!L287</f>
        <v>0</v>
      </c>
      <c r="M292" s="328">
        <f>d3М!M287-d3П!M287</f>
        <v>0</v>
      </c>
      <c r="N292" s="328">
        <f>d3М!N287-d3П!N287</f>
        <v>0</v>
      </c>
      <c r="O292" s="328">
        <f>d3М!O287-d3П!O287</f>
        <v>0</v>
      </c>
      <c r="P292" s="328">
        <f>d3М!P287-d3П!P287</f>
        <v>0</v>
      </c>
      <c r="Q292" s="20"/>
      <c r="R292" s="50"/>
    </row>
    <row r="293" spans="1:18" ht="47.25" thickTop="1" thickBot="1" x14ac:dyDescent="0.25">
      <c r="A293" s="103" t="s">
        <v>545</v>
      </c>
      <c r="B293" s="103" t="s">
        <v>286</v>
      </c>
      <c r="C293" s="103" t="s">
        <v>283</v>
      </c>
      <c r="D293" s="103" t="s">
        <v>287</v>
      </c>
      <c r="E293" s="328">
        <f>d3М!E288-d3П!E288</f>
        <v>0</v>
      </c>
      <c r="F293" s="328">
        <f>d3М!F288-d3П!F288</f>
        <v>0</v>
      </c>
      <c r="G293" s="328">
        <f>d3М!G288-d3П!G288</f>
        <v>0</v>
      </c>
      <c r="H293" s="328">
        <f>d3М!H288-d3П!H288</f>
        <v>0</v>
      </c>
      <c r="I293" s="328">
        <f>d3М!I288-d3П!I288</f>
        <v>0</v>
      </c>
      <c r="J293" s="328">
        <f>d3М!J288-d3П!J288</f>
        <v>0</v>
      </c>
      <c r="K293" s="328">
        <f>d3М!K288-d3П!K288</f>
        <v>0</v>
      </c>
      <c r="L293" s="328">
        <f>d3М!L288-d3П!L288</f>
        <v>0</v>
      </c>
      <c r="M293" s="328">
        <f>d3М!M288-d3П!M288</f>
        <v>0</v>
      </c>
      <c r="N293" s="328">
        <f>d3М!N288-d3П!N288</f>
        <v>0</v>
      </c>
      <c r="O293" s="328">
        <f>d3М!O288-d3П!O288</f>
        <v>0</v>
      </c>
      <c r="P293" s="328">
        <f>d3М!P288-d3П!P288</f>
        <v>0</v>
      </c>
      <c r="Q293" s="20"/>
      <c r="R293" s="50"/>
    </row>
    <row r="294" spans="1:18" ht="93" hidden="1" thickTop="1" thickBot="1" x14ac:dyDescent="0.25">
      <c r="A294" s="128" t="s">
        <v>1410</v>
      </c>
      <c r="B294" s="128" t="s">
        <v>1411</v>
      </c>
      <c r="C294" s="128" t="s">
        <v>283</v>
      </c>
      <c r="D294" s="128" t="s">
        <v>1412</v>
      </c>
      <c r="E294" s="328">
        <f>d3М!E289-d3П!E289</f>
        <v>0</v>
      </c>
      <c r="F294" s="328">
        <f>d3М!F289-d3П!F289</f>
        <v>0</v>
      </c>
      <c r="G294" s="328">
        <f>d3М!G289-d3П!G289</f>
        <v>0</v>
      </c>
      <c r="H294" s="328">
        <f>d3М!H289-d3П!H289</f>
        <v>0</v>
      </c>
      <c r="I294" s="328">
        <f>d3М!I289-d3П!I289</f>
        <v>0</v>
      </c>
      <c r="J294" s="328">
        <f>d3М!J289-d3П!J289</f>
        <v>0</v>
      </c>
      <c r="K294" s="328">
        <f>d3М!K289-d3П!K289</f>
        <v>0</v>
      </c>
      <c r="L294" s="328">
        <f>d3М!L289-d3П!L289</f>
        <v>0</v>
      </c>
      <c r="M294" s="328">
        <f>d3М!M289-d3П!M289</f>
        <v>0</v>
      </c>
      <c r="N294" s="328">
        <f>d3М!N289-d3П!N289</f>
        <v>0</v>
      </c>
      <c r="O294" s="328">
        <f>d3М!O289-d3П!O289</f>
        <v>0</v>
      </c>
      <c r="P294" s="328">
        <f>d3М!P289-d3П!P289</f>
        <v>0</v>
      </c>
      <c r="Q294" s="20"/>
      <c r="R294" s="50"/>
    </row>
    <row r="295" spans="1:18" ht="93" thickTop="1" thickBot="1" x14ac:dyDescent="0.25">
      <c r="A295" s="103" t="s">
        <v>546</v>
      </c>
      <c r="B295" s="103" t="s">
        <v>297</v>
      </c>
      <c r="C295" s="103" t="s">
        <v>283</v>
      </c>
      <c r="D295" s="103" t="s">
        <v>298</v>
      </c>
      <c r="E295" s="328">
        <f>d3М!E290-d3П!E290</f>
        <v>0</v>
      </c>
      <c r="F295" s="328">
        <f>d3М!F290-d3П!F290</f>
        <v>0</v>
      </c>
      <c r="G295" s="328">
        <f>d3М!G290-d3П!G290</f>
        <v>0</v>
      </c>
      <c r="H295" s="328">
        <f>d3М!H290-d3П!H290</f>
        <v>0</v>
      </c>
      <c r="I295" s="328">
        <f>d3М!I290-d3П!I290</f>
        <v>0</v>
      </c>
      <c r="J295" s="328">
        <f>d3М!J290-d3П!J290</f>
        <v>0</v>
      </c>
      <c r="K295" s="328">
        <f>d3М!K290-d3П!K290</f>
        <v>0</v>
      </c>
      <c r="L295" s="328">
        <f>d3М!L290-d3П!L290</f>
        <v>0</v>
      </c>
      <c r="M295" s="328">
        <f>d3М!M290-d3П!M290</f>
        <v>0</v>
      </c>
      <c r="N295" s="328">
        <f>d3М!N290-d3П!N290</f>
        <v>0</v>
      </c>
      <c r="O295" s="328">
        <f>d3М!O290-d3П!O290</f>
        <v>0</v>
      </c>
      <c r="P295" s="328">
        <f>d3М!P290-d3П!P290</f>
        <v>0</v>
      </c>
      <c r="Q295" s="20"/>
      <c r="R295" s="50"/>
    </row>
    <row r="296" spans="1:18" ht="47.25" thickTop="1" thickBot="1" x14ac:dyDescent="0.25">
      <c r="A296" s="103" t="s">
        <v>547</v>
      </c>
      <c r="B296" s="103" t="s">
        <v>289</v>
      </c>
      <c r="C296" s="103" t="s">
        <v>283</v>
      </c>
      <c r="D296" s="103" t="s">
        <v>290</v>
      </c>
      <c r="E296" s="328">
        <f>d3М!E291-d3П!E291</f>
        <v>0</v>
      </c>
      <c r="F296" s="328">
        <f>d3М!F291-d3П!F291</f>
        <v>0</v>
      </c>
      <c r="G296" s="328">
        <f>d3М!G291-d3П!G291</f>
        <v>0</v>
      </c>
      <c r="H296" s="328">
        <f>d3М!H291-d3П!H291</f>
        <v>0</v>
      </c>
      <c r="I296" s="328">
        <f>d3М!I291-d3П!I291</f>
        <v>0</v>
      </c>
      <c r="J296" s="328">
        <f>d3М!J291-d3П!J291</f>
        <v>0</v>
      </c>
      <c r="K296" s="328">
        <f>d3М!K291-d3П!K291</f>
        <v>0</v>
      </c>
      <c r="L296" s="328">
        <f>d3М!L291-d3П!L291</f>
        <v>0</v>
      </c>
      <c r="M296" s="328">
        <f>d3М!M291-d3П!M291</f>
        <v>0</v>
      </c>
      <c r="N296" s="328">
        <f>d3М!N291-d3П!N291</f>
        <v>0</v>
      </c>
      <c r="O296" s="328">
        <f>d3М!O291-d3П!O291</f>
        <v>0</v>
      </c>
      <c r="P296" s="328">
        <f>d3М!P291-d3П!P291</f>
        <v>0</v>
      </c>
      <c r="Q296" s="20"/>
      <c r="R296" s="45"/>
    </row>
    <row r="297" spans="1:18" ht="47.25" thickTop="1" thickBot="1" x14ac:dyDescent="0.25">
      <c r="A297" s="103" t="s">
        <v>1148</v>
      </c>
      <c r="B297" s="103" t="s">
        <v>1149</v>
      </c>
      <c r="C297" s="103" t="s">
        <v>1150</v>
      </c>
      <c r="D297" s="103" t="s">
        <v>1147</v>
      </c>
      <c r="E297" s="328">
        <f>d3М!E292-d3П!E292</f>
        <v>0</v>
      </c>
      <c r="F297" s="328">
        <f>d3М!F292-d3П!F292</f>
        <v>0</v>
      </c>
      <c r="G297" s="328">
        <f>d3М!G292-d3П!G292</f>
        <v>0</v>
      </c>
      <c r="H297" s="328">
        <f>d3М!H292-d3П!H292</f>
        <v>0</v>
      </c>
      <c r="I297" s="328">
        <f>d3М!I292-d3П!I292</f>
        <v>0</v>
      </c>
      <c r="J297" s="328">
        <f>d3М!J292-d3П!J292</f>
        <v>0</v>
      </c>
      <c r="K297" s="328">
        <f>d3М!K292-d3П!K292</f>
        <v>0</v>
      </c>
      <c r="L297" s="328">
        <f>d3М!L292-d3П!L292</f>
        <v>0</v>
      </c>
      <c r="M297" s="328">
        <f>d3М!M292-d3П!M292</f>
        <v>0</v>
      </c>
      <c r="N297" s="328">
        <f>d3М!N292-d3П!N292</f>
        <v>0</v>
      </c>
      <c r="O297" s="328">
        <f>d3М!O292-d3П!O292</f>
        <v>0</v>
      </c>
      <c r="P297" s="328">
        <f>d3М!P292-d3П!P292</f>
        <v>0</v>
      </c>
      <c r="Q297" s="20"/>
      <c r="R297" s="45"/>
    </row>
    <row r="298" spans="1:18" ht="47.25" thickTop="1" thickBot="1" x14ac:dyDescent="0.25">
      <c r="A298" s="311" t="s">
        <v>801</v>
      </c>
      <c r="B298" s="311" t="s">
        <v>748</v>
      </c>
      <c r="C298" s="311"/>
      <c r="D298" s="311" t="s">
        <v>749</v>
      </c>
      <c r="E298" s="328">
        <f>d3М!E293-d3П!E293</f>
        <v>0</v>
      </c>
      <c r="F298" s="328">
        <f>d3М!F293-d3П!F293</f>
        <v>0</v>
      </c>
      <c r="G298" s="328">
        <f>d3М!G293-d3П!G293</f>
        <v>0</v>
      </c>
      <c r="H298" s="328">
        <f>d3М!H293-d3П!H293</f>
        <v>0</v>
      </c>
      <c r="I298" s="328">
        <f>d3М!I293-d3П!I293</f>
        <v>0</v>
      </c>
      <c r="J298" s="328">
        <f>d3М!J293-d3П!J293</f>
        <v>0</v>
      </c>
      <c r="K298" s="328">
        <f>d3М!K293-d3П!K293</f>
        <v>0</v>
      </c>
      <c r="L298" s="328">
        <f>d3М!L293-d3П!L293</f>
        <v>0</v>
      </c>
      <c r="M298" s="328">
        <f>d3М!M293-d3П!M293</f>
        <v>0</v>
      </c>
      <c r="N298" s="328">
        <f>d3М!N293-d3П!N293</f>
        <v>0</v>
      </c>
      <c r="O298" s="328">
        <f>d3М!O293-d3П!O293</f>
        <v>0</v>
      </c>
      <c r="P298" s="328">
        <f>d3М!P293-d3П!P293</f>
        <v>0</v>
      </c>
      <c r="Q298" s="20"/>
      <c r="R298" s="50"/>
    </row>
    <row r="299" spans="1:18" ht="47.25" thickTop="1" thickBot="1" x14ac:dyDescent="0.25">
      <c r="A299" s="698" t="s">
        <v>802</v>
      </c>
      <c r="B299" s="698" t="s">
        <v>803</v>
      </c>
      <c r="C299" s="698"/>
      <c r="D299" s="698" t="s">
        <v>804</v>
      </c>
      <c r="E299" s="328">
        <f>d3М!E294-d3П!E294</f>
        <v>0</v>
      </c>
      <c r="F299" s="328">
        <f>d3М!F294-d3П!F294</f>
        <v>0</v>
      </c>
      <c r="G299" s="328">
        <f>d3М!G294-d3П!G294</f>
        <v>0</v>
      </c>
      <c r="H299" s="328">
        <f>d3М!H294-d3П!H294</f>
        <v>0</v>
      </c>
      <c r="I299" s="328">
        <f>d3М!I294-d3П!I294</f>
        <v>0</v>
      </c>
      <c r="J299" s="328">
        <f>d3М!J294-d3П!J294</f>
        <v>0</v>
      </c>
      <c r="K299" s="328">
        <f>d3М!K294-d3П!K294</f>
        <v>0</v>
      </c>
      <c r="L299" s="328">
        <f>d3М!L294-d3П!L294</f>
        <v>0</v>
      </c>
      <c r="M299" s="328">
        <f>d3М!M294-d3П!M294</f>
        <v>0</v>
      </c>
      <c r="N299" s="328">
        <f>d3М!N294-d3П!N294</f>
        <v>0</v>
      </c>
      <c r="O299" s="328">
        <f>d3М!O294-d3П!O294</f>
        <v>0</v>
      </c>
      <c r="P299" s="328">
        <f>d3М!P294-d3П!P294</f>
        <v>0</v>
      </c>
      <c r="Q299" s="20"/>
      <c r="R299" s="50"/>
    </row>
    <row r="300" spans="1:18" ht="54" thickTop="1" thickBot="1" x14ac:dyDescent="0.25">
      <c r="A300" s="695" t="s">
        <v>548</v>
      </c>
      <c r="B300" s="695" t="s">
        <v>305</v>
      </c>
      <c r="C300" s="695" t="s">
        <v>304</v>
      </c>
      <c r="D300" s="695" t="s">
        <v>1502</v>
      </c>
      <c r="E300" s="328">
        <f>d3М!E295-d3П!E295</f>
        <v>0</v>
      </c>
      <c r="F300" s="328">
        <f>d3М!F295-d3П!F295</f>
        <v>0</v>
      </c>
      <c r="G300" s="328">
        <f>d3М!G295-d3П!G295</f>
        <v>0</v>
      </c>
      <c r="H300" s="328">
        <f>d3М!H295-d3П!H295</f>
        <v>0</v>
      </c>
      <c r="I300" s="328">
        <f>d3М!I295-d3П!I295</f>
        <v>0</v>
      </c>
      <c r="J300" s="328">
        <f>d3М!J295-d3П!J295</f>
        <v>0</v>
      </c>
      <c r="K300" s="328">
        <f>d3М!K295-d3П!K295</f>
        <v>0</v>
      </c>
      <c r="L300" s="328">
        <f>d3М!L295-d3П!L295</f>
        <v>0</v>
      </c>
      <c r="M300" s="328">
        <f>d3М!M295-d3П!M295</f>
        <v>0</v>
      </c>
      <c r="N300" s="328">
        <f>d3М!N295-d3П!N295</f>
        <v>0</v>
      </c>
      <c r="O300" s="328">
        <f>d3М!O295-d3П!O295</f>
        <v>0</v>
      </c>
      <c r="P300" s="328">
        <f>d3М!P295-d3П!P295</f>
        <v>0</v>
      </c>
      <c r="Q300" s="20"/>
      <c r="R300" s="45"/>
    </row>
    <row r="301" spans="1:18" ht="47.25" thickTop="1" thickBot="1" x14ac:dyDescent="0.25">
      <c r="A301" s="313" t="s">
        <v>805</v>
      </c>
      <c r="B301" s="313" t="s">
        <v>806</v>
      </c>
      <c r="C301" s="313"/>
      <c r="D301" s="313" t="s">
        <v>807</v>
      </c>
      <c r="E301" s="328">
        <f>d3М!E296-d3П!E296</f>
        <v>0</v>
      </c>
      <c r="F301" s="328">
        <f>d3М!F296-d3П!F296</f>
        <v>0</v>
      </c>
      <c r="G301" s="328">
        <f>d3М!G296-d3П!G296</f>
        <v>0</v>
      </c>
      <c r="H301" s="328">
        <f>d3М!H296-d3П!H296</f>
        <v>0</v>
      </c>
      <c r="I301" s="328">
        <f>d3М!I296-d3П!I296</f>
        <v>0</v>
      </c>
      <c r="J301" s="328">
        <f>d3М!J296-d3П!J296</f>
        <v>0</v>
      </c>
      <c r="K301" s="328">
        <f>d3М!K296-d3П!K296</f>
        <v>0</v>
      </c>
      <c r="L301" s="328">
        <f>d3М!L296-d3П!L296</f>
        <v>0</v>
      </c>
      <c r="M301" s="328">
        <f>d3М!M296-d3П!M296</f>
        <v>0</v>
      </c>
      <c r="N301" s="328">
        <f>d3М!N296-d3П!N296</f>
        <v>0</v>
      </c>
      <c r="O301" s="328">
        <f>d3М!O296-d3П!O296</f>
        <v>0</v>
      </c>
      <c r="P301" s="328">
        <f>d3М!P296-d3П!P296</f>
        <v>0</v>
      </c>
      <c r="Q301" s="20"/>
      <c r="R301" s="50"/>
    </row>
    <row r="302" spans="1:18" ht="47.25" thickTop="1" thickBot="1" x14ac:dyDescent="0.25">
      <c r="A302" s="103" t="s">
        <v>957</v>
      </c>
      <c r="B302" s="329" t="s">
        <v>958</v>
      </c>
      <c r="C302" s="313"/>
      <c r="D302" s="329" t="s">
        <v>959</v>
      </c>
      <c r="E302" s="328">
        <f>d3М!E297-d3П!E297</f>
        <v>0</v>
      </c>
      <c r="F302" s="328">
        <f>d3М!F297-d3П!F297</f>
        <v>0</v>
      </c>
      <c r="G302" s="328">
        <f>d3М!G297-d3П!G297</f>
        <v>0</v>
      </c>
      <c r="H302" s="328">
        <f>d3М!H297-d3П!H297</f>
        <v>0</v>
      </c>
      <c r="I302" s="328">
        <f>d3М!I297-d3П!I297</f>
        <v>0</v>
      </c>
      <c r="J302" s="328">
        <f>d3М!J297-d3П!J297</f>
        <v>0</v>
      </c>
      <c r="K302" s="328">
        <f>d3М!K297-d3П!K297</f>
        <v>0</v>
      </c>
      <c r="L302" s="328">
        <f>d3М!L297-d3П!L297</f>
        <v>0</v>
      </c>
      <c r="M302" s="328">
        <f>d3М!M297-d3П!M297</f>
        <v>0</v>
      </c>
      <c r="N302" s="328">
        <f>d3М!N297-d3П!N297</f>
        <v>0</v>
      </c>
      <c r="O302" s="328">
        <f>d3М!O297-d3П!O297</f>
        <v>0</v>
      </c>
      <c r="P302" s="328">
        <f>d3М!P297-d3П!P297</f>
        <v>0</v>
      </c>
      <c r="Q302" s="20"/>
      <c r="R302" s="50"/>
    </row>
    <row r="303" spans="1:18" ht="93" thickTop="1" thickBot="1" x14ac:dyDescent="0.25">
      <c r="A303" s="103" t="s">
        <v>549</v>
      </c>
      <c r="B303" s="103" t="s">
        <v>293</v>
      </c>
      <c r="C303" s="103" t="s">
        <v>295</v>
      </c>
      <c r="D303" s="103" t="s">
        <v>294</v>
      </c>
      <c r="E303" s="328">
        <f>d3М!E298-d3П!E298</f>
        <v>0</v>
      </c>
      <c r="F303" s="328">
        <f>d3М!F298-d3П!F298</f>
        <v>0</v>
      </c>
      <c r="G303" s="328">
        <f>d3М!G298-d3П!G298</f>
        <v>0</v>
      </c>
      <c r="H303" s="328">
        <f>d3М!H298-d3П!H298</f>
        <v>0</v>
      </c>
      <c r="I303" s="328">
        <f>d3М!I298-d3П!I298</f>
        <v>0</v>
      </c>
      <c r="J303" s="328">
        <f>d3М!J298-d3П!J298</f>
        <v>0</v>
      </c>
      <c r="K303" s="328">
        <f>d3М!K298-d3П!K298</f>
        <v>0</v>
      </c>
      <c r="L303" s="328">
        <f>d3М!L298-d3П!L298</f>
        <v>0</v>
      </c>
      <c r="M303" s="328">
        <f>d3М!M298-d3П!M298</f>
        <v>0</v>
      </c>
      <c r="N303" s="328">
        <f>d3М!N298-d3П!N298</f>
        <v>0</v>
      </c>
      <c r="O303" s="328">
        <f>d3М!O298-d3П!O298</f>
        <v>0</v>
      </c>
      <c r="P303" s="328">
        <f>d3М!P298-d3П!P298</f>
        <v>0</v>
      </c>
      <c r="Q303" s="20"/>
      <c r="R303" s="45"/>
    </row>
    <row r="304" spans="1:18" ht="47.25" thickTop="1" thickBot="1" x14ac:dyDescent="0.25">
      <c r="A304" s="313" t="s">
        <v>808</v>
      </c>
      <c r="B304" s="313" t="s">
        <v>691</v>
      </c>
      <c r="C304" s="313"/>
      <c r="D304" s="313" t="s">
        <v>689</v>
      </c>
      <c r="E304" s="328">
        <f>d3М!E299-d3П!E299</f>
        <v>0</v>
      </c>
      <c r="F304" s="328">
        <f>d3М!F299-d3П!F299</f>
        <v>0</v>
      </c>
      <c r="G304" s="328">
        <f>d3М!G299-d3П!G299</f>
        <v>0</v>
      </c>
      <c r="H304" s="328">
        <f>d3М!H299-d3П!H299</f>
        <v>0</v>
      </c>
      <c r="I304" s="328">
        <f>d3М!I299-d3П!I299</f>
        <v>0</v>
      </c>
      <c r="J304" s="328">
        <f>d3М!J299-d3П!J299</f>
        <v>0</v>
      </c>
      <c r="K304" s="328">
        <f>d3М!K299-d3П!K299</f>
        <v>0</v>
      </c>
      <c r="L304" s="328">
        <f>d3М!L299-d3П!L299</f>
        <v>0</v>
      </c>
      <c r="M304" s="328">
        <f>d3М!M299-d3П!M299</f>
        <v>0</v>
      </c>
      <c r="N304" s="328">
        <f>d3М!N299-d3П!N299</f>
        <v>0</v>
      </c>
      <c r="O304" s="328">
        <f>d3М!O299-d3П!O299</f>
        <v>0</v>
      </c>
      <c r="P304" s="328">
        <f>d3М!P299-d3П!P299</f>
        <v>0</v>
      </c>
      <c r="Q304" s="20"/>
      <c r="R304" s="45"/>
    </row>
    <row r="305" spans="1:18" ht="47.25" thickTop="1" thickBot="1" x14ac:dyDescent="0.25">
      <c r="A305" s="103" t="s">
        <v>550</v>
      </c>
      <c r="B305" s="103" t="s">
        <v>212</v>
      </c>
      <c r="C305" s="103" t="s">
        <v>213</v>
      </c>
      <c r="D305" s="103" t="s">
        <v>41</v>
      </c>
      <c r="E305" s="328">
        <f>d3М!E300-d3П!E300</f>
        <v>0</v>
      </c>
      <c r="F305" s="328">
        <f>d3М!F300-d3П!F300</f>
        <v>0</v>
      </c>
      <c r="G305" s="328">
        <f>d3М!G300-d3П!G300</f>
        <v>0</v>
      </c>
      <c r="H305" s="328">
        <f>d3М!H300-d3П!H300</f>
        <v>0</v>
      </c>
      <c r="I305" s="328">
        <f>d3М!I300-d3П!I300</f>
        <v>0</v>
      </c>
      <c r="J305" s="328">
        <f>d3М!J300-d3П!J300</f>
        <v>0</v>
      </c>
      <c r="K305" s="328">
        <f>d3М!K300-d3П!K300</f>
        <v>0</v>
      </c>
      <c r="L305" s="328">
        <f>d3М!L300-d3П!L300</f>
        <v>0</v>
      </c>
      <c r="M305" s="328">
        <f>d3М!M300-d3П!M300</f>
        <v>0</v>
      </c>
      <c r="N305" s="328">
        <f>d3М!N300-d3П!N300</f>
        <v>0</v>
      </c>
      <c r="O305" s="328">
        <f>d3М!O300-d3П!O300</f>
        <v>0</v>
      </c>
      <c r="P305" s="328">
        <f>d3М!P300-d3П!P300</f>
        <v>0</v>
      </c>
      <c r="Q305" s="20"/>
      <c r="R305" s="45"/>
    </row>
    <row r="306" spans="1:18" ht="47.25" thickTop="1" thickBot="1" x14ac:dyDescent="0.25">
      <c r="A306" s="103" t="s">
        <v>551</v>
      </c>
      <c r="B306" s="103" t="s">
        <v>197</v>
      </c>
      <c r="C306" s="103" t="s">
        <v>170</v>
      </c>
      <c r="D306" s="103" t="s">
        <v>34</v>
      </c>
      <c r="E306" s="328">
        <f>d3М!E301-d3П!E301</f>
        <v>0</v>
      </c>
      <c r="F306" s="328">
        <f>d3М!F301-d3П!F301</f>
        <v>0</v>
      </c>
      <c r="G306" s="328">
        <f>d3М!G301-d3П!G301</f>
        <v>0</v>
      </c>
      <c r="H306" s="328">
        <f>d3М!H301-d3П!H301</f>
        <v>0</v>
      </c>
      <c r="I306" s="328">
        <f>d3М!I301-d3П!I301</f>
        <v>0</v>
      </c>
      <c r="J306" s="328">
        <f>d3М!J301-d3П!J301</f>
        <v>0</v>
      </c>
      <c r="K306" s="328">
        <f>d3М!K301-d3П!K301</f>
        <v>0</v>
      </c>
      <c r="L306" s="328">
        <f>d3М!L301-d3П!L301</f>
        <v>0</v>
      </c>
      <c r="M306" s="328">
        <f>d3М!M301-d3П!M301</f>
        <v>0</v>
      </c>
      <c r="N306" s="328">
        <f>d3М!N301-d3П!N301</f>
        <v>0</v>
      </c>
      <c r="O306" s="328">
        <f>d3М!O301-d3П!O301</f>
        <v>0</v>
      </c>
      <c r="P306" s="328">
        <f>d3М!P301-d3П!P301</f>
        <v>0</v>
      </c>
      <c r="Q306" s="20"/>
      <c r="R306" s="45"/>
    </row>
    <row r="307" spans="1:18" ht="48" hidden="1" customHeight="1" thickTop="1" thickBot="1" x14ac:dyDescent="0.25">
      <c r="A307" s="329" t="s">
        <v>809</v>
      </c>
      <c r="B307" s="329" t="s">
        <v>694</v>
      </c>
      <c r="C307" s="140"/>
      <c r="D307" s="140" t="s">
        <v>797</v>
      </c>
      <c r="E307" s="328">
        <f>d3М!E302-d3П!E302</f>
        <v>0</v>
      </c>
      <c r="F307" s="328">
        <f>d3М!F302-d3П!F302</f>
        <v>0</v>
      </c>
      <c r="G307" s="328">
        <f>d3М!G302-d3П!G302</f>
        <v>0</v>
      </c>
      <c r="H307" s="328">
        <f>d3М!H302-d3П!H302</f>
        <v>0</v>
      </c>
      <c r="I307" s="328">
        <f>d3М!I302-d3П!I302</f>
        <v>0</v>
      </c>
      <c r="J307" s="328">
        <f>d3М!J302-d3П!J302</f>
        <v>0</v>
      </c>
      <c r="K307" s="328">
        <f>d3М!K302-d3П!K302</f>
        <v>0</v>
      </c>
      <c r="L307" s="328">
        <f>d3М!L302-d3П!L302</f>
        <v>0</v>
      </c>
      <c r="M307" s="328">
        <f>d3М!M302-d3П!M302</f>
        <v>0</v>
      </c>
      <c r="N307" s="328">
        <f>d3М!N302-d3П!N302</f>
        <v>0</v>
      </c>
      <c r="O307" s="328">
        <f>d3М!O302-d3П!O302</f>
        <v>0</v>
      </c>
      <c r="P307" s="328">
        <f>d3М!P302-d3П!P302</f>
        <v>0</v>
      </c>
      <c r="Q307" s="20"/>
      <c r="R307" s="50"/>
    </row>
    <row r="308" spans="1:18" ht="211.5" hidden="1" customHeight="1" thickTop="1" thickBot="1" x14ac:dyDescent="0.7">
      <c r="A308" s="796" t="s">
        <v>552</v>
      </c>
      <c r="B308" s="796" t="s">
        <v>338</v>
      </c>
      <c r="C308" s="797" t="s">
        <v>170</v>
      </c>
      <c r="D308" s="155" t="s">
        <v>440</v>
      </c>
      <c r="E308" s="328">
        <f>d3М!E303-d3П!E303</f>
        <v>0</v>
      </c>
      <c r="F308" s="328">
        <f>d3М!F303-d3П!F303</f>
        <v>0</v>
      </c>
      <c r="G308" s="328">
        <f>d3М!G303-d3П!G303</f>
        <v>0</v>
      </c>
      <c r="H308" s="328">
        <f>d3М!H303-d3П!H303</f>
        <v>0</v>
      </c>
      <c r="I308" s="328">
        <f>d3М!I303-d3П!I303</f>
        <v>0</v>
      </c>
      <c r="J308" s="328">
        <f>d3М!J303-d3П!J303</f>
        <v>0</v>
      </c>
      <c r="K308" s="328">
        <f>d3М!K303-d3П!K303</f>
        <v>0</v>
      </c>
      <c r="L308" s="328">
        <f>d3М!L303-d3П!L303</f>
        <v>0</v>
      </c>
      <c r="M308" s="328">
        <f>d3М!M303-d3П!M303</f>
        <v>0</v>
      </c>
      <c r="N308" s="328">
        <f>d3М!N303-d3П!N303</f>
        <v>0</v>
      </c>
      <c r="O308" s="328">
        <f>d3М!O303-d3П!O303</f>
        <v>0</v>
      </c>
      <c r="P308" s="328">
        <f>d3М!P303-d3П!P303</f>
        <v>0</v>
      </c>
      <c r="Q308" s="20"/>
      <c r="R308" s="50"/>
    </row>
    <row r="309" spans="1:18" ht="130.5" hidden="1" customHeight="1" thickTop="1" thickBot="1" x14ac:dyDescent="0.25">
      <c r="A309" s="796"/>
      <c r="B309" s="796"/>
      <c r="C309" s="797"/>
      <c r="D309" s="156" t="s">
        <v>441</v>
      </c>
      <c r="E309" s="328">
        <f>d3М!E304-d3П!E304</f>
        <v>0</v>
      </c>
      <c r="F309" s="328">
        <f>d3М!F304-d3П!F304</f>
        <v>0</v>
      </c>
      <c r="G309" s="328">
        <f>d3М!G304-d3П!G304</f>
        <v>0</v>
      </c>
      <c r="H309" s="328">
        <f>d3М!H304-d3П!H304</f>
        <v>0</v>
      </c>
      <c r="I309" s="328">
        <f>d3М!I304-d3П!I304</f>
        <v>0</v>
      </c>
      <c r="J309" s="328">
        <f>d3М!J304-d3П!J304</f>
        <v>0</v>
      </c>
      <c r="K309" s="328">
        <f>d3М!K304-d3П!K304</f>
        <v>0</v>
      </c>
      <c r="L309" s="328">
        <f>d3М!L304-d3П!L304</f>
        <v>0</v>
      </c>
      <c r="M309" s="328">
        <f>d3М!M304-d3П!M304</f>
        <v>0</v>
      </c>
      <c r="N309" s="328">
        <f>d3М!N304-d3П!N304</f>
        <v>0</v>
      </c>
      <c r="O309" s="328">
        <f>d3М!O304-d3П!O304</f>
        <v>0</v>
      </c>
      <c r="P309" s="328">
        <f>d3М!P304-d3П!P304</f>
        <v>0</v>
      </c>
      <c r="Q309" s="20"/>
      <c r="R309" s="50"/>
    </row>
    <row r="310" spans="1:18" ht="39" hidden="1" customHeight="1" thickTop="1" thickBot="1" x14ac:dyDescent="0.25">
      <c r="A310" s="103" t="s">
        <v>1183</v>
      </c>
      <c r="B310" s="103" t="s">
        <v>257</v>
      </c>
      <c r="C310" s="128" t="s">
        <v>170</v>
      </c>
      <c r="D310" s="156" t="s">
        <v>255</v>
      </c>
      <c r="E310" s="328">
        <f>d3М!E305-d3П!E305</f>
        <v>0</v>
      </c>
      <c r="F310" s="328">
        <f>d3М!F305-d3П!F305</f>
        <v>0</v>
      </c>
      <c r="G310" s="328">
        <f>d3М!G305-d3П!G305</f>
        <v>0</v>
      </c>
      <c r="H310" s="328">
        <f>d3М!H305-d3П!H305</f>
        <v>0</v>
      </c>
      <c r="I310" s="328">
        <f>d3М!I305-d3П!I305</f>
        <v>0</v>
      </c>
      <c r="J310" s="328">
        <f>d3М!J305-d3П!J305</f>
        <v>0</v>
      </c>
      <c r="K310" s="328">
        <f>d3М!K305-d3П!K305</f>
        <v>0</v>
      </c>
      <c r="L310" s="328">
        <f>d3М!L305-d3П!L305</f>
        <v>0</v>
      </c>
      <c r="M310" s="328">
        <f>d3М!M305-d3П!M305</f>
        <v>0</v>
      </c>
      <c r="N310" s="328">
        <f>d3М!N305-d3П!N305</f>
        <v>0</v>
      </c>
      <c r="O310" s="328">
        <f>d3М!O305-d3П!O305</f>
        <v>0</v>
      </c>
      <c r="P310" s="328">
        <f>d3М!P305-d3П!P305</f>
        <v>0</v>
      </c>
      <c r="Q310" s="20"/>
      <c r="R310" s="50"/>
    </row>
    <row r="311" spans="1:18" ht="47.25" thickTop="1" thickBot="1" x14ac:dyDescent="0.25">
      <c r="A311" s="311" t="s">
        <v>810</v>
      </c>
      <c r="B311" s="311" t="s">
        <v>696</v>
      </c>
      <c r="C311" s="311"/>
      <c r="D311" s="471" t="s">
        <v>697</v>
      </c>
      <c r="E311" s="328">
        <f>d3М!E306-d3П!E306</f>
        <v>0</v>
      </c>
      <c r="F311" s="328">
        <f>d3М!F306-d3П!F306</f>
        <v>0</v>
      </c>
      <c r="G311" s="328">
        <f>d3М!G306-d3П!G306</f>
        <v>0</v>
      </c>
      <c r="H311" s="328">
        <f>d3М!H306-d3П!H306</f>
        <v>0</v>
      </c>
      <c r="I311" s="328">
        <f>d3М!I306-d3П!I306</f>
        <v>0</v>
      </c>
      <c r="J311" s="328">
        <f>d3М!J306-d3П!J306</f>
        <v>0</v>
      </c>
      <c r="K311" s="328">
        <f>d3М!K306-d3П!K306</f>
        <v>0</v>
      </c>
      <c r="L311" s="328">
        <f>d3М!L306-d3П!L306</f>
        <v>0</v>
      </c>
      <c r="M311" s="328">
        <f>d3М!M306-d3П!M306</f>
        <v>0</v>
      </c>
      <c r="N311" s="328">
        <f>d3М!N306-d3П!N306</f>
        <v>0</v>
      </c>
      <c r="O311" s="328">
        <f>d3М!O306-d3П!O306</f>
        <v>0</v>
      </c>
      <c r="P311" s="328">
        <f>d3М!P306-d3П!P306</f>
        <v>0</v>
      </c>
      <c r="Q311" s="20"/>
      <c r="R311" s="50"/>
    </row>
    <row r="312" spans="1:18" ht="47.25" thickTop="1" thickBot="1" x14ac:dyDescent="0.25">
      <c r="A312" s="313" t="s">
        <v>811</v>
      </c>
      <c r="B312" s="313" t="s">
        <v>812</v>
      </c>
      <c r="C312" s="313"/>
      <c r="D312" s="356" t="s">
        <v>1281</v>
      </c>
      <c r="E312" s="328">
        <f>d3М!E307-d3П!E307</f>
        <v>0</v>
      </c>
      <c r="F312" s="328">
        <f>d3М!F307-d3П!F307</f>
        <v>0</v>
      </c>
      <c r="G312" s="328">
        <f>d3М!G307-d3П!G307</f>
        <v>0</v>
      </c>
      <c r="H312" s="328">
        <f>d3М!H307-d3П!H307</f>
        <v>0</v>
      </c>
      <c r="I312" s="328">
        <f>d3М!I307-d3П!I307</f>
        <v>0</v>
      </c>
      <c r="J312" s="328">
        <f>d3М!J307-d3П!J307</f>
        <v>0</v>
      </c>
      <c r="K312" s="328">
        <f>d3М!K307-d3П!K307</f>
        <v>0</v>
      </c>
      <c r="L312" s="328">
        <f>d3М!L307-d3П!L307</f>
        <v>0</v>
      </c>
      <c r="M312" s="328">
        <f>d3М!M307-d3П!M307</f>
        <v>0</v>
      </c>
      <c r="N312" s="328">
        <f>d3М!N307-d3П!N307</f>
        <v>0</v>
      </c>
      <c r="O312" s="328">
        <f>d3М!O307-d3П!O307</f>
        <v>0</v>
      </c>
      <c r="P312" s="328">
        <f>d3М!P307-d3П!P307</f>
        <v>0</v>
      </c>
      <c r="Q312" s="20"/>
      <c r="R312" s="50"/>
    </row>
    <row r="313" spans="1:18" ht="93" thickTop="1" thickBot="1" x14ac:dyDescent="0.25">
      <c r="A313" s="103" t="s">
        <v>553</v>
      </c>
      <c r="B313" s="103" t="s">
        <v>518</v>
      </c>
      <c r="C313" s="103" t="s">
        <v>251</v>
      </c>
      <c r="D313" s="103" t="s">
        <v>519</v>
      </c>
      <c r="E313" s="328">
        <f>d3М!E308-d3П!E308</f>
        <v>0</v>
      </c>
      <c r="F313" s="328">
        <f>d3М!F308-d3П!F308</f>
        <v>0</v>
      </c>
      <c r="G313" s="328">
        <f>d3М!G308-d3П!G308</f>
        <v>0</v>
      </c>
      <c r="H313" s="328">
        <f>d3М!H308-d3П!H308</f>
        <v>0</v>
      </c>
      <c r="I313" s="328">
        <f>d3М!I308-d3П!I308</f>
        <v>0</v>
      </c>
      <c r="J313" s="328">
        <f>d3М!J308-d3П!J308</f>
        <v>0</v>
      </c>
      <c r="K313" s="328">
        <f>d3М!K308-d3П!K308</f>
        <v>0</v>
      </c>
      <c r="L313" s="328">
        <f>d3М!L308-d3П!L308</f>
        <v>0</v>
      </c>
      <c r="M313" s="328">
        <f>d3М!M308-d3П!M308</f>
        <v>0</v>
      </c>
      <c r="N313" s="328">
        <f>d3М!N308-d3П!N308</f>
        <v>0</v>
      </c>
      <c r="O313" s="328">
        <f>d3М!O308-d3П!O308</f>
        <v>0</v>
      </c>
      <c r="P313" s="328">
        <f>d3М!P308-d3П!P308</f>
        <v>0</v>
      </c>
      <c r="Q313" s="20"/>
      <c r="R313" s="50"/>
    </row>
    <row r="314" spans="1:18" ht="47.25" thickTop="1" thickBot="1" x14ac:dyDescent="0.25">
      <c r="A314" s="103" t="s">
        <v>554</v>
      </c>
      <c r="B314" s="103" t="s">
        <v>250</v>
      </c>
      <c r="C314" s="103" t="s">
        <v>251</v>
      </c>
      <c r="D314" s="103" t="s">
        <v>249</v>
      </c>
      <c r="E314" s="328">
        <f>d3М!E309-d3П!E309</f>
        <v>0</v>
      </c>
      <c r="F314" s="328">
        <f>d3М!F309-d3П!F309</f>
        <v>0</v>
      </c>
      <c r="G314" s="328">
        <f>d3М!G309-d3П!G309</f>
        <v>0</v>
      </c>
      <c r="H314" s="328">
        <f>d3М!H309-d3П!H309</f>
        <v>0</v>
      </c>
      <c r="I314" s="328">
        <f>d3М!I309-d3П!I309</f>
        <v>0</v>
      </c>
      <c r="J314" s="328">
        <f>d3М!J309-d3П!J309</f>
        <v>0</v>
      </c>
      <c r="K314" s="328">
        <f>d3М!K309-d3П!K309</f>
        <v>0</v>
      </c>
      <c r="L314" s="328">
        <f>d3М!L309-d3П!L309</f>
        <v>0</v>
      </c>
      <c r="M314" s="328">
        <f>d3М!M309-d3П!M309</f>
        <v>0</v>
      </c>
      <c r="N314" s="328">
        <f>d3М!N309-d3П!N309</f>
        <v>0</v>
      </c>
      <c r="O314" s="328">
        <f>d3М!O309-d3П!O309</f>
        <v>0</v>
      </c>
      <c r="P314" s="328">
        <f>d3М!P309-d3П!P309</f>
        <v>0</v>
      </c>
      <c r="Q314" s="20"/>
      <c r="R314" s="46"/>
    </row>
    <row r="315" spans="1:18" ht="48" hidden="1" thickTop="1" thickBot="1" x14ac:dyDescent="0.25">
      <c r="A315" s="41" t="s">
        <v>555</v>
      </c>
      <c r="B315" s="41" t="s">
        <v>556</v>
      </c>
      <c r="C315" s="41" t="s">
        <v>251</v>
      </c>
      <c r="D315" s="41" t="s">
        <v>557</v>
      </c>
      <c r="E315" s="160">
        <f t="shared" ref="E315" si="73">F315</f>
        <v>0</v>
      </c>
      <c r="F315" s="161">
        <f>(1219000)-1219000</f>
        <v>0</v>
      </c>
      <c r="G315" s="161">
        <f>(354000+540000)-894000</f>
        <v>0</v>
      </c>
      <c r="H315" s="161">
        <f>(6000+3000)-9000</f>
        <v>0</v>
      </c>
      <c r="I315" s="161"/>
      <c r="J315" s="42">
        <f>L315+O315</f>
        <v>0</v>
      </c>
      <c r="K315" s="43"/>
      <c r="L315" s="161"/>
      <c r="M315" s="161"/>
      <c r="N315" s="161"/>
      <c r="O315" s="44">
        <f>K315</f>
        <v>0</v>
      </c>
      <c r="P315" s="42">
        <f>E315+J315</f>
        <v>0</v>
      </c>
      <c r="Q315" s="20"/>
      <c r="R315" s="50"/>
    </row>
    <row r="316" spans="1:18" ht="47.25" hidden="1" thickTop="1" thickBot="1" x14ac:dyDescent="0.25">
      <c r="A316" s="125" t="s">
        <v>1483</v>
      </c>
      <c r="B316" s="125" t="s">
        <v>702</v>
      </c>
      <c r="C316" s="125"/>
      <c r="D316" s="125" t="s">
        <v>703</v>
      </c>
      <c r="E316" s="127">
        <f>E317</f>
        <v>0</v>
      </c>
      <c r="F316" s="127">
        <f t="shared" ref="F316:P317" si="74">F317</f>
        <v>0</v>
      </c>
      <c r="G316" s="127">
        <f t="shared" si="74"/>
        <v>0</v>
      </c>
      <c r="H316" s="127">
        <f t="shared" si="74"/>
        <v>0</v>
      </c>
      <c r="I316" s="127">
        <f t="shared" si="74"/>
        <v>0</v>
      </c>
      <c r="J316" s="127">
        <f t="shared" si="74"/>
        <v>0</v>
      </c>
      <c r="K316" s="127">
        <f t="shared" si="74"/>
        <v>0</v>
      </c>
      <c r="L316" s="127">
        <f t="shared" si="74"/>
        <v>0</v>
      </c>
      <c r="M316" s="127">
        <f t="shared" si="74"/>
        <v>0</v>
      </c>
      <c r="N316" s="127">
        <f t="shared" si="74"/>
        <v>0</v>
      </c>
      <c r="O316" s="127">
        <f t="shared" si="74"/>
        <v>0</v>
      </c>
      <c r="P316" s="127">
        <f t="shared" si="74"/>
        <v>0</v>
      </c>
      <c r="Q316" s="20"/>
      <c r="R316" s="50"/>
    </row>
    <row r="317" spans="1:18" ht="91.5" hidden="1" thickTop="1" thickBot="1" x14ac:dyDescent="0.25">
      <c r="A317" s="136" t="s">
        <v>1484</v>
      </c>
      <c r="B317" s="136" t="s">
        <v>705</v>
      </c>
      <c r="C317" s="136"/>
      <c r="D317" s="136" t="s">
        <v>706</v>
      </c>
      <c r="E317" s="137">
        <f>E318</f>
        <v>0</v>
      </c>
      <c r="F317" s="137">
        <f t="shared" si="74"/>
        <v>0</v>
      </c>
      <c r="G317" s="137">
        <f t="shared" si="74"/>
        <v>0</v>
      </c>
      <c r="H317" s="137">
        <f t="shared" si="74"/>
        <v>0</v>
      </c>
      <c r="I317" s="137">
        <f t="shared" si="74"/>
        <v>0</v>
      </c>
      <c r="J317" s="137">
        <f t="shared" si="74"/>
        <v>0</v>
      </c>
      <c r="K317" s="137">
        <f t="shared" si="74"/>
        <v>0</v>
      </c>
      <c r="L317" s="137">
        <f t="shared" si="74"/>
        <v>0</v>
      </c>
      <c r="M317" s="137">
        <f t="shared" si="74"/>
        <v>0</v>
      </c>
      <c r="N317" s="137">
        <f t="shared" si="74"/>
        <v>0</v>
      </c>
      <c r="O317" s="137">
        <f t="shared" si="74"/>
        <v>0</v>
      </c>
      <c r="P317" s="137">
        <f t="shared" si="74"/>
        <v>0</v>
      </c>
      <c r="Q317" s="20"/>
      <c r="R317" s="50"/>
    </row>
    <row r="318" spans="1:18" ht="48" hidden="1" thickTop="1" thickBot="1" x14ac:dyDescent="0.25">
      <c r="A318" s="128" t="s">
        <v>1485</v>
      </c>
      <c r="B318" s="128" t="s">
        <v>363</v>
      </c>
      <c r="C318" s="128" t="s">
        <v>43</v>
      </c>
      <c r="D318" s="128" t="s">
        <v>364</v>
      </c>
      <c r="E318" s="127">
        <f t="shared" ref="E318" si="75">F318</f>
        <v>0</v>
      </c>
      <c r="F318" s="134"/>
      <c r="G318" s="134"/>
      <c r="H318" s="134"/>
      <c r="I318" s="134"/>
      <c r="J318" s="127">
        <f>L318+O318</f>
        <v>0</v>
      </c>
      <c r="K318" s="134">
        <v>0</v>
      </c>
      <c r="L318" s="134"/>
      <c r="M318" s="134"/>
      <c r="N318" s="134"/>
      <c r="O318" s="132">
        <f>K318</f>
        <v>0</v>
      </c>
      <c r="P318" s="127">
        <f>E318+J318</f>
        <v>0</v>
      </c>
      <c r="Q318" s="20"/>
      <c r="R318" s="50"/>
    </row>
    <row r="319" spans="1:18" ht="120" customHeight="1" thickTop="1" thickBot="1" x14ac:dyDescent="0.25">
      <c r="A319" s="661" t="s">
        <v>25</v>
      </c>
      <c r="B319" s="661"/>
      <c r="C319" s="661"/>
      <c r="D319" s="662" t="s">
        <v>1347</v>
      </c>
      <c r="E319" s="663">
        <f>E320</f>
        <v>0</v>
      </c>
      <c r="F319" s="664">
        <f t="shared" ref="F319:G319" si="76">F320</f>
        <v>0</v>
      </c>
      <c r="G319" s="664">
        <f t="shared" si="76"/>
        <v>0</v>
      </c>
      <c r="H319" s="664">
        <f>H320</f>
        <v>0</v>
      </c>
      <c r="I319" s="664">
        <f t="shared" ref="I319" si="77">I320</f>
        <v>0</v>
      </c>
      <c r="J319" s="663">
        <f>J320</f>
        <v>0</v>
      </c>
      <c r="K319" s="664">
        <f>K320</f>
        <v>0</v>
      </c>
      <c r="L319" s="664">
        <f>L320</f>
        <v>0</v>
      </c>
      <c r="M319" s="664">
        <f t="shared" ref="M319" si="78">M320</f>
        <v>0</v>
      </c>
      <c r="N319" s="664">
        <f>N320</f>
        <v>0</v>
      </c>
      <c r="O319" s="663">
        <f>O320</f>
        <v>0</v>
      </c>
      <c r="P319" s="664">
        <f t="shared" ref="P319" si="79">P320</f>
        <v>0</v>
      </c>
      <c r="Q319" s="20"/>
    </row>
    <row r="320" spans="1:18" ht="120" customHeight="1" thickTop="1" thickBot="1" x14ac:dyDescent="0.25">
      <c r="A320" s="658" t="s">
        <v>26</v>
      </c>
      <c r="B320" s="658"/>
      <c r="C320" s="658"/>
      <c r="D320" s="659" t="s">
        <v>892</v>
      </c>
      <c r="E320" s="660">
        <f>E321+E327+E330+E325</f>
        <v>0</v>
      </c>
      <c r="F320" s="660">
        <f>F321+F327+F330+F325</f>
        <v>0</v>
      </c>
      <c r="G320" s="660">
        <f>G321+G327+G330+G325</f>
        <v>0</v>
      </c>
      <c r="H320" s="660">
        <f>H321+H327+H330+H325</f>
        <v>0</v>
      </c>
      <c r="I320" s="660">
        <f>I321+I327+I330+I325</f>
        <v>0</v>
      </c>
      <c r="J320" s="660">
        <f>L320+O320</f>
        <v>0</v>
      </c>
      <c r="K320" s="660">
        <f>K321+K327+K330+K325</f>
        <v>0</v>
      </c>
      <c r="L320" s="660">
        <f>L321+L327+L330+L325</f>
        <v>0</v>
      </c>
      <c r="M320" s="660">
        <f>M321+M327+M330+M325</f>
        <v>0</v>
      </c>
      <c r="N320" s="660">
        <f>N321+N327+N330+N325</f>
        <v>0</v>
      </c>
      <c r="O320" s="660">
        <f>O321+O327+O330+O325</f>
        <v>0</v>
      </c>
      <c r="P320" s="660">
        <f>E320+J320</f>
        <v>0</v>
      </c>
      <c r="Q320" s="503" t="b">
        <f>P320=P322+P334+P337+P326</f>
        <v>1</v>
      </c>
      <c r="R320" s="46"/>
    </row>
    <row r="321" spans="1:18" ht="47.25" thickTop="1" thickBot="1" x14ac:dyDescent="0.25">
      <c r="A321" s="311" t="s">
        <v>813</v>
      </c>
      <c r="B321" s="311" t="s">
        <v>684</v>
      </c>
      <c r="C321" s="311"/>
      <c r="D321" s="311" t="s">
        <v>685</v>
      </c>
      <c r="E321" s="328">
        <f>d3М!E316-d3П!E316</f>
        <v>0</v>
      </c>
      <c r="F321" s="328">
        <f>d3М!F316-d3П!F316</f>
        <v>0</v>
      </c>
      <c r="G321" s="328">
        <f>d3М!G316-d3П!G316</f>
        <v>0</v>
      </c>
      <c r="H321" s="328">
        <f>d3М!H316-d3П!H316</f>
        <v>0</v>
      </c>
      <c r="I321" s="328">
        <f>d3М!I316-d3П!I316</f>
        <v>0</v>
      </c>
      <c r="J321" s="328">
        <f>d3М!J316-d3П!J316</f>
        <v>0</v>
      </c>
      <c r="K321" s="328">
        <f>d3М!K316-d3П!K316</f>
        <v>0</v>
      </c>
      <c r="L321" s="328">
        <f>d3М!L316-d3П!L316</f>
        <v>0</v>
      </c>
      <c r="M321" s="328">
        <f>d3М!M316-d3П!M316</f>
        <v>0</v>
      </c>
      <c r="N321" s="328">
        <f>d3М!N316-d3П!N316</f>
        <v>0</v>
      </c>
      <c r="O321" s="328">
        <f>d3М!O316-d3П!O316</f>
        <v>0</v>
      </c>
      <c r="P321" s="328">
        <f>d3М!P316-d3П!P316</f>
        <v>0</v>
      </c>
      <c r="Q321" s="47"/>
      <c r="R321" s="46"/>
    </row>
    <row r="322" spans="1:18" ht="93" thickTop="1" thickBot="1" x14ac:dyDescent="0.25">
      <c r="A322" s="103" t="s">
        <v>417</v>
      </c>
      <c r="B322" s="103" t="s">
        <v>236</v>
      </c>
      <c r="C322" s="103" t="s">
        <v>234</v>
      </c>
      <c r="D322" s="103" t="s">
        <v>235</v>
      </c>
      <c r="E322" s="328">
        <f>d3М!E317-d3П!E317</f>
        <v>0</v>
      </c>
      <c r="F322" s="328">
        <f>d3М!F317-d3П!F317</f>
        <v>0</v>
      </c>
      <c r="G322" s="328">
        <f>d3М!G317-d3П!G317</f>
        <v>0</v>
      </c>
      <c r="H322" s="328">
        <f>d3М!H317-d3П!H317</f>
        <v>0</v>
      </c>
      <c r="I322" s="328">
        <f>d3М!I317-d3П!I317</f>
        <v>0</v>
      </c>
      <c r="J322" s="328">
        <f>d3М!J317-d3П!J317</f>
        <v>0</v>
      </c>
      <c r="K322" s="328">
        <f>d3М!K317-d3П!K317</f>
        <v>0</v>
      </c>
      <c r="L322" s="328">
        <f>d3М!L317-d3П!L317</f>
        <v>0</v>
      </c>
      <c r="M322" s="328">
        <f>d3М!M317-d3П!M317</f>
        <v>0</v>
      </c>
      <c r="N322" s="328">
        <f>d3М!N317-d3П!N317</f>
        <v>0</v>
      </c>
      <c r="O322" s="328">
        <f>d3М!O317-d3П!O317</f>
        <v>0</v>
      </c>
      <c r="P322" s="328">
        <f>d3М!P317-d3П!P317</f>
        <v>0</v>
      </c>
      <c r="Q322" s="47"/>
      <c r="R322" s="50"/>
    </row>
    <row r="323" spans="1:18" ht="93" hidden="1" thickTop="1" thickBot="1" x14ac:dyDescent="0.25">
      <c r="A323" s="128" t="s">
        <v>630</v>
      </c>
      <c r="B323" s="128" t="s">
        <v>362</v>
      </c>
      <c r="C323" s="128" t="s">
        <v>625</v>
      </c>
      <c r="D323" s="128" t="s">
        <v>626</v>
      </c>
      <c r="E323" s="328">
        <f>d3М!E318-d3П!E318</f>
        <v>0</v>
      </c>
      <c r="F323" s="328">
        <f>d3М!F318-d3П!F318</f>
        <v>0</v>
      </c>
      <c r="G323" s="328">
        <f>d3М!G318-d3П!G318</f>
        <v>0</v>
      </c>
      <c r="H323" s="328">
        <f>d3М!H318-d3П!H318</f>
        <v>0</v>
      </c>
      <c r="I323" s="328">
        <f>d3М!I318-d3П!I318</f>
        <v>0</v>
      </c>
      <c r="J323" s="328">
        <f>d3М!J318-d3П!J318</f>
        <v>0</v>
      </c>
      <c r="K323" s="328">
        <f>d3М!K318-d3П!K318</f>
        <v>0</v>
      </c>
      <c r="L323" s="328">
        <f>d3М!L318-d3П!L318</f>
        <v>0</v>
      </c>
      <c r="M323" s="328">
        <f>d3М!M318-d3П!M318</f>
        <v>0</v>
      </c>
      <c r="N323" s="328">
        <f>d3М!N318-d3П!N318</f>
        <v>0</v>
      </c>
      <c r="O323" s="328">
        <f>d3М!O318-d3П!O318</f>
        <v>0</v>
      </c>
      <c r="P323" s="328">
        <f>d3М!P318-d3П!P318</f>
        <v>0</v>
      </c>
      <c r="Q323" s="47"/>
      <c r="R323" s="50"/>
    </row>
    <row r="324" spans="1:18" ht="47.25" hidden="1" thickTop="1" thickBot="1" x14ac:dyDescent="0.25">
      <c r="A324" s="128" t="s">
        <v>928</v>
      </c>
      <c r="B324" s="128" t="s">
        <v>43</v>
      </c>
      <c r="C324" s="128" t="s">
        <v>42</v>
      </c>
      <c r="D324" s="128" t="s">
        <v>248</v>
      </c>
      <c r="E324" s="328">
        <f>d3М!E319-d3П!E319</f>
        <v>0</v>
      </c>
      <c r="F324" s="328">
        <f>d3М!F319-d3П!F319</f>
        <v>0</v>
      </c>
      <c r="G324" s="328">
        <f>d3М!G319-d3П!G319</f>
        <v>0</v>
      </c>
      <c r="H324" s="328">
        <f>d3М!H319-d3П!H319</f>
        <v>0</v>
      </c>
      <c r="I324" s="328">
        <f>d3М!I319-d3П!I319</f>
        <v>0</v>
      </c>
      <c r="J324" s="328">
        <f>d3М!J319-d3П!J319</f>
        <v>0</v>
      </c>
      <c r="K324" s="328">
        <f>d3М!K319-d3П!K319</f>
        <v>0</v>
      </c>
      <c r="L324" s="328">
        <f>d3М!L319-d3П!L319</f>
        <v>0</v>
      </c>
      <c r="M324" s="328">
        <f>d3М!M319-d3П!M319</f>
        <v>0</v>
      </c>
      <c r="N324" s="328">
        <f>d3М!N319-d3П!N319</f>
        <v>0</v>
      </c>
      <c r="O324" s="328">
        <f>d3М!O319-d3П!O319</f>
        <v>0</v>
      </c>
      <c r="P324" s="328">
        <f>d3М!P319-d3П!P319</f>
        <v>0</v>
      </c>
      <c r="Q324" s="47"/>
      <c r="R324" s="50"/>
    </row>
    <row r="325" spans="1:18" ht="47.25" thickTop="1" thickBot="1" x14ac:dyDescent="0.25">
      <c r="A325" s="311" t="s">
        <v>1235</v>
      </c>
      <c r="B325" s="311" t="s">
        <v>711</v>
      </c>
      <c r="C325" s="311"/>
      <c r="D325" s="311" t="s">
        <v>712</v>
      </c>
      <c r="E325" s="328">
        <f>d3М!E320-d3П!E320</f>
        <v>0</v>
      </c>
      <c r="F325" s="328">
        <f>d3М!F320-d3П!F320</f>
        <v>0</v>
      </c>
      <c r="G325" s="328">
        <f>d3М!G320-d3П!G320</f>
        <v>0</v>
      </c>
      <c r="H325" s="328">
        <f>d3М!H320-d3П!H320</f>
        <v>0</v>
      </c>
      <c r="I325" s="328">
        <f>d3М!I320-d3П!I320</f>
        <v>0</v>
      </c>
      <c r="J325" s="328">
        <f>d3М!J320-d3П!J320</f>
        <v>0</v>
      </c>
      <c r="K325" s="328">
        <f>d3М!K320-d3П!K320</f>
        <v>0</v>
      </c>
      <c r="L325" s="328">
        <f>d3М!L320-d3П!L320</f>
        <v>0</v>
      </c>
      <c r="M325" s="328">
        <f>d3М!M320-d3П!M320</f>
        <v>0</v>
      </c>
      <c r="N325" s="328">
        <f>d3М!N320-d3П!N320</f>
        <v>0</v>
      </c>
      <c r="O325" s="328">
        <f>d3М!O320-d3П!O320</f>
        <v>0</v>
      </c>
      <c r="P325" s="328">
        <f>d3М!P320-d3П!P320</f>
        <v>0</v>
      </c>
      <c r="Q325" s="47"/>
      <c r="R325" s="50"/>
    </row>
    <row r="326" spans="1:18" ht="93" thickTop="1" thickBot="1" x14ac:dyDescent="0.25">
      <c r="A326" s="103" t="s">
        <v>1236</v>
      </c>
      <c r="B326" s="103" t="s">
        <v>1200</v>
      </c>
      <c r="C326" s="103" t="s">
        <v>206</v>
      </c>
      <c r="D326" s="470" t="s">
        <v>1201</v>
      </c>
      <c r="E326" s="328">
        <f>d3М!E321-d3П!E321</f>
        <v>0</v>
      </c>
      <c r="F326" s="328">
        <f>d3М!F321-d3П!F321</f>
        <v>0</v>
      </c>
      <c r="G326" s="328">
        <f>d3М!G321-d3П!G321</f>
        <v>0</v>
      </c>
      <c r="H326" s="328">
        <f>d3М!H321-d3П!H321</f>
        <v>0</v>
      </c>
      <c r="I326" s="328">
        <f>d3М!I321-d3П!I321</f>
        <v>0</v>
      </c>
      <c r="J326" s="328">
        <f>d3М!J321-d3П!J321</f>
        <v>0</v>
      </c>
      <c r="K326" s="328">
        <f>d3М!K321-d3П!K321</f>
        <v>0</v>
      </c>
      <c r="L326" s="328">
        <f>d3М!L321-d3П!L321</f>
        <v>0</v>
      </c>
      <c r="M326" s="328">
        <f>d3М!M321-d3П!M321</f>
        <v>0</v>
      </c>
      <c r="N326" s="328">
        <f>d3М!N321-d3П!N321</f>
        <v>0</v>
      </c>
      <c r="O326" s="328">
        <f>d3М!O321-d3П!O321</f>
        <v>0</v>
      </c>
      <c r="P326" s="328">
        <f>d3М!P321-d3П!P321</f>
        <v>0</v>
      </c>
      <c r="Q326" s="47"/>
      <c r="R326" s="50"/>
    </row>
    <row r="327" spans="1:18" ht="47.25" hidden="1" thickTop="1" thickBot="1" x14ac:dyDescent="0.25">
      <c r="A327" s="125" t="s">
        <v>814</v>
      </c>
      <c r="B327" s="125" t="s">
        <v>770</v>
      </c>
      <c r="C327" s="128"/>
      <c r="D327" s="125" t="s">
        <v>771</v>
      </c>
      <c r="E327" s="328">
        <f>d3М!E322-d3П!E322</f>
        <v>0</v>
      </c>
      <c r="F327" s="328">
        <f>d3М!F322-d3П!F322</f>
        <v>0</v>
      </c>
      <c r="G327" s="328">
        <f>d3М!G322-d3П!G322</f>
        <v>0</v>
      </c>
      <c r="H327" s="328">
        <f>d3М!H322-d3П!H322</f>
        <v>0</v>
      </c>
      <c r="I327" s="328">
        <f>d3М!I322-d3П!I322</f>
        <v>0</v>
      </c>
      <c r="J327" s="328">
        <f>d3М!J322-d3П!J322</f>
        <v>0</v>
      </c>
      <c r="K327" s="328">
        <f>d3М!K322-d3П!K322</f>
        <v>0</v>
      </c>
      <c r="L327" s="328">
        <f>d3М!L322-d3П!L322</f>
        <v>0</v>
      </c>
      <c r="M327" s="328">
        <f>d3М!M322-d3П!M322</f>
        <v>0</v>
      </c>
      <c r="N327" s="328">
        <f>d3М!N322-d3П!N322</f>
        <v>0</v>
      </c>
      <c r="O327" s="328">
        <f>d3М!O322-d3П!O322</f>
        <v>0</v>
      </c>
      <c r="P327" s="328">
        <f>d3М!P322-d3П!P322</f>
        <v>0</v>
      </c>
      <c r="Q327" s="47"/>
      <c r="R327" s="50"/>
    </row>
    <row r="328" spans="1:18" ht="47.25" hidden="1" thickTop="1" thickBot="1" x14ac:dyDescent="0.25">
      <c r="A328" s="140" t="s">
        <v>815</v>
      </c>
      <c r="B328" s="140" t="s">
        <v>816</v>
      </c>
      <c r="C328" s="140"/>
      <c r="D328" s="140" t="s">
        <v>817</v>
      </c>
      <c r="E328" s="328">
        <f>d3М!E323-d3П!E323</f>
        <v>0</v>
      </c>
      <c r="F328" s="328">
        <f>d3М!F323-d3П!F323</f>
        <v>0</v>
      </c>
      <c r="G328" s="328">
        <f>d3М!G323-d3П!G323</f>
        <v>0</v>
      </c>
      <c r="H328" s="328">
        <f>d3М!H323-d3П!H323</f>
        <v>0</v>
      </c>
      <c r="I328" s="328">
        <f>d3М!I323-d3П!I323</f>
        <v>0</v>
      </c>
      <c r="J328" s="328">
        <f>d3М!J323-d3П!J323</f>
        <v>0</v>
      </c>
      <c r="K328" s="328">
        <f>d3М!K323-d3П!K323</f>
        <v>0</v>
      </c>
      <c r="L328" s="328">
        <f>d3М!L323-d3П!L323</f>
        <v>0</v>
      </c>
      <c r="M328" s="328">
        <f>d3М!M323-d3П!M323</f>
        <v>0</v>
      </c>
      <c r="N328" s="328">
        <f>d3М!N323-d3П!N323</f>
        <v>0</v>
      </c>
      <c r="O328" s="328">
        <f>d3М!O323-d3П!O323</f>
        <v>0</v>
      </c>
      <c r="P328" s="328">
        <f>d3М!P323-d3П!P323</f>
        <v>0</v>
      </c>
      <c r="Q328" s="47"/>
      <c r="R328" s="50"/>
    </row>
    <row r="329" spans="1:18" ht="138.75" hidden="1" thickTop="1" thickBot="1" x14ac:dyDescent="0.25">
      <c r="A329" s="128" t="s">
        <v>433</v>
      </c>
      <c r="B329" s="128" t="s">
        <v>434</v>
      </c>
      <c r="C329" s="128" t="s">
        <v>195</v>
      </c>
      <c r="D329" s="128" t="s">
        <v>1178</v>
      </c>
      <c r="E329" s="328">
        <f>d3М!E324-d3П!E324</f>
        <v>0</v>
      </c>
      <c r="F329" s="328">
        <f>d3М!F324-d3П!F324</f>
        <v>0</v>
      </c>
      <c r="G329" s="328">
        <f>d3М!G324-d3П!G324</f>
        <v>0</v>
      </c>
      <c r="H329" s="328">
        <f>d3М!H324-d3П!H324</f>
        <v>0</v>
      </c>
      <c r="I329" s="328">
        <f>d3М!I324-d3П!I324</f>
        <v>0</v>
      </c>
      <c r="J329" s="328">
        <f>d3М!J324-d3П!J324</f>
        <v>0</v>
      </c>
      <c r="K329" s="328">
        <f>d3М!K324-d3П!K324</f>
        <v>0</v>
      </c>
      <c r="L329" s="328">
        <f>d3М!L324-d3П!L324</f>
        <v>0</v>
      </c>
      <c r="M329" s="328">
        <f>d3М!M324-d3П!M324</f>
        <v>0</v>
      </c>
      <c r="N329" s="328">
        <f>d3М!N324-d3П!N324</f>
        <v>0</v>
      </c>
      <c r="O329" s="328">
        <f>d3М!O324-d3П!O324</f>
        <v>0</v>
      </c>
      <c r="P329" s="328">
        <f>d3М!P324-d3П!P324</f>
        <v>0</v>
      </c>
      <c r="Q329" s="47"/>
      <c r="R329" s="46"/>
    </row>
    <row r="330" spans="1:18" ht="47.25" thickTop="1" thickBot="1" x14ac:dyDescent="0.25">
      <c r="A330" s="311" t="s">
        <v>818</v>
      </c>
      <c r="B330" s="311" t="s">
        <v>748</v>
      </c>
      <c r="C330" s="103"/>
      <c r="D330" s="311" t="s">
        <v>794</v>
      </c>
      <c r="E330" s="328">
        <f>d3М!E325-d3П!E325</f>
        <v>0</v>
      </c>
      <c r="F330" s="328">
        <f>d3М!F325-d3П!F325</f>
        <v>0</v>
      </c>
      <c r="G330" s="328">
        <f>d3М!G325-d3П!G325</f>
        <v>0</v>
      </c>
      <c r="H330" s="328">
        <f>d3М!H325-d3П!H325</f>
        <v>0</v>
      </c>
      <c r="I330" s="328">
        <f>d3М!I325-d3П!I325</f>
        <v>0</v>
      </c>
      <c r="J330" s="328">
        <f>d3М!J325-d3П!J325</f>
        <v>0</v>
      </c>
      <c r="K330" s="328">
        <f>d3М!K325-d3П!K325</f>
        <v>0</v>
      </c>
      <c r="L330" s="328">
        <f>d3М!L325-d3П!L325</f>
        <v>0</v>
      </c>
      <c r="M330" s="328">
        <f>d3М!M325-d3П!M325</f>
        <v>0</v>
      </c>
      <c r="N330" s="328">
        <f>d3М!N325-d3П!N325</f>
        <v>0</v>
      </c>
      <c r="O330" s="328">
        <f>d3М!O325-d3П!O325</f>
        <v>0</v>
      </c>
      <c r="P330" s="328">
        <f>d3М!P325-d3П!P325</f>
        <v>0</v>
      </c>
      <c r="Q330" s="45"/>
      <c r="R330" s="46"/>
    </row>
    <row r="331" spans="1:18" ht="47.25" thickTop="1" thickBot="1" x14ac:dyDescent="0.25">
      <c r="A331" s="313" t="s">
        <v>819</v>
      </c>
      <c r="B331" s="313" t="s">
        <v>803</v>
      </c>
      <c r="C331" s="313"/>
      <c r="D331" s="313" t="s">
        <v>804</v>
      </c>
      <c r="E331" s="328">
        <f>d3М!E326-d3П!E326</f>
        <v>0</v>
      </c>
      <c r="F331" s="328">
        <f>d3М!F326-d3П!F326</f>
        <v>0</v>
      </c>
      <c r="G331" s="328">
        <f>d3М!G326-d3П!G326</f>
        <v>0</v>
      </c>
      <c r="H331" s="328">
        <f>d3М!H326-d3П!H326</f>
        <v>0</v>
      </c>
      <c r="I331" s="328">
        <f>d3М!I326-d3П!I326</f>
        <v>0</v>
      </c>
      <c r="J331" s="328">
        <f>d3М!J326-d3П!J326</f>
        <v>0</v>
      </c>
      <c r="K331" s="328">
        <f>d3М!K326-d3П!K326</f>
        <v>0</v>
      </c>
      <c r="L331" s="328">
        <f>d3М!L326-d3П!L326</f>
        <v>0</v>
      </c>
      <c r="M331" s="328">
        <f>d3М!M326-d3П!M326</f>
        <v>0</v>
      </c>
      <c r="N331" s="328">
        <f>d3М!N326-d3П!N326</f>
        <v>0</v>
      </c>
      <c r="O331" s="328">
        <f>d3М!O326-d3П!O326</f>
        <v>0</v>
      </c>
      <c r="P331" s="328">
        <f>d3М!P326-d3П!P326</f>
        <v>0</v>
      </c>
      <c r="Q331" s="45"/>
      <c r="R331" s="46"/>
    </row>
    <row r="332" spans="1:18" ht="54" hidden="1" thickTop="1" thickBot="1" x14ac:dyDescent="0.25">
      <c r="A332" s="103" t="s">
        <v>927</v>
      </c>
      <c r="B332" s="103" t="s">
        <v>305</v>
      </c>
      <c r="C332" s="103" t="s">
        <v>304</v>
      </c>
      <c r="D332" s="103" t="s">
        <v>1502</v>
      </c>
      <c r="E332" s="328">
        <f>d3М!E327-d3П!E327</f>
        <v>0</v>
      </c>
      <c r="F332" s="328">
        <f>d3М!F327-d3П!F327</f>
        <v>0</v>
      </c>
      <c r="G332" s="328">
        <f>d3М!G327-d3П!G327</f>
        <v>0</v>
      </c>
      <c r="H332" s="328">
        <f>d3М!H327-d3П!H327</f>
        <v>0</v>
      </c>
      <c r="I332" s="328">
        <f>d3М!I327-d3П!I327</f>
        <v>0</v>
      </c>
      <c r="J332" s="328">
        <f>d3М!J327-d3П!J327</f>
        <v>0</v>
      </c>
      <c r="K332" s="328">
        <f>d3М!K327-d3П!K327</f>
        <v>0</v>
      </c>
      <c r="L332" s="328">
        <f>d3М!L327-d3П!L327</f>
        <v>0</v>
      </c>
      <c r="M332" s="328">
        <f>d3М!M327-d3П!M327</f>
        <v>0</v>
      </c>
      <c r="N332" s="328">
        <f>d3М!N327-d3П!N327</f>
        <v>0</v>
      </c>
      <c r="O332" s="328">
        <f>d3М!O327-d3П!O327</f>
        <v>0</v>
      </c>
      <c r="P332" s="328">
        <f>d3М!P327-d3П!P327</f>
        <v>0</v>
      </c>
      <c r="Q332" s="45"/>
      <c r="R332" s="46"/>
    </row>
    <row r="333" spans="1:18" ht="54.75" thickTop="1" thickBot="1" x14ac:dyDescent="0.25">
      <c r="A333" s="329" t="s">
        <v>820</v>
      </c>
      <c r="B333" s="329" t="s">
        <v>821</v>
      </c>
      <c r="C333" s="329"/>
      <c r="D333" s="329" t="s">
        <v>1508</v>
      </c>
      <c r="E333" s="328">
        <f>d3М!E328-d3П!E328</f>
        <v>0</v>
      </c>
      <c r="F333" s="328">
        <f>d3М!F328-d3П!F328</f>
        <v>0</v>
      </c>
      <c r="G333" s="328">
        <f>d3М!G328-d3П!G328</f>
        <v>0</v>
      </c>
      <c r="H333" s="328">
        <f>d3М!H328-d3П!H328</f>
        <v>0</v>
      </c>
      <c r="I333" s="328">
        <f>d3М!I328-d3П!I328</f>
        <v>0</v>
      </c>
      <c r="J333" s="328">
        <f>d3М!J328-d3П!J328</f>
        <v>0</v>
      </c>
      <c r="K333" s="328">
        <f>d3М!K328-d3П!K328</f>
        <v>0</v>
      </c>
      <c r="L333" s="328">
        <f>d3М!L328-d3П!L328</f>
        <v>0</v>
      </c>
      <c r="M333" s="328">
        <f>d3М!M328-d3П!M328</f>
        <v>0</v>
      </c>
      <c r="N333" s="328">
        <f>d3М!N328-d3П!N328</f>
        <v>0</v>
      </c>
      <c r="O333" s="328">
        <f>d3М!O328-d3П!O328</f>
        <v>0</v>
      </c>
      <c r="P333" s="328">
        <f>d3М!P328-d3П!P328</f>
        <v>0</v>
      </c>
      <c r="Q333" s="45"/>
      <c r="R333" s="46"/>
    </row>
    <row r="334" spans="1:18" ht="54" thickTop="1" thickBot="1" x14ac:dyDescent="0.25">
      <c r="A334" s="103" t="s">
        <v>310</v>
      </c>
      <c r="B334" s="103" t="s">
        <v>311</v>
      </c>
      <c r="C334" s="103" t="s">
        <v>304</v>
      </c>
      <c r="D334" s="103" t="s">
        <v>1504</v>
      </c>
      <c r="E334" s="328">
        <f>d3М!E329-d3П!E329</f>
        <v>0</v>
      </c>
      <c r="F334" s="328">
        <f>d3М!F329-d3П!F329</f>
        <v>0</v>
      </c>
      <c r="G334" s="328">
        <f>d3М!G329-d3П!G329</f>
        <v>0</v>
      </c>
      <c r="H334" s="328">
        <f>d3М!H329-d3П!H329</f>
        <v>0</v>
      </c>
      <c r="I334" s="328">
        <f>d3М!I329-d3П!I329</f>
        <v>0</v>
      </c>
      <c r="J334" s="328">
        <f>d3М!J329-d3П!J329</f>
        <v>0</v>
      </c>
      <c r="K334" s="328">
        <f>d3М!K329-d3П!K329</f>
        <v>0</v>
      </c>
      <c r="L334" s="328">
        <f>d3М!L329-d3П!L329</f>
        <v>0</v>
      </c>
      <c r="M334" s="328">
        <f>d3М!M329-d3П!M329</f>
        <v>0</v>
      </c>
      <c r="N334" s="328">
        <f>d3М!N329-d3П!N329</f>
        <v>0</v>
      </c>
      <c r="O334" s="328">
        <f>d3М!O329-d3П!O329</f>
        <v>0</v>
      </c>
      <c r="P334" s="328">
        <f>d3М!P329-d3П!P329</f>
        <v>0</v>
      </c>
      <c r="Q334" s="477"/>
      <c r="R334" s="46"/>
    </row>
    <row r="335" spans="1:18" ht="54" thickTop="1" thickBot="1" x14ac:dyDescent="0.25">
      <c r="A335" s="103" t="s">
        <v>516</v>
      </c>
      <c r="B335" s="103" t="s">
        <v>517</v>
      </c>
      <c r="C335" s="103" t="s">
        <v>304</v>
      </c>
      <c r="D335" s="103" t="s">
        <v>1509</v>
      </c>
      <c r="E335" s="328">
        <f>d3М!E330-d3П!E330</f>
        <v>0</v>
      </c>
      <c r="F335" s="328">
        <f>d3М!F330-d3П!F330</f>
        <v>0</v>
      </c>
      <c r="G335" s="328">
        <f>d3М!G330-d3П!G330</f>
        <v>0</v>
      </c>
      <c r="H335" s="328">
        <f>d3М!H330-d3П!H330</f>
        <v>0</v>
      </c>
      <c r="I335" s="328">
        <f>d3М!I330-d3П!I330</f>
        <v>0</v>
      </c>
      <c r="J335" s="328">
        <f>d3М!J330-d3П!J330</f>
        <v>0</v>
      </c>
      <c r="K335" s="328">
        <f>d3М!K330-d3П!K330</f>
        <v>0</v>
      </c>
      <c r="L335" s="328">
        <f>d3М!L330-d3П!L330</f>
        <v>0</v>
      </c>
      <c r="M335" s="328">
        <f>d3М!M330-d3П!M330</f>
        <v>0</v>
      </c>
      <c r="N335" s="328">
        <f>d3М!N330-d3П!N330</f>
        <v>0</v>
      </c>
      <c r="O335" s="328">
        <f>d3М!O330-d3П!O330</f>
        <v>0</v>
      </c>
      <c r="P335" s="328">
        <f>d3М!P330-d3П!P330</f>
        <v>0</v>
      </c>
      <c r="Q335" s="126"/>
      <c r="R335" s="46"/>
    </row>
    <row r="336" spans="1:18" ht="54" hidden="1" thickTop="1" thickBot="1" x14ac:dyDescent="0.25">
      <c r="A336" s="103" t="s">
        <v>312</v>
      </c>
      <c r="B336" s="103" t="s">
        <v>313</v>
      </c>
      <c r="C336" s="103" t="s">
        <v>304</v>
      </c>
      <c r="D336" s="103" t="s">
        <v>1510</v>
      </c>
      <c r="E336" s="328">
        <f>d3М!E331-d3П!E331</f>
        <v>0</v>
      </c>
      <c r="F336" s="328">
        <f>d3М!F331-d3П!F331</f>
        <v>0</v>
      </c>
      <c r="G336" s="328">
        <f>d3М!G331-d3П!G331</f>
        <v>0</v>
      </c>
      <c r="H336" s="328">
        <f>d3М!H331-d3П!H331</f>
        <v>0</v>
      </c>
      <c r="I336" s="328">
        <f>d3М!I331-d3П!I331</f>
        <v>0</v>
      </c>
      <c r="J336" s="328">
        <f>d3М!J331-d3П!J331</f>
        <v>0</v>
      </c>
      <c r="K336" s="328">
        <f>d3М!K331-d3П!K331</f>
        <v>0</v>
      </c>
      <c r="L336" s="328">
        <f>d3М!L331-d3П!L331</f>
        <v>0</v>
      </c>
      <c r="M336" s="328">
        <f>d3М!M331-d3П!M331</f>
        <v>0</v>
      </c>
      <c r="N336" s="328">
        <f>d3М!N331-d3П!N331</f>
        <v>0</v>
      </c>
      <c r="O336" s="328">
        <f>d3М!O331-d3П!O331</f>
        <v>0</v>
      </c>
      <c r="P336" s="328">
        <f>d3М!P331-d3П!P331</f>
        <v>0</v>
      </c>
      <c r="Q336" s="126"/>
    </row>
    <row r="337" spans="1:18" ht="54" thickTop="1" thickBot="1" x14ac:dyDescent="0.3">
      <c r="A337" s="103" t="s">
        <v>314</v>
      </c>
      <c r="B337" s="103" t="s">
        <v>315</v>
      </c>
      <c r="C337" s="103" t="s">
        <v>304</v>
      </c>
      <c r="D337" s="103" t="s">
        <v>1505</v>
      </c>
      <c r="E337" s="328">
        <f>d3М!E332-d3П!E332</f>
        <v>0</v>
      </c>
      <c r="F337" s="328">
        <f>d3М!F332-d3П!F332</f>
        <v>0</v>
      </c>
      <c r="G337" s="328">
        <f>d3М!G332-d3П!G332</f>
        <v>0</v>
      </c>
      <c r="H337" s="328">
        <f>d3М!H332-d3П!H332</f>
        <v>0</v>
      </c>
      <c r="I337" s="328">
        <f>d3М!I332-d3П!I332</f>
        <v>0</v>
      </c>
      <c r="J337" s="328">
        <f>d3М!J332-d3П!J332</f>
        <v>0</v>
      </c>
      <c r="K337" s="328">
        <f>d3М!K332-d3П!K332</f>
        <v>0</v>
      </c>
      <c r="L337" s="328">
        <f>d3М!L332-d3П!L332</f>
        <v>0</v>
      </c>
      <c r="M337" s="328">
        <f>d3М!M332-d3П!M332</f>
        <v>0</v>
      </c>
      <c r="N337" s="328">
        <f>d3М!N332-d3П!N332</f>
        <v>0</v>
      </c>
      <c r="O337" s="328">
        <f>d3М!O332-d3П!O332</f>
        <v>0</v>
      </c>
      <c r="P337" s="328">
        <f>d3М!P332-d3П!P332</f>
        <v>0</v>
      </c>
      <c r="Q337" s="162"/>
      <c r="R337" s="46"/>
    </row>
    <row r="338" spans="1:18" ht="48" hidden="1" thickTop="1" thickBot="1" x14ac:dyDescent="0.25">
      <c r="A338" s="41" t="s">
        <v>437</v>
      </c>
      <c r="B338" s="41" t="s">
        <v>350</v>
      </c>
      <c r="C338" s="41" t="s">
        <v>170</v>
      </c>
      <c r="D338" s="41" t="s">
        <v>262</v>
      </c>
      <c r="E338" s="42">
        <f>F338</f>
        <v>0</v>
      </c>
      <c r="F338" s="43"/>
      <c r="G338" s="43"/>
      <c r="H338" s="43"/>
      <c r="I338" s="43"/>
      <c r="J338" s="42">
        <f t="shared" ref="J338" si="80">L338+O338</f>
        <v>0</v>
      </c>
      <c r="K338" s="43">
        <v>0</v>
      </c>
      <c r="L338" s="43"/>
      <c r="M338" s="43"/>
      <c r="N338" s="43"/>
      <c r="O338" s="44">
        <f>K338</f>
        <v>0</v>
      </c>
      <c r="P338" s="42">
        <f t="shared" ref="P338" si="81">E338+J338</f>
        <v>0</v>
      </c>
      <c r="Q338" s="20"/>
      <c r="R338" s="46"/>
    </row>
    <row r="339" spans="1:18" ht="47.25" hidden="1" thickTop="1" thickBot="1" x14ac:dyDescent="0.25">
      <c r="A339" s="136" t="s">
        <v>988</v>
      </c>
      <c r="B339" s="136" t="s">
        <v>691</v>
      </c>
      <c r="C339" s="136"/>
      <c r="D339" s="136" t="s">
        <v>689</v>
      </c>
      <c r="E339" s="159">
        <f>E340</f>
        <v>0</v>
      </c>
      <c r="F339" s="159">
        <f>F340</f>
        <v>0</v>
      </c>
      <c r="G339" s="159">
        <f>G340</f>
        <v>0</v>
      </c>
      <c r="H339" s="159">
        <f>H340</f>
        <v>0</v>
      </c>
      <c r="I339" s="159">
        <f>I340</f>
        <v>0</v>
      </c>
      <c r="J339" s="159">
        <f t="shared" ref="J339:O339" si="82">J340</f>
        <v>0</v>
      </c>
      <c r="K339" s="159">
        <f t="shared" si="82"/>
        <v>0</v>
      </c>
      <c r="L339" s="159">
        <f t="shared" si="82"/>
        <v>0</v>
      </c>
      <c r="M339" s="159">
        <f t="shared" si="82"/>
        <v>0</v>
      </c>
      <c r="N339" s="159">
        <f t="shared" si="82"/>
        <v>0</v>
      </c>
      <c r="O339" s="159">
        <f t="shared" si="82"/>
        <v>0</v>
      </c>
      <c r="P339" s="159">
        <f>P340</f>
        <v>0</v>
      </c>
      <c r="Q339" s="20"/>
      <c r="R339" s="46"/>
    </row>
    <row r="340" spans="1:18" ht="48" hidden="1" thickTop="1" thickBot="1" x14ac:dyDescent="0.25">
      <c r="A340" s="140" t="s">
        <v>989</v>
      </c>
      <c r="B340" s="140" t="s">
        <v>694</v>
      </c>
      <c r="C340" s="140"/>
      <c r="D340" s="140" t="s">
        <v>797</v>
      </c>
      <c r="E340" s="158">
        <f>E341+E343</f>
        <v>0</v>
      </c>
      <c r="F340" s="158">
        <f t="shared" ref="F340:P340" si="83">F341+F343</f>
        <v>0</v>
      </c>
      <c r="G340" s="158">
        <f t="shared" si="83"/>
        <v>0</v>
      </c>
      <c r="H340" s="158">
        <f t="shared" si="83"/>
        <v>0</v>
      </c>
      <c r="I340" s="158">
        <f t="shared" si="83"/>
        <v>0</v>
      </c>
      <c r="J340" s="158">
        <f t="shared" si="83"/>
        <v>0</v>
      </c>
      <c r="K340" s="158">
        <f t="shared" si="83"/>
        <v>0</v>
      </c>
      <c r="L340" s="158">
        <f t="shared" si="83"/>
        <v>0</v>
      </c>
      <c r="M340" s="158">
        <f t="shared" si="83"/>
        <v>0</v>
      </c>
      <c r="N340" s="158">
        <f t="shared" si="83"/>
        <v>0</v>
      </c>
      <c r="O340" s="158">
        <f t="shared" si="83"/>
        <v>0</v>
      </c>
      <c r="P340" s="158">
        <f t="shared" si="83"/>
        <v>0</v>
      </c>
      <c r="Q340" s="20"/>
      <c r="R340" s="46"/>
    </row>
    <row r="341" spans="1:18" ht="138.75" hidden="1" thickTop="1" thickBot="1" x14ac:dyDescent="0.7">
      <c r="A341" s="793" t="s">
        <v>990</v>
      </c>
      <c r="B341" s="793" t="s">
        <v>338</v>
      </c>
      <c r="C341" s="793" t="s">
        <v>170</v>
      </c>
      <c r="D341" s="163" t="s">
        <v>440</v>
      </c>
      <c r="E341" s="794">
        <f t="shared" ref="E341" si="84">F341</f>
        <v>0</v>
      </c>
      <c r="F341" s="795"/>
      <c r="G341" s="795"/>
      <c r="H341" s="795"/>
      <c r="I341" s="795"/>
      <c r="J341" s="794">
        <f t="shared" ref="J341" si="85">L341+O341</f>
        <v>0</v>
      </c>
      <c r="K341" s="795"/>
      <c r="L341" s="795"/>
      <c r="M341" s="795"/>
      <c r="N341" s="795"/>
      <c r="O341" s="799">
        <f>K341</f>
        <v>0</v>
      </c>
      <c r="P341" s="792">
        <f>E341+J341</f>
        <v>0</v>
      </c>
      <c r="Q341" s="20"/>
      <c r="R341" s="46"/>
    </row>
    <row r="342" spans="1:18" ht="93" hidden="1" thickTop="1" thickBot="1" x14ac:dyDescent="0.25">
      <c r="A342" s="793"/>
      <c r="B342" s="793"/>
      <c r="C342" s="793"/>
      <c r="D342" s="164" t="s">
        <v>441</v>
      </c>
      <c r="E342" s="794"/>
      <c r="F342" s="795"/>
      <c r="G342" s="795"/>
      <c r="H342" s="795"/>
      <c r="I342" s="795"/>
      <c r="J342" s="794"/>
      <c r="K342" s="795"/>
      <c r="L342" s="795"/>
      <c r="M342" s="795"/>
      <c r="N342" s="795"/>
      <c r="O342" s="799"/>
      <c r="P342" s="792"/>
      <c r="Q342" s="20"/>
      <c r="R342" s="46"/>
    </row>
    <row r="343" spans="1:18" ht="48" hidden="1" thickTop="1" thickBot="1" x14ac:dyDescent="0.25">
      <c r="A343" s="128" t="s">
        <v>1193</v>
      </c>
      <c r="B343" s="128" t="s">
        <v>257</v>
      </c>
      <c r="C343" s="128" t="s">
        <v>170</v>
      </c>
      <c r="D343" s="156" t="s">
        <v>255</v>
      </c>
      <c r="E343" s="127">
        <f>F343</f>
        <v>0</v>
      </c>
      <c r="F343" s="134"/>
      <c r="G343" s="134"/>
      <c r="H343" s="134"/>
      <c r="I343" s="134"/>
      <c r="J343" s="127">
        <f t="shared" ref="J343" si="86">L343+O343</f>
        <v>0</v>
      </c>
      <c r="K343" s="134"/>
      <c r="L343" s="134"/>
      <c r="M343" s="134"/>
      <c r="N343" s="134"/>
      <c r="O343" s="132">
        <f>K343</f>
        <v>0</v>
      </c>
      <c r="P343" s="127">
        <f t="shared" ref="P343" si="87">E343+J343</f>
        <v>0</v>
      </c>
      <c r="Q343" s="20"/>
      <c r="R343" s="46"/>
    </row>
    <row r="344" spans="1:18" ht="120" customHeight="1" thickTop="1" thickBot="1" x14ac:dyDescent="0.25">
      <c r="A344" s="661" t="s">
        <v>160</v>
      </c>
      <c r="B344" s="661"/>
      <c r="C344" s="661"/>
      <c r="D344" s="662" t="s">
        <v>893</v>
      </c>
      <c r="E344" s="663">
        <f>E345</f>
        <v>0</v>
      </c>
      <c r="F344" s="664">
        <f t="shared" ref="F344:G344" si="88">F345</f>
        <v>0</v>
      </c>
      <c r="G344" s="664">
        <f t="shared" si="88"/>
        <v>0</v>
      </c>
      <c r="H344" s="664">
        <f>H345</f>
        <v>0</v>
      </c>
      <c r="I344" s="664">
        <f t="shared" ref="I344" si="89">I345</f>
        <v>0</v>
      </c>
      <c r="J344" s="663">
        <f>J345</f>
        <v>0</v>
      </c>
      <c r="K344" s="664">
        <f>K345</f>
        <v>0</v>
      </c>
      <c r="L344" s="664">
        <f>L345</f>
        <v>0</v>
      </c>
      <c r="M344" s="664">
        <f t="shared" ref="M344" si="90">M345</f>
        <v>0</v>
      </c>
      <c r="N344" s="664">
        <f>N345</f>
        <v>0</v>
      </c>
      <c r="O344" s="663">
        <f>O345</f>
        <v>0</v>
      </c>
      <c r="P344" s="664">
        <f t="shared" ref="P344" si="91">P345</f>
        <v>0</v>
      </c>
      <c r="Q344" s="20"/>
    </row>
    <row r="345" spans="1:18" ht="120" customHeight="1" thickTop="1" thickBot="1" x14ac:dyDescent="0.25">
      <c r="A345" s="658" t="s">
        <v>161</v>
      </c>
      <c r="B345" s="658"/>
      <c r="C345" s="658"/>
      <c r="D345" s="659" t="s">
        <v>894</v>
      </c>
      <c r="E345" s="660">
        <f>E346+E350</f>
        <v>0</v>
      </c>
      <c r="F345" s="660">
        <f>F346+F350</f>
        <v>0</v>
      </c>
      <c r="G345" s="660">
        <f>G346+G350</f>
        <v>0</v>
      </c>
      <c r="H345" s="660">
        <f>H346+H350</f>
        <v>0</v>
      </c>
      <c r="I345" s="660">
        <f>I346+I350</f>
        <v>0</v>
      </c>
      <c r="J345" s="660">
        <f>L345+O345</f>
        <v>0</v>
      </c>
      <c r="K345" s="660">
        <f>K346+K350</f>
        <v>0</v>
      </c>
      <c r="L345" s="660">
        <f>L346+L350</f>
        <v>0</v>
      </c>
      <c r="M345" s="660">
        <f>M346+M350</f>
        <v>0</v>
      </c>
      <c r="N345" s="660">
        <f>N346+N350</f>
        <v>0</v>
      </c>
      <c r="O345" s="660">
        <f>O346+O350</f>
        <v>0</v>
      </c>
      <c r="P345" s="660">
        <f>E345+J345</f>
        <v>0</v>
      </c>
      <c r="Q345" s="503" t="b">
        <f>P345=P347+P349</f>
        <v>1</v>
      </c>
      <c r="R345" s="46"/>
    </row>
    <row r="346" spans="1:18" ht="47.25" thickTop="1" thickBot="1" x14ac:dyDescent="0.25">
      <c r="A346" s="311" t="s">
        <v>822</v>
      </c>
      <c r="B346" s="311" t="s">
        <v>684</v>
      </c>
      <c r="C346" s="311"/>
      <c r="D346" s="311" t="s">
        <v>685</v>
      </c>
      <c r="E346" s="328">
        <f>d3М!E341-d3П!E341</f>
        <v>0</v>
      </c>
      <c r="F346" s="328">
        <f>d3М!F341-d3П!F341</f>
        <v>0</v>
      </c>
      <c r="G346" s="328">
        <f>d3М!G341-d3П!G341</f>
        <v>0</v>
      </c>
      <c r="H346" s="328">
        <f>d3М!H341-d3П!H341</f>
        <v>0</v>
      </c>
      <c r="I346" s="328">
        <f>d3М!I341-d3П!I341</f>
        <v>0</v>
      </c>
      <c r="J346" s="328">
        <f>d3М!J341-d3П!J341</f>
        <v>0</v>
      </c>
      <c r="K346" s="328">
        <f>d3М!K341-d3П!K341</f>
        <v>0</v>
      </c>
      <c r="L346" s="328">
        <f>d3М!L341-d3П!L341</f>
        <v>0</v>
      </c>
      <c r="M346" s="328">
        <f>d3М!M341-d3П!M341</f>
        <v>0</v>
      </c>
      <c r="N346" s="328">
        <f>d3М!N341-d3П!N341</f>
        <v>0</v>
      </c>
      <c r="O346" s="328">
        <f>d3М!O341-d3П!O341</f>
        <v>0</v>
      </c>
      <c r="P346" s="328">
        <f>d3М!P341-d3П!P341</f>
        <v>0</v>
      </c>
      <c r="Q346" s="47"/>
      <c r="R346" s="46"/>
    </row>
    <row r="347" spans="1:18" ht="93" thickTop="1" thickBot="1" x14ac:dyDescent="0.25">
      <c r="A347" s="103" t="s">
        <v>419</v>
      </c>
      <c r="B347" s="103" t="s">
        <v>236</v>
      </c>
      <c r="C347" s="103" t="s">
        <v>234</v>
      </c>
      <c r="D347" s="103" t="s">
        <v>235</v>
      </c>
      <c r="E347" s="328">
        <f>d3М!E342-d3П!E342</f>
        <v>0</v>
      </c>
      <c r="F347" s="328">
        <f>d3М!F342-d3П!F342</f>
        <v>0</v>
      </c>
      <c r="G347" s="328">
        <f>d3М!G342-d3П!G342</f>
        <v>0</v>
      </c>
      <c r="H347" s="328">
        <f>d3М!H342-d3П!H342</f>
        <v>0</v>
      </c>
      <c r="I347" s="328">
        <f>d3М!I342-d3П!I342</f>
        <v>0</v>
      </c>
      <c r="J347" s="328">
        <f>d3М!J342-d3П!J342</f>
        <v>0</v>
      </c>
      <c r="K347" s="328">
        <f>d3М!K342-d3П!K342</f>
        <v>0</v>
      </c>
      <c r="L347" s="328">
        <f>d3М!L342-d3П!L342</f>
        <v>0</v>
      </c>
      <c r="M347" s="328">
        <f>d3М!M342-d3П!M342</f>
        <v>0</v>
      </c>
      <c r="N347" s="328">
        <f>d3М!N342-d3П!N342</f>
        <v>0</v>
      </c>
      <c r="O347" s="328">
        <f>d3М!O342-d3П!O342</f>
        <v>0</v>
      </c>
      <c r="P347" s="328">
        <f>d3М!P342-d3П!P342</f>
        <v>0</v>
      </c>
      <c r="Q347" s="47"/>
      <c r="R347" s="46"/>
    </row>
    <row r="348" spans="1:18" ht="93" hidden="1" thickTop="1" thickBot="1" x14ac:dyDescent="0.25">
      <c r="A348" s="128" t="s">
        <v>631</v>
      </c>
      <c r="B348" s="128" t="s">
        <v>362</v>
      </c>
      <c r="C348" s="128" t="s">
        <v>625</v>
      </c>
      <c r="D348" s="128" t="s">
        <v>626</v>
      </c>
      <c r="E348" s="328">
        <f>d3М!E343-d3П!E343</f>
        <v>0</v>
      </c>
      <c r="F348" s="328">
        <f>d3М!F343-d3П!F343</f>
        <v>0</v>
      </c>
      <c r="G348" s="328">
        <f>d3М!G343-d3П!G343</f>
        <v>0</v>
      </c>
      <c r="H348" s="328">
        <f>d3М!H343-d3П!H343</f>
        <v>0</v>
      </c>
      <c r="I348" s="328">
        <f>d3М!I343-d3П!I343</f>
        <v>0</v>
      </c>
      <c r="J348" s="328">
        <f>d3М!J343-d3П!J343</f>
        <v>0</v>
      </c>
      <c r="K348" s="328">
        <f>d3М!K343-d3П!K343</f>
        <v>0</v>
      </c>
      <c r="L348" s="328">
        <f>d3М!L343-d3П!L343</f>
        <v>0</v>
      </c>
      <c r="M348" s="328">
        <f>d3М!M343-d3П!M343</f>
        <v>0</v>
      </c>
      <c r="N348" s="328">
        <f>d3М!N343-d3П!N343</f>
        <v>0</v>
      </c>
      <c r="O348" s="328">
        <f>d3М!O343-d3П!O343</f>
        <v>0</v>
      </c>
      <c r="P348" s="328">
        <f>d3М!P343-d3П!P343</f>
        <v>0</v>
      </c>
      <c r="Q348" s="47"/>
      <c r="R348" s="46"/>
    </row>
    <row r="349" spans="1:18" ht="69.75" customHeight="1" thickTop="1" thickBot="1" x14ac:dyDescent="0.25">
      <c r="A349" s="695" t="s">
        <v>1260</v>
      </c>
      <c r="B349" s="695" t="s">
        <v>43</v>
      </c>
      <c r="C349" s="695" t="s">
        <v>42</v>
      </c>
      <c r="D349" s="695" t="s">
        <v>248</v>
      </c>
      <c r="E349" s="328">
        <f>d3М!E344-d3П!E344</f>
        <v>0</v>
      </c>
      <c r="F349" s="328">
        <f>d3М!F344-d3П!F344</f>
        <v>0</v>
      </c>
      <c r="G349" s="328">
        <f>d3М!G344-d3П!G344</f>
        <v>0</v>
      </c>
      <c r="H349" s="328">
        <f>d3М!H344-d3П!H344</f>
        <v>0</v>
      </c>
      <c r="I349" s="328">
        <f>d3М!I344-d3П!I344</f>
        <v>0</v>
      </c>
      <c r="J349" s="328">
        <f>d3М!J344-d3П!J344</f>
        <v>0</v>
      </c>
      <c r="K349" s="328">
        <f>d3М!K344-d3П!K344</f>
        <v>0</v>
      </c>
      <c r="L349" s="328">
        <f>d3М!L344-d3П!L344</f>
        <v>0</v>
      </c>
      <c r="M349" s="328">
        <f>d3М!M344-d3П!M344</f>
        <v>0</v>
      </c>
      <c r="N349" s="328">
        <f>d3М!N344-d3П!N344</f>
        <v>0</v>
      </c>
      <c r="O349" s="328">
        <f>d3М!O344-d3П!O344</f>
        <v>0</v>
      </c>
      <c r="P349" s="328">
        <f>d3М!P344-d3П!P344</f>
        <v>0</v>
      </c>
      <c r="Q349" s="47"/>
      <c r="R349" s="46"/>
    </row>
    <row r="350" spans="1:18" ht="47.25" hidden="1" thickTop="1" thickBot="1" x14ac:dyDescent="0.25">
      <c r="A350" s="125" t="s">
        <v>909</v>
      </c>
      <c r="B350" s="125" t="s">
        <v>748</v>
      </c>
      <c r="C350" s="128"/>
      <c r="D350" s="125" t="s">
        <v>794</v>
      </c>
      <c r="E350" s="127">
        <f>E351</f>
        <v>0</v>
      </c>
      <c r="F350" s="127">
        <f t="shared" ref="F350:P351" si="92">F351</f>
        <v>0</v>
      </c>
      <c r="G350" s="127">
        <f t="shared" si="92"/>
        <v>0</v>
      </c>
      <c r="H350" s="127">
        <f t="shared" si="92"/>
        <v>0</v>
      </c>
      <c r="I350" s="127">
        <f t="shared" si="92"/>
        <v>0</v>
      </c>
      <c r="J350" s="127">
        <f t="shared" si="92"/>
        <v>0</v>
      </c>
      <c r="K350" s="127">
        <f t="shared" si="92"/>
        <v>0</v>
      </c>
      <c r="L350" s="127">
        <f t="shared" si="92"/>
        <v>0</v>
      </c>
      <c r="M350" s="127">
        <f t="shared" si="92"/>
        <v>0</v>
      </c>
      <c r="N350" s="127">
        <f t="shared" si="92"/>
        <v>0</v>
      </c>
      <c r="O350" s="127">
        <f t="shared" si="92"/>
        <v>0</v>
      </c>
      <c r="P350" s="127">
        <f t="shared" si="92"/>
        <v>0</v>
      </c>
      <c r="Q350" s="47"/>
      <c r="R350" s="46"/>
    </row>
    <row r="351" spans="1:18" ht="47.25" hidden="1" thickTop="1" thickBot="1" x14ac:dyDescent="0.25">
      <c r="A351" s="136" t="s">
        <v>910</v>
      </c>
      <c r="B351" s="136" t="s">
        <v>803</v>
      </c>
      <c r="C351" s="136"/>
      <c r="D351" s="136" t="s">
        <v>804</v>
      </c>
      <c r="E351" s="137">
        <f>E352</f>
        <v>0</v>
      </c>
      <c r="F351" s="137">
        <f t="shared" si="92"/>
        <v>0</v>
      </c>
      <c r="G351" s="137">
        <f t="shared" si="92"/>
        <v>0</v>
      </c>
      <c r="H351" s="137">
        <f t="shared" si="92"/>
        <v>0</v>
      </c>
      <c r="I351" s="137">
        <f t="shared" si="92"/>
        <v>0</v>
      </c>
      <c r="J351" s="137">
        <f t="shared" si="92"/>
        <v>0</v>
      </c>
      <c r="K351" s="137">
        <f t="shared" si="92"/>
        <v>0</v>
      </c>
      <c r="L351" s="137">
        <f t="shared" si="92"/>
        <v>0</v>
      </c>
      <c r="M351" s="137">
        <f t="shared" si="92"/>
        <v>0</v>
      </c>
      <c r="N351" s="137">
        <f t="shared" si="92"/>
        <v>0</v>
      </c>
      <c r="O351" s="137">
        <f t="shared" si="92"/>
        <v>0</v>
      </c>
      <c r="P351" s="137">
        <f t="shared" si="92"/>
        <v>0</v>
      </c>
      <c r="Q351" s="47"/>
      <c r="R351" s="46"/>
    </row>
    <row r="352" spans="1:18" ht="48" hidden="1" thickTop="1" thickBot="1" x14ac:dyDescent="0.25">
      <c r="A352" s="128" t="s">
        <v>911</v>
      </c>
      <c r="B352" s="128" t="s">
        <v>912</v>
      </c>
      <c r="C352" s="128" t="s">
        <v>304</v>
      </c>
      <c r="D352" s="128" t="s">
        <v>913</v>
      </c>
      <c r="E352" s="152">
        <f>F352</f>
        <v>0</v>
      </c>
      <c r="F352" s="129"/>
      <c r="G352" s="129"/>
      <c r="H352" s="129"/>
      <c r="I352" s="129"/>
      <c r="J352" s="127">
        <f t="shared" ref="J352" si="93">L352+O352</f>
        <v>0</v>
      </c>
      <c r="K352" s="129">
        <v>0</v>
      </c>
      <c r="L352" s="130"/>
      <c r="M352" s="130"/>
      <c r="N352" s="130"/>
      <c r="O352" s="132">
        <f t="shared" ref="O352" si="94">K352</f>
        <v>0</v>
      </c>
      <c r="P352" s="127">
        <f t="shared" ref="P352" si="95">+J352+E352</f>
        <v>0</v>
      </c>
      <c r="Q352" s="47"/>
      <c r="R352" s="46"/>
    </row>
    <row r="353" spans="1:18" ht="120" customHeight="1" thickTop="1" thickBot="1" x14ac:dyDescent="0.25">
      <c r="A353" s="661" t="s">
        <v>444</v>
      </c>
      <c r="B353" s="661"/>
      <c r="C353" s="661"/>
      <c r="D353" s="662" t="s">
        <v>446</v>
      </c>
      <c r="E353" s="663">
        <f>E354</f>
        <v>0</v>
      </c>
      <c r="F353" s="664">
        <f t="shared" ref="F353:G353" si="96">F354</f>
        <v>0</v>
      </c>
      <c r="G353" s="664">
        <f t="shared" si="96"/>
        <v>0</v>
      </c>
      <c r="H353" s="664">
        <f>H354</f>
        <v>0</v>
      </c>
      <c r="I353" s="664">
        <f t="shared" ref="I353" si="97">I354</f>
        <v>0</v>
      </c>
      <c r="J353" s="663">
        <f>J354</f>
        <v>0</v>
      </c>
      <c r="K353" s="664">
        <f>K354</f>
        <v>0</v>
      </c>
      <c r="L353" s="664">
        <f>L354</f>
        <v>0</v>
      </c>
      <c r="M353" s="664">
        <f t="shared" ref="M353" si="98">M354</f>
        <v>0</v>
      </c>
      <c r="N353" s="664">
        <f>N354</f>
        <v>0</v>
      </c>
      <c r="O353" s="663">
        <f>O354</f>
        <v>0</v>
      </c>
      <c r="P353" s="664">
        <f t="shared" ref="P353" si="99">P354</f>
        <v>0</v>
      </c>
      <c r="Q353" s="20"/>
    </row>
    <row r="354" spans="1:18" ht="120" customHeight="1" thickTop="1" thickBot="1" x14ac:dyDescent="0.25">
      <c r="A354" s="658" t="s">
        <v>445</v>
      </c>
      <c r="B354" s="658"/>
      <c r="C354" s="658"/>
      <c r="D354" s="659" t="s">
        <v>447</v>
      </c>
      <c r="E354" s="660">
        <f t="shared" ref="E354:O354" si="100">E355+E358+E367+E370</f>
        <v>0</v>
      </c>
      <c r="F354" s="660">
        <f t="shared" si="100"/>
        <v>0</v>
      </c>
      <c r="G354" s="660">
        <f t="shared" si="100"/>
        <v>0</v>
      </c>
      <c r="H354" s="660">
        <f t="shared" si="100"/>
        <v>0</v>
      </c>
      <c r="I354" s="660">
        <f t="shared" si="100"/>
        <v>0</v>
      </c>
      <c r="J354" s="660">
        <f t="shared" si="100"/>
        <v>0</v>
      </c>
      <c r="K354" s="660">
        <f t="shared" si="100"/>
        <v>0</v>
      </c>
      <c r="L354" s="660">
        <f t="shared" si="100"/>
        <v>0</v>
      </c>
      <c r="M354" s="660">
        <f t="shared" si="100"/>
        <v>0</v>
      </c>
      <c r="N354" s="660">
        <f t="shared" si="100"/>
        <v>0</v>
      </c>
      <c r="O354" s="660">
        <f t="shared" si="100"/>
        <v>0</v>
      </c>
      <c r="P354" s="660">
        <f>E354+J354</f>
        <v>0</v>
      </c>
      <c r="Q354" s="503" t="b">
        <f>P354=P356+P361+P363+P369+P366</f>
        <v>1</v>
      </c>
      <c r="R354" s="46"/>
    </row>
    <row r="355" spans="1:18" ht="47.25" thickTop="1" thickBot="1" x14ac:dyDescent="0.25">
      <c r="A355" s="311" t="s">
        <v>823</v>
      </c>
      <c r="B355" s="311" t="s">
        <v>684</v>
      </c>
      <c r="C355" s="311"/>
      <c r="D355" s="311" t="s">
        <v>685</v>
      </c>
      <c r="E355" s="328">
        <f>d3М!E350-d3П!E350</f>
        <v>0</v>
      </c>
      <c r="F355" s="328">
        <f>d3М!F350-d3П!F350</f>
        <v>0</v>
      </c>
      <c r="G355" s="328">
        <f>d3М!G350-d3П!G350</f>
        <v>0</v>
      </c>
      <c r="H355" s="328">
        <f>d3М!H350-d3П!H350</f>
        <v>0</v>
      </c>
      <c r="I355" s="328">
        <f>d3М!I350-d3П!I350</f>
        <v>0</v>
      </c>
      <c r="J355" s="328">
        <f>d3М!J350-d3П!J350</f>
        <v>0</v>
      </c>
      <c r="K355" s="328">
        <f>d3М!K350-d3П!K350</f>
        <v>0</v>
      </c>
      <c r="L355" s="328">
        <f>d3М!L350-d3П!L350</f>
        <v>0</v>
      </c>
      <c r="M355" s="328">
        <f>d3М!M350-d3П!M350</f>
        <v>0</v>
      </c>
      <c r="N355" s="328">
        <f>d3М!N350-d3П!N350</f>
        <v>0</v>
      </c>
      <c r="O355" s="328">
        <f>d3М!O350-d3П!O350</f>
        <v>0</v>
      </c>
      <c r="P355" s="328">
        <f>d3М!P350-d3П!P350</f>
        <v>0</v>
      </c>
      <c r="Q355" s="47"/>
      <c r="R355" s="46"/>
    </row>
    <row r="356" spans="1:18" ht="93" thickTop="1" thickBot="1" x14ac:dyDescent="0.25">
      <c r="A356" s="103" t="s">
        <v>448</v>
      </c>
      <c r="B356" s="103" t="s">
        <v>236</v>
      </c>
      <c r="C356" s="103" t="s">
        <v>234</v>
      </c>
      <c r="D356" s="103" t="s">
        <v>235</v>
      </c>
      <c r="E356" s="328">
        <f>d3М!E351-d3П!E351</f>
        <v>0</v>
      </c>
      <c r="F356" s="328">
        <f>d3М!F351-d3П!F351</f>
        <v>0</v>
      </c>
      <c r="G356" s="328">
        <f>d3М!G351-d3П!G351</f>
        <v>0</v>
      </c>
      <c r="H356" s="328">
        <f>d3М!H351-d3П!H351</f>
        <v>0</v>
      </c>
      <c r="I356" s="328">
        <f>d3М!I351-d3П!I351</f>
        <v>0</v>
      </c>
      <c r="J356" s="328">
        <f>d3М!J351-d3П!J351</f>
        <v>0</v>
      </c>
      <c r="K356" s="328">
        <f>d3М!K351-d3П!K351</f>
        <v>0</v>
      </c>
      <c r="L356" s="328">
        <f>d3М!L351-d3П!L351</f>
        <v>0</v>
      </c>
      <c r="M356" s="328">
        <f>d3М!M351-d3П!M351</f>
        <v>0</v>
      </c>
      <c r="N356" s="328">
        <f>d3М!N351-d3П!N351</f>
        <v>0</v>
      </c>
      <c r="O356" s="328">
        <f>d3М!O351-d3П!O351</f>
        <v>0</v>
      </c>
      <c r="P356" s="328">
        <f>d3М!P351-d3П!P351</f>
        <v>0</v>
      </c>
      <c r="Q356" s="47"/>
      <c r="R356" s="46"/>
    </row>
    <row r="357" spans="1:18" ht="93" hidden="1" thickTop="1" thickBot="1" x14ac:dyDescent="0.25">
      <c r="A357" s="128" t="s">
        <v>632</v>
      </c>
      <c r="B357" s="128" t="s">
        <v>362</v>
      </c>
      <c r="C357" s="128" t="s">
        <v>625</v>
      </c>
      <c r="D357" s="128" t="s">
        <v>626</v>
      </c>
      <c r="E357" s="328">
        <f>d3М!E352-d3П!E352</f>
        <v>0</v>
      </c>
      <c r="F357" s="328">
        <f>d3М!F352-d3П!F352</f>
        <v>0</v>
      </c>
      <c r="G357" s="328">
        <f>d3М!G352-d3П!G352</f>
        <v>0</v>
      </c>
      <c r="H357" s="328">
        <f>d3М!H352-d3П!H352</f>
        <v>0</v>
      </c>
      <c r="I357" s="328">
        <f>d3М!I352-d3П!I352</f>
        <v>0</v>
      </c>
      <c r="J357" s="328">
        <f>d3М!J352-d3П!J352</f>
        <v>0</v>
      </c>
      <c r="K357" s="328">
        <f>d3М!K352-d3П!K352</f>
        <v>0</v>
      </c>
      <c r="L357" s="328">
        <f>d3М!L352-d3П!L352</f>
        <v>0</v>
      </c>
      <c r="M357" s="328">
        <f>d3М!M352-d3П!M352</f>
        <v>0</v>
      </c>
      <c r="N357" s="328">
        <f>d3М!N352-d3П!N352</f>
        <v>0</v>
      </c>
      <c r="O357" s="328">
        <f>d3М!O352-d3П!O352</f>
        <v>0</v>
      </c>
      <c r="P357" s="328">
        <f>d3М!P352-d3П!P352</f>
        <v>0</v>
      </c>
      <c r="Q357" s="47"/>
      <c r="R357" s="46"/>
    </row>
    <row r="358" spans="1:18" ht="47.25" thickTop="1" thickBot="1" x14ac:dyDescent="0.25">
      <c r="A358" s="311" t="s">
        <v>824</v>
      </c>
      <c r="B358" s="311" t="s">
        <v>748</v>
      </c>
      <c r="C358" s="103"/>
      <c r="D358" s="311" t="s">
        <v>794</v>
      </c>
      <c r="E358" s="328">
        <f>d3М!E353-d3П!E353</f>
        <v>0</v>
      </c>
      <c r="F358" s="328">
        <f>d3М!F353-d3П!F353</f>
        <v>0</v>
      </c>
      <c r="G358" s="328">
        <f>d3М!G353-d3П!G353</f>
        <v>0</v>
      </c>
      <c r="H358" s="328">
        <f>d3М!H353-d3П!H353</f>
        <v>0</v>
      </c>
      <c r="I358" s="328">
        <f>d3М!I353-d3П!I353</f>
        <v>0</v>
      </c>
      <c r="J358" s="328">
        <f>d3М!J353-d3П!J353</f>
        <v>0</v>
      </c>
      <c r="K358" s="328">
        <f>d3М!K353-d3П!K353</f>
        <v>0</v>
      </c>
      <c r="L358" s="328">
        <f>d3М!L353-d3П!L353</f>
        <v>0</v>
      </c>
      <c r="M358" s="328">
        <f>d3М!M353-d3П!M353</f>
        <v>0</v>
      </c>
      <c r="N358" s="328">
        <f>d3М!N353-d3П!N353</f>
        <v>0</v>
      </c>
      <c r="O358" s="328">
        <f>d3М!O353-d3П!O353</f>
        <v>0</v>
      </c>
      <c r="P358" s="328">
        <f>d3М!P353-d3П!P353</f>
        <v>0</v>
      </c>
      <c r="Q358" s="47"/>
      <c r="R358" s="50"/>
    </row>
    <row r="359" spans="1:18" ht="47.25" thickTop="1" thickBot="1" x14ac:dyDescent="0.25">
      <c r="A359" s="313" t="s">
        <v>825</v>
      </c>
      <c r="B359" s="313" t="s">
        <v>806</v>
      </c>
      <c r="C359" s="313"/>
      <c r="D359" s="313" t="s">
        <v>807</v>
      </c>
      <c r="E359" s="328">
        <f>d3М!E354-d3П!E354</f>
        <v>0</v>
      </c>
      <c r="F359" s="328">
        <f>d3М!F354-d3П!F354</f>
        <v>0</v>
      </c>
      <c r="G359" s="328">
        <f>d3М!G354-d3П!G354</f>
        <v>0</v>
      </c>
      <c r="H359" s="328">
        <f>d3М!H354-d3П!H354</f>
        <v>0</v>
      </c>
      <c r="I359" s="328">
        <f>d3М!I354-d3П!I354</f>
        <v>0</v>
      </c>
      <c r="J359" s="328">
        <f>d3М!J354-d3П!J354</f>
        <v>0</v>
      </c>
      <c r="K359" s="328">
        <f>d3М!K354-d3П!K354</f>
        <v>0</v>
      </c>
      <c r="L359" s="328">
        <f>d3М!L354-d3П!L354</f>
        <v>0</v>
      </c>
      <c r="M359" s="328">
        <f>d3М!M354-d3П!M354</f>
        <v>0</v>
      </c>
      <c r="N359" s="328">
        <f>d3М!N354-d3П!N354</f>
        <v>0</v>
      </c>
      <c r="O359" s="328">
        <f>d3М!O354-d3П!O354</f>
        <v>0</v>
      </c>
      <c r="P359" s="328">
        <f>d3М!P354-d3П!P354</f>
        <v>0</v>
      </c>
      <c r="Q359" s="47"/>
      <c r="R359" s="50"/>
    </row>
    <row r="360" spans="1:18" ht="93" thickTop="1" thickBot="1" x14ac:dyDescent="0.25">
      <c r="A360" s="329" t="s">
        <v>1014</v>
      </c>
      <c r="B360" s="329" t="s">
        <v>1015</v>
      </c>
      <c r="C360" s="329"/>
      <c r="D360" s="329" t="s">
        <v>1013</v>
      </c>
      <c r="E360" s="328">
        <f>d3М!E355-d3П!E355</f>
        <v>0</v>
      </c>
      <c r="F360" s="328">
        <f>d3М!F355-d3П!F355</f>
        <v>0</v>
      </c>
      <c r="G360" s="328">
        <f>d3М!G355-d3П!G355</f>
        <v>0</v>
      </c>
      <c r="H360" s="328">
        <f>d3М!H355-d3П!H355</f>
        <v>0</v>
      </c>
      <c r="I360" s="328">
        <f>d3М!I355-d3П!I355</f>
        <v>0</v>
      </c>
      <c r="J360" s="328">
        <f>d3М!J355-d3П!J355</f>
        <v>0</v>
      </c>
      <c r="K360" s="328">
        <f>d3М!K355-d3П!K355</f>
        <v>0</v>
      </c>
      <c r="L360" s="328">
        <f>d3М!L355-d3П!L355</f>
        <v>0</v>
      </c>
      <c r="M360" s="328">
        <f>d3М!M355-d3П!M355</f>
        <v>0</v>
      </c>
      <c r="N360" s="328">
        <f>d3М!N355-d3П!N355</f>
        <v>0</v>
      </c>
      <c r="O360" s="328">
        <f>d3М!O355-d3П!O355</f>
        <v>0</v>
      </c>
      <c r="P360" s="328">
        <f>d3М!P355-d3П!P355</f>
        <v>0</v>
      </c>
      <c r="Q360" s="47"/>
      <c r="R360" s="50"/>
    </row>
    <row r="361" spans="1:18" ht="47.25" thickTop="1" thickBot="1" x14ac:dyDescent="0.25">
      <c r="A361" s="103" t="s">
        <v>467</v>
      </c>
      <c r="B361" s="103" t="s">
        <v>412</v>
      </c>
      <c r="C361" s="103" t="s">
        <v>413</v>
      </c>
      <c r="D361" s="103" t="s">
        <v>414</v>
      </c>
      <c r="E361" s="328">
        <f>d3М!E356-d3П!E356</f>
        <v>0</v>
      </c>
      <c r="F361" s="328">
        <f>d3М!F356-d3П!F356</f>
        <v>0</v>
      </c>
      <c r="G361" s="328">
        <f>d3М!G356-d3П!G356</f>
        <v>0</v>
      </c>
      <c r="H361" s="328">
        <f>d3М!H356-d3П!H356</f>
        <v>0</v>
      </c>
      <c r="I361" s="328">
        <f>d3М!I356-d3П!I356</f>
        <v>0</v>
      </c>
      <c r="J361" s="328">
        <f>d3М!J356-d3П!J356</f>
        <v>0</v>
      </c>
      <c r="K361" s="328">
        <f>d3М!K356-d3П!K356</f>
        <v>0</v>
      </c>
      <c r="L361" s="328">
        <f>d3М!L356-d3П!L356</f>
        <v>0</v>
      </c>
      <c r="M361" s="328">
        <f>d3М!M356-d3П!M356</f>
        <v>0</v>
      </c>
      <c r="N361" s="328">
        <f>d3М!N356-d3П!N356</f>
        <v>0</v>
      </c>
      <c r="O361" s="328">
        <f>d3М!O356-d3П!O356</f>
        <v>0</v>
      </c>
      <c r="P361" s="328">
        <f>d3М!P356-d3П!P356</f>
        <v>0</v>
      </c>
      <c r="Q361" s="47"/>
      <c r="R361" s="50"/>
    </row>
    <row r="362" spans="1:18" ht="47.25" thickTop="1" thickBot="1" x14ac:dyDescent="0.25">
      <c r="A362" s="329" t="s">
        <v>826</v>
      </c>
      <c r="B362" s="329" t="s">
        <v>827</v>
      </c>
      <c r="C362" s="329"/>
      <c r="D362" s="329" t="s">
        <v>828</v>
      </c>
      <c r="E362" s="328">
        <f>d3М!E357-d3П!E357</f>
        <v>0</v>
      </c>
      <c r="F362" s="328">
        <f>d3М!F357-d3П!F357</f>
        <v>0</v>
      </c>
      <c r="G362" s="328">
        <f>d3М!G357-d3П!G357</f>
        <v>0</v>
      </c>
      <c r="H362" s="328">
        <f>d3М!H357-d3П!H357</f>
        <v>0</v>
      </c>
      <c r="I362" s="328">
        <f>d3М!I357-d3П!I357</f>
        <v>0</v>
      </c>
      <c r="J362" s="328">
        <f>d3М!J357-d3П!J357</f>
        <v>0</v>
      </c>
      <c r="K362" s="328">
        <f>d3М!K357-d3П!K357</f>
        <v>0</v>
      </c>
      <c r="L362" s="328">
        <f>d3М!L357-d3П!L357</f>
        <v>0</v>
      </c>
      <c r="M362" s="328">
        <f>d3М!M357-d3П!M357</f>
        <v>0</v>
      </c>
      <c r="N362" s="328">
        <f>d3М!N357-d3П!N357</f>
        <v>0</v>
      </c>
      <c r="O362" s="328">
        <f>d3М!O357-d3П!O357</f>
        <v>0</v>
      </c>
      <c r="P362" s="328">
        <f>d3М!P357-d3П!P357</f>
        <v>0</v>
      </c>
      <c r="Q362" s="47"/>
      <c r="R362" s="50"/>
    </row>
    <row r="363" spans="1:18" ht="47.25" thickTop="1" thickBot="1" x14ac:dyDescent="0.25">
      <c r="A363" s="103" t="s">
        <v>468</v>
      </c>
      <c r="B363" s="103" t="s">
        <v>291</v>
      </c>
      <c r="C363" s="103" t="s">
        <v>1367</v>
      </c>
      <c r="D363" s="103" t="s">
        <v>292</v>
      </c>
      <c r="E363" s="328">
        <f>d3М!E358-d3П!E358</f>
        <v>0</v>
      </c>
      <c r="F363" s="328">
        <f>d3М!F358-d3П!F358</f>
        <v>0</v>
      </c>
      <c r="G363" s="328">
        <f>d3М!G358-d3П!G358</f>
        <v>0</v>
      </c>
      <c r="H363" s="328">
        <f>d3М!H358-d3П!H358</f>
        <v>0</v>
      </c>
      <c r="I363" s="328">
        <f>d3М!I358-d3П!I358</f>
        <v>0</v>
      </c>
      <c r="J363" s="328">
        <f>d3М!J358-d3П!J358</f>
        <v>0</v>
      </c>
      <c r="K363" s="328">
        <f>d3М!K358-d3П!K358</f>
        <v>0</v>
      </c>
      <c r="L363" s="328">
        <f>d3М!L358-d3П!L358</f>
        <v>0</v>
      </c>
      <c r="M363" s="328">
        <f>d3М!M358-d3П!M358</f>
        <v>0</v>
      </c>
      <c r="N363" s="328">
        <f>d3М!N358-d3П!N358</f>
        <v>0</v>
      </c>
      <c r="O363" s="328">
        <f>d3М!O358-d3П!O358</f>
        <v>0</v>
      </c>
      <c r="P363" s="328">
        <f>d3М!P358-d3П!P358</f>
        <v>0</v>
      </c>
      <c r="Q363" s="47"/>
      <c r="R363" s="50"/>
    </row>
    <row r="364" spans="1:18" ht="47.25" hidden="1" thickTop="1" thickBot="1" x14ac:dyDescent="0.25">
      <c r="A364" s="128" t="s">
        <v>1097</v>
      </c>
      <c r="B364" s="128" t="s">
        <v>1098</v>
      </c>
      <c r="C364" s="128" t="s">
        <v>295</v>
      </c>
      <c r="D364" s="128" t="s">
        <v>1096</v>
      </c>
      <c r="E364" s="328">
        <f>d3М!E359-d3П!E359</f>
        <v>0</v>
      </c>
      <c r="F364" s="328">
        <f>d3М!F359-d3П!F359</f>
        <v>0</v>
      </c>
      <c r="G364" s="328">
        <f>d3М!G359-d3П!G359</f>
        <v>0</v>
      </c>
      <c r="H364" s="328">
        <f>d3М!H359-d3П!H359</f>
        <v>0</v>
      </c>
      <c r="I364" s="328">
        <f>d3М!I359-d3П!I359</f>
        <v>0</v>
      </c>
      <c r="J364" s="328">
        <f>d3М!J359-d3П!J359</f>
        <v>0</v>
      </c>
      <c r="K364" s="328">
        <f>d3М!K359-d3П!K359</f>
        <v>0</v>
      </c>
      <c r="L364" s="328">
        <f>d3М!L359-d3П!L359</f>
        <v>0</v>
      </c>
      <c r="M364" s="328">
        <f>d3М!M359-d3П!M359</f>
        <v>0</v>
      </c>
      <c r="N364" s="328">
        <f>d3М!N359-d3П!N359</f>
        <v>0</v>
      </c>
      <c r="O364" s="328">
        <f>d3М!O359-d3П!O359</f>
        <v>0</v>
      </c>
      <c r="P364" s="328">
        <f>d3М!P359-d3П!P359</f>
        <v>0</v>
      </c>
      <c r="Q364" s="47"/>
      <c r="R364" s="50"/>
    </row>
    <row r="365" spans="1:18" ht="47.25" thickTop="1" thickBot="1" x14ac:dyDescent="0.25">
      <c r="A365" s="698" t="s">
        <v>1173</v>
      </c>
      <c r="B365" s="698" t="s">
        <v>691</v>
      </c>
      <c r="C365" s="698"/>
      <c r="D365" s="698" t="s">
        <v>689</v>
      </c>
      <c r="E365" s="328">
        <f>d3М!E360-d3П!E360</f>
        <v>0</v>
      </c>
      <c r="F365" s="328">
        <f>d3М!F360-d3П!F360</f>
        <v>0</v>
      </c>
      <c r="G365" s="328">
        <f>d3М!G360-d3П!G360</f>
        <v>0</v>
      </c>
      <c r="H365" s="328">
        <f>d3М!H360-d3П!H360</f>
        <v>0</v>
      </c>
      <c r="I365" s="328">
        <f>d3М!I360-d3П!I360</f>
        <v>0</v>
      </c>
      <c r="J365" s="328">
        <f>d3М!J360-d3П!J360</f>
        <v>0</v>
      </c>
      <c r="K365" s="328">
        <f>d3М!K360-d3П!K360</f>
        <v>0</v>
      </c>
      <c r="L365" s="328">
        <f>d3М!L360-d3П!L360</f>
        <v>0</v>
      </c>
      <c r="M365" s="328">
        <f>d3М!M360-d3П!M360</f>
        <v>0</v>
      </c>
      <c r="N365" s="328">
        <f>d3М!N360-d3П!N360</f>
        <v>0</v>
      </c>
      <c r="O365" s="328">
        <f>d3М!O360-d3П!O360</f>
        <v>0</v>
      </c>
      <c r="P365" s="328">
        <f>d3М!P360-d3П!P360</f>
        <v>0</v>
      </c>
      <c r="Q365" s="47"/>
      <c r="R365" s="50"/>
    </row>
    <row r="366" spans="1:18" ht="47.25" thickTop="1" thickBot="1" x14ac:dyDescent="0.25">
      <c r="A366" s="695" t="s">
        <v>1174</v>
      </c>
      <c r="B366" s="695" t="s">
        <v>197</v>
      </c>
      <c r="C366" s="695" t="s">
        <v>170</v>
      </c>
      <c r="D366" s="695" t="s">
        <v>1175</v>
      </c>
      <c r="E366" s="328">
        <f>d3М!E361-d3П!E361</f>
        <v>0</v>
      </c>
      <c r="F366" s="328">
        <f>d3М!F361-d3П!F361</f>
        <v>0</v>
      </c>
      <c r="G366" s="328">
        <f>d3М!G361-d3П!G361</f>
        <v>0</v>
      </c>
      <c r="H366" s="328">
        <f>d3М!H361-d3П!H361</f>
        <v>0</v>
      </c>
      <c r="I366" s="328">
        <f>d3М!I361-d3П!I361</f>
        <v>0</v>
      </c>
      <c r="J366" s="328">
        <f>d3М!J361-d3П!J361</f>
        <v>0</v>
      </c>
      <c r="K366" s="328">
        <f>d3М!K361-d3П!K361</f>
        <v>0</v>
      </c>
      <c r="L366" s="328">
        <f>d3М!L361-d3П!L361</f>
        <v>0</v>
      </c>
      <c r="M366" s="328">
        <f>d3М!M361-d3П!M361</f>
        <v>0</v>
      </c>
      <c r="N366" s="328">
        <f>d3М!N361-d3П!N361</f>
        <v>0</v>
      </c>
      <c r="O366" s="328">
        <f>d3М!O361-d3П!O361</f>
        <v>0</v>
      </c>
      <c r="P366" s="328">
        <f>d3М!P361-d3П!P361</f>
        <v>0</v>
      </c>
      <c r="Q366" s="47"/>
      <c r="R366" s="50"/>
    </row>
    <row r="367" spans="1:18" ht="47.25" thickTop="1" thickBot="1" x14ac:dyDescent="0.25">
      <c r="A367" s="311" t="s">
        <v>1219</v>
      </c>
      <c r="B367" s="311" t="s">
        <v>696</v>
      </c>
      <c r="C367" s="311"/>
      <c r="D367" s="311" t="s">
        <v>697</v>
      </c>
      <c r="E367" s="328">
        <f>d3М!E362-d3П!E362</f>
        <v>0</v>
      </c>
      <c r="F367" s="328">
        <f>d3М!F362-d3П!F362</f>
        <v>0</v>
      </c>
      <c r="G367" s="328">
        <f>d3М!G362-d3П!G362</f>
        <v>0</v>
      </c>
      <c r="H367" s="328">
        <f>d3М!H362-d3П!H362</f>
        <v>0</v>
      </c>
      <c r="I367" s="328">
        <f>d3М!I362-d3П!I362</f>
        <v>0</v>
      </c>
      <c r="J367" s="328">
        <f>d3М!J362-d3П!J362</f>
        <v>0</v>
      </c>
      <c r="K367" s="328">
        <f>d3М!K362-d3П!K362</f>
        <v>0</v>
      </c>
      <c r="L367" s="328">
        <f>d3М!L362-d3П!L362</f>
        <v>0</v>
      </c>
      <c r="M367" s="328">
        <f>d3М!M362-d3П!M362</f>
        <v>0</v>
      </c>
      <c r="N367" s="328">
        <f>d3М!N362-d3П!N362</f>
        <v>0</v>
      </c>
      <c r="O367" s="328">
        <f>d3М!O362-d3П!O362</f>
        <v>0</v>
      </c>
      <c r="P367" s="328">
        <f>d3М!P362-d3П!P362</f>
        <v>0</v>
      </c>
      <c r="Q367" s="47"/>
      <c r="R367" s="50"/>
    </row>
    <row r="368" spans="1:18" ht="47.25" thickTop="1" thickBot="1" x14ac:dyDescent="0.25">
      <c r="A368" s="313" t="s">
        <v>1220</v>
      </c>
      <c r="B368" s="313" t="s">
        <v>1186</v>
      </c>
      <c r="C368" s="313"/>
      <c r="D368" s="313" t="s">
        <v>1184</v>
      </c>
      <c r="E368" s="328">
        <f>d3М!E363-d3П!E363</f>
        <v>0</v>
      </c>
      <c r="F368" s="328">
        <f>d3М!F363-d3П!F363</f>
        <v>0</v>
      </c>
      <c r="G368" s="328">
        <f>d3М!G363-d3П!G363</f>
        <v>0</v>
      </c>
      <c r="H368" s="328">
        <f>d3М!H363-d3П!H363</f>
        <v>0</v>
      </c>
      <c r="I368" s="328">
        <f>d3М!I363-d3П!I363</f>
        <v>0</v>
      </c>
      <c r="J368" s="328">
        <f>d3М!J363-d3П!J363</f>
        <v>0</v>
      </c>
      <c r="K368" s="328">
        <f>d3М!K363-d3П!K363</f>
        <v>0</v>
      </c>
      <c r="L368" s="328">
        <f>d3М!L363-d3П!L363</f>
        <v>0</v>
      </c>
      <c r="M368" s="328">
        <f>d3М!M363-d3П!M363</f>
        <v>0</v>
      </c>
      <c r="N368" s="328">
        <f>d3М!N363-d3П!N363</f>
        <v>0</v>
      </c>
      <c r="O368" s="328">
        <f>d3М!O363-d3П!O363</f>
        <v>0</v>
      </c>
      <c r="P368" s="328">
        <f>d3М!P363-d3П!P363</f>
        <v>0</v>
      </c>
      <c r="Q368" s="47"/>
      <c r="R368" s="50"/>
    </row>
    <row r="369" spans="1:18" ht="47.25" thickTop="1" thickBot="1" x14ac:dyDescent="0.25">
      <c r="A369" s="103" t="s">
        <v>1221</v>
      </c>
      <c r="B369" s="103" t="s">
        <v>1222</v>
      </c>
      <c r="C369" s="103" t="s">
        <v>1188</v>
      </c>
      <c r="D369" s="103" t="s">
        <v>1223</v>
      </c>
      <c r="E369" s="328">
        <f>d3М!E364-d3П!E364</f>
        <v>0</v>
      </c>
      <c r="F369" s="328">
        <f>d3М!F364-d3П!F364</f>
        <v>0</v>
      </c>
      <c r="G369" s="328">
        <f>d3М!G364-d3П!G364</f>
        <v>0</v>
      </c>
      <c r="H369" s="328">
        <f>d3М!H364-d3П!H364</f>
        <v>0</v>
      </c>
      <c r="I369" s="328">
        <f>d3М!I364-d3П!I364</f>
        <v>0</v>
      </c>
      <c r="J369" s="328">
        <f>d3М!J364-d3П!J364</f>
        <v>0</v>
      </c>
      <c r="K369" s="328">
        <f>d3М!K364-d3П!K364</f>
        <v>0</v>
      </c>
      <c r="L369" s="328">
        <f>d3М!L364-d3П!L364</f>
        <v>0</v>
      </c>
      <c r="M369" s="328">
        <f>d3М!M364-d3П!M364</f>
        <v>0</v>
      </c>
      <c r="N369" s="328">
        <f>d3М!N364-d3П!N364</f>
        <v>0</v>
      </c>
      <c r="O369" s="328">
        <f>d3М!O364-d3П!O364</f>
        <v>0</v>
      </c>
      <c r="P369" s="328">
        <f>d3М!P364-d3П!P364</f>
        <v>0</v>
      </c>
      <c r="Q369" s="47"/>
      <c r="R369" s="50"/>
    </row>
    <row r="370" spans="1:18" ht="47.25" hidden="1" thickTop="1" thickBot="1" x14ac:dyDescent="0.25">
      <c r="A370" s="125" t="s">
        <v>1334</v>
      </c>
      <c r="B370" s="125" t="s">
        <v>702</v>
      </c>
      <c r="C370" s="125"/>
      <c r="D370" s="125" t="s">
        <v>703</v>
      </c>
      <c r="E370" s="127">
        <f t="shared" ref="E370:P370" si="101">E371</f>
        <v>0</v>
      </c>
      <c r="F370" s="127">
        <f t="shared" si="101"/>
        <v>0</v>
      </c>
      <c r="G370" s="127">
        <f t="shared" si="101"/>
        <v>0</v>
      </c>
      <c r="H370" s="127">
        <f t="shared" si="101"/>
        <v>0</v>
      </c>
      <c r="I370" s="127">
        <f t="shared" si="101"/>
        <v>0</v>
      </c>
      <c r="J370" s="127">
        <f t="shared" si="101"/>
        <v>0</v>
      </c>
      <c r="K370" s="127">
        <f t="shared" si="101"/>
        <v>0</v>
      </c>
      <c r="L370" s="127">
        <f t="shared" si="101"/>
        <v>0</v>
      </c>
      <c r="M370" s="127">
        <f t="shared" si="101"/>
        <v>0</v>
      </c>
      <c r="N370" s="127">
        <f t="shared" si="101"/>
        <v>0</v>
      </c>
      <c r="O370" s="127">
        <f t="shared" si="101"/>
        <v>0</v>
      </c>
      <c r="P370" s="127">
        <f t="shared" si="101"/>
        <v>0</v>
      </c>
      <c r="Q370" s="47"/>
      <c r="R370" s="50"/>
    </row>
    <row r="371" spans="1:18" ht="91.5" hidden="1" thickTop="1" thickBot="1" x14ac:dyDescent="0.25">
      <c r="A371" s="136" t="s">
        <v>1335</v>
      </c>
      <c r="B371" s="136" t="s">
        <v>514</v>
      </c>
      <c r="C371" s="136" t="s">
        <v>43</v>
      </c>
      <c r="D371" s="136" t="s">
        <v>515</v>
      </c>
      <c r="E371" s="137">
        <f t="shared" ref="E371" si="102">F371</f>
        <v>0</v>
      </c>
      <c r="F371" s="137">
        <v>0</v>
      </c>
      <c r="G371" s="137"/>
      <c r="H371" s="137"/>
      <c r="I371" s="137"/>
      <c r="J371" s="137">
        <f>L371+O371</f>
        <v>0</v>
      </c>
      <c r="K371" s="134"/>
      <c r="L371" s="137"/>
      <c r="M371" s="137"/>
      <c r="N371" s="137"/>
      <c r="O371" s="137">
        <f>(K371+0)</f>
        <v>0</v>
      </c>
      <c r="P371" s="137">
        <f>E371+J371</f>
        <v>0</v>
      </c>
      <c r="Q371" s="47"/>
      <c r="R371" s="50"/>
    </row>
    <row r="372" spans="1:18" ht="120" customHeight="1" thickTop="1" thickBot="1" x14ac:dyDescent="0.25">
      <c r="A372" s="661" t="s">
        <v>166</v>
      </c>
      <c r="B372" s="661"/>
      <c r="C372" s="661"/>
      <c r="D372" s="662" t="s">
        <v>354</v>
      </c>
      <c r="E372" s="663">
        <f>E373</f>
        <v>0</v>
      </c>
      <c r="F372" s="664">
        <f t="shared" ref="F372:G372" si="103">F373</f>
        <v>0</v>
      </c>
      <c r="G372" s="664">
        <f t="shared" si="103"/>
        <v>0</v>
      </c>
      <c r="H372" s="664">
        <f>H373</f>
        <v>0</v>
      </c>
      <c r="I372" s="664">
        <f t="shared" ref="I372" si="104">I373</f>
        <v>0</v>
      </c>
      <c r="J372" s="663">
        <f>J373</f>
        <v>0</v>
      </c>
      <c r="K372" s="664">
        <f>K373</f>
        <v>0</v>
      </c>
      <c r="L372" s="664">
        <f>L373</f>
        <v>0</v>
      </c>
      <c r="M372" s="664">
        <f t="shared" ref="M372" si="105">M373</f>
        <v>0</v>
      </c>
      <c r="N372" s="664">
        <f>N373</f>
        <v>0</v>
      </c>
      <c r="O372" s="663">
        <f>O373</f>
        <v>0</v>
      </c>
      <c r="P372" s="664">
        <f t="shared" ref="P372" si="106">P373</f>
        <v>0</v>
      </c>
      <c r="Q372" s="20"/>
    </row>
    <row r="373" spans="1:18" ht="120" customHeight="1" thickTop="1" thickBot="1" x14ac:dyDescent="0.25">
      <c r="A373" s="658" t="s">
        <v>167</v>
      </c>
      <c r="B373" s="658"/>
      <c r="C373" s="658"/>
      <c r="D373" s="659" t="s">
        <v>355</v>
      </c>
      <c r="E373" s="660">
        <f>E377+E389+E386+E374</f>
        <v>0</v>
      </c>
      <c r="F373" s="660">
        <f>F377+F389+F386+F374</f>
        <v>0</v>
      </c>
      <c r="G373" s="660">
        <f>G377+G389+G386+G374</f>
        <v>0</v>
      </c>
      <c r="H373" s="660">
        <f>H377+H389+H386+H374</f>
        <v>0</v>
      </c>
      <c r="I373" s="660">
        <f>I377+I389+I386+I374</f>
        <v>0</v>
      </c>
      <c r="J373" s="660">
        <f>L373+O373</f>
        <v>0</v>
      </c>
      <c r="K373" s="660">
        <f>K377+K389+K386+K374</f>
        <v>0</v>
      </c>
      <c r="L373" s="660">
        <f>L377+L389+L386+L374</f>
        <v>0</v>
      </c>
      <c r="M373" s="660">
        <f>M377+M389+M386+M374</f>
        <v>0</v>
      </c>
      <c r="N373" s="660">
        <f>N377+N389+N386+N374</f>
        <v>0</v>
      </c>
      <c r="O373" s="660">
        <f>O377+O389+O386+O374</f>
        <v>0</v>
      </c>
      <c r="P373" s="660">
        <f>E373+J373</f>
        <v>0</v>
      </c>
      <c r="Q373" s="503" t="b">
        <f>P373=P379+P381+P382+P383+P375+P388+P376</f>
        <v>1</v>
      </c>
      <c r="R373" s="46"/>
    </row>
    <row r="374" spans="1:18" ht="47.25" thickTop="1" thickBot="1" x14ac:dyDescent="0.25">
      <c r="A374" s="311" t="s">
        <v>1308</v>
      </c>
      <c r="B374" s="311" t="s">
        <v>711</v>
      </c>
      <c r="C374" s="311"/>
      <c r="D374" s="311" t="s">
        <v>712</v>
      </c>
      <c r="E374" s="328">
        <f>d3М!E369-d3П!E369</f>
        <v>0</v>
      </c>
      <c r="F374" s="328">
        <f>d3М!F369-d3П!F369</f>
        <v>0</v>
      </c>
      <c r="G374" s="328">
        <f>d3М!G369-d3П!G369</f>
        <v>0</v>
      </c>
      <c r="H374" s="328">
        <f>d3М!H369-d3П!H369</f>
        <v>0</v>
      </c>
      <c r="I374" s="328">
        <f>d3М!I369-d3П!I369</f>
        <v>0</v>
      </c>
      <c r="J374" s="328">
        <f>d3М!J369-d3П!J369</f>
        <v>0</v>
      </c>
      <c r="K374" s="328">
        <f>d3М!K369-d3П!K369</f>
        <v>0</v>
      </c>
      <c r="L374" s="328">
        <f>d3М!L369-d3П!L369</f>
        <v>0</v>
      </c>
      <c r="M374" s="328">
        <f>d3М!M369-d3П!M369</f>
        <v>0</v>
      </c>
      <c r="N374" s="328">
        <f>d3М!N369-d3П!N369</f>
        <v>0</v>
      </c>
      <c r="O374" s="328">
        <f>d3М!O369-d3П!O369</f>
        <v>0</v>
      </c>
      <c r="P374" s="328">
        <f>d3М!P369-d3П!P369</f>
        <v>0</v>
      </c>
      <c r="Q374" s="47"/>
      <c r="R374" s="46"/>
    </row>
    <row r="375" spans="1:18" ht="93" thickTop="1" thickBot="1" x14ac:dyDescent="0.25">
      <c r="A375" s="103" t="s">
        <v>1309</v>
      </c>
      <c r="B375" s="103" t="s">
        <v>1200</v>
      </c>
      <c r="C375" s="103" t="s">
        <v>206</v>
      </c>
      <c r="D375" s="470" t="s">
        <v>1201</v>
      </c>
      <c r="E375" s="328">
        <f>d3М!E370-d3П!E370</f>
        <v>0</v>
      </c>
      <c r="F375" s="328">
        <f>d3М!F370-d3П!F370</f>
        <v>0</v>
      </c>
      <c r="G375" s="328">
        <f>d3М!G370-d3П!G370</f>
        <v>0</v>
      </c>
      <c r="H375" s="328">
        <f>d3М!H370-d3П!H370</f>
        <v>0</v>
      </c>
      <c r="I375" s="328">
        <f>d3М!I370-d3П!I370</f>
        <v>0</v>
      </c>
      <c r="J375" s="328">
        <f>d3М!J370-d3П!J370</f>
        <v>0</v>
      </c>
      <c r="K375" s="328">
        <f>d3М!K370-d3П!K370</f>
        <v>0</v>
      </c>
      <c r="L375" s="328">
        <f>d3М!L370-d3П!L370</f>
        <v>0</v>
      </c>
      <c r="M375" s="328">
        <f>d3М!M370-d3П!M370</f>
        <v>0</v>
      </c>
      <c r="N375" s="328">
        <f>d3М!N370-d3П!N370</f>
        <v>0</v>
      </c>
      <c r="O375" s="328">
        <f>d3М!O370-d3П!O370</f>
        <v>0</v>
      </c>
      <c r="P375" s="328">
        <f>d3М!P370-d3П!P370</f>
        <v>0</v>
      </c>
      <c r="Q375" s="47"/>
      <c r="R375" s="46"/>
    </row>
    <row r="376" spans="1:18" ht="54" customHeight="1" thickTop="1" thickBot="1" x14ac:dyDescent="0.25">
      <c r="A376" s="695" t="s">
        <v>1621</v>
      </c>
      <c r="B376" s="695" t="s">
        <v>330</v>
      </c>
      <c r="C376" s="695" t="s">
        <v>191</v>
      </c>
      <c r="D376" s="696" t="s">
        <v>332</v>
      </c>
      <c r="E376" s="328">
        <f>0-0</f>
        <v>0</v>
      </c>
      <c r="F376" s="328">
        <f t="shared" ref="F376:P376" si="107">0-0</f>
        <v>0</v>
      </c>
      <c r="G376" s="328">
        <f t="shared" si="107"/>
        <v>0</v>
      </c>
      <c r="H376" s="328">
        <f t="shared" si="107"/>
        <v>0</v>
      </c>
      <c r="I376" s="328">
        <f t="shared" si="107"/>
        <v>0</v>
      </c>
      <c r="J376" s="328">
        <f t="shared" si="107"/>
        <v>0</v>
      </c>
      <c r="K376" s="328">
        <f t="shared" si="107"/>
        <v>0</v>
      </c>
      <c r="L376" s="328">
        <f t="shared" si="107"/>
        <v>0</v>
      </c>
      <c r="M376" s="328">
        <f t="shared" si="107"/>
        <v>0</v>
      </c>
      <c r="N376" s="328">
        <f t="shared" si="107"/>
        <v>0</v>
      </c>
      <c r="O376" s="328">
        <f t="shared" si="107"/>
        <v>0</v>
      </c>
      <c r="P376" s="328">
        <f t="shared" si="107"/>
        <v>0</v>
      </c>
      <c r="Q376" s="47"/>
      <c r="R376" s="46"/>
    </row>
    <row r="377" spans="1:18" ht="44.25" customHeight="1" thickTop="1" thickBot="1" x14ac:dyDescent="0.25">
      <c r="A377" s="311" t="s">
        <v>829</v>
      </c>
      <c r="B377" s="311" t="s">
        <v>748</v>
      </c>
      <c r="C377" s="103"/>
      <c r="D377" s="311" t="s">
        <v>794</v>
      </c>
      <c r="E377" s="587">
        <f>d3М!E371-d3П!E371</f>
        <v>0</v>
      </c>
      <c r="F377" s="587">
        <f>d3М!F371-d3П!F371</f>
        <v>0</v>
      </c>
      <c r="G377" s="587">
        <f>d3М!G371-d3П!G371</f>
        <v>0</v>
      </c>
      <c r="H377" s="587">
        <f>d3М!H371-d3П!H371</f>
        <v>0</v>
      </c>
      <c r="I377" s="587">
        <f>d3М!I371-d3П!I371</f>
        <v>0</v>
      </c>
      <c r="J377" s="587">
        <f>d3М!J371-d3П!J371</f>
        <v>0</v>
      </c>
      <c r="K377" s="587">
        <f>d3М!K371-d3П!K371</f>
        <v>0</v>
      </c>
      <c r="L377" s="587">
        <f>d3М!L371-d3П!L371</f>
        <v>0</v>
      </c>
      <c r="M377" s="587">
        <f>d3М!M371-d3П!M371</f>
        <v>0</v>
      </c>
      <c r="N377" s="587">
        <f>d3М!N371-d3П!N371</f>
        <v>0</v>
      </c>
      <c r="O377" s="587">
        <f>d3М!O371-d3П!O371</f>
        <v>0</v>
      </c>
      <c r="P377" s="587">
        <f>d3М!P371-d3П!P371</f>
        <v>0</v>
      </c>
      <c r="Q377" s="47"/>
      <c r="R377" s="46"/>
    </row>
    <row r="378" spans="1:18" ht="47.25" thickTop="1" thickBot="1" x14ac:dyDescent="0.25">
      <c r="A378" s="313" t="s">
        <v>1011</v>
      </c>
      <c r="B378" s="313" t="s">
        <v>803</v>
      </c>
      <c r="C378" s="313"/>
      <c r="D378" s="313" t="s">
        <v>804</v>
      </c>
      <c r="E378" s="587">
        <f>d3М!E372-d3П!E372</f>
        <v>0</v>
      </c>
      <c r="F378" s="587">
        <f>d3М!F372-d3П!F372</f>
        <v>0</v>
      </c>
      <c r="G378" s="587">
        <f>d3М!G372-d3П!G372</f>
        <v>0</v>
      </c>
      <c r="H378" s="587">
        <f>d3М!H372-d3П!H372</f>
        <v>0</v>
      </c>
      <c r="I378" s="587">
        <f>d3М!I372-d3П!I372</f>
        <v>0</v>
      </c>
      <c r="J378" s="587">
        <f>d3М!J372-d3П!J372</f>
        <v>0</v>
      </c>
      <c r="K378" s="587">
        <f>d3М!K372-d3П!K372</f>
        <v>0</v>
      </c>
      <c r="L378" s="587">
        <f>d3М!L372-d3П!L372</f>
        <v>0</v>
      </c>
      <c r="M378" s="587">
        <f>d3М!M372-d3П!M372</f>
        <v>0</v>
      </c>
      <c r="N378" s="587">
        <f>d3М!N372-d3П!N372</f>
        <v>0</v>
      </c>
      <c r="O378" s="587">
        <f>d3М!O372-d3П!O372</f>
        <v>0</v>
      </c>
      <c r="P378" s="587">
        <f>d3М!P372-d3П!P372</f>
        <v>0</v>
      </c>
      <c r="Q378" s="47"/>
      <c r="R378" s="46"/>
    </row>
    <row r="379" spans="1:18" ht="47.25" thickTop="1" thickBot="1" x14ac:dyDescent="0.25">
      <c r="A379" s="103" t="s">
        <v>1012</v>
      </c>
      <c r="B379" s="103" t="s">
        <v>350</v>
      </c>
      <c r="C379" s="103" t="s">
        <v>170</v>
      </c>
      <c r="D379" s="103" t="s">
        <v>262</v>
      </c>
      <c r="E379" s="587">
        <f>d3М!E373-d3П!E373</f>
        <v>0</v>
      </c>
      <c r="F379" s="587">
        <f>d3М!F373-d3П!F373</f>
        <v>0</v>
      </c>
      <c r="G379" s="587">
        <f>d3М!G373-d3П!G373</f>
        <v>0</v>
      </c>
      <c r="H379" s="587">
        <f>d3М!H373-d3П!H373</f>
        <v>0</v>
      </c>
      <c r="I379" s="587">
        <f>d3М!I373-d3П!I373</f>
        <v>0</v>
      </c>
      <c r="J379" s="587">
        <f>d3М!J373-d3П!J373</f>
        <v>0</v>
      </c>
      <c r="K379" s="587">
        <f>d3М!K373-d3П!K373</f>
        <v>0</v>
      </c>
      <c r="L379" s="587">
        <f>d3М!L373-d3П!L373</f>
        <v>0</v>
      </c>
      <c r="M379" s="587">
        <f>d3М!M373-d3П!M373</f>
        <v>0</v>
      </c>
      <c r="N379" s="587">
        <f>d3М!N373-d3П!N373</f>
        <v>0</v>
      </c>
      <c r="O379" s="587">
        <f>d3М!O373-d3П!O373</f>
        <v>0</v>
      </c>
      <c r="P379" s="587">
        <f>d3М!P373-d3П!P373</f>
        <v>0</v>
      </c>
      <c r="Q379" s="47"/>
      <c r="R379" s="46"/>
    </row>
    <row r="380" spans="1:18" ht="47.25" thickTop="1" thickBot="1" x14ac:dyDescent="0.25">
      <c r="A380" s="313" t="s">
        <v>830</v>
      </c>
      <c r="B380" s="313" t="s">
        <v>691</v>
      </c>
      <c r="C380" s="313"/>
      <c r="D380" s="313" t="s">
        <v>689</v>
      </c>
      <c r="E380" s="587">
        <f>d3М!E374-d3П!E374</f>
        <v>0</v>
      </c>
      <c r="F380" s="587">
        <f>d3М!F374-d3П!F374</f>
        <v>0</v>
      </c>
      <c r="G380" s="587">
        <f>d3М!G374-d3П!G374</f>
        <v>0</v>
      </c>
      <c r="H380" s="587">
        <f>d3М!H374-d3П!H374</f>
        <v>0</v>
      </c>
      <c r="I380" s="587">
        <f>d3М!I374-d3П!I374</f>
        <v>0</v>
      </c>
      <c r="J380" s="587">
        <f>d3М!J374-d3П!J374</f>
        <v>0</v>
      </c>
      <c r="K380" s="587">
        <f>d3М!K374-d3П!K374</f>
        <v>0</v>
      </c>
      <c r="L380" s="587">
        <f>d3М!L374-d3П!L374</f>
        <v>0</v>
      </c>
      <c r="M380" s="587">
        <f>d3М!M374-d3П!M374</f>
        <v>0</v>
      </c>
      <c r="N380" s="587">
        <f>d3М!N374-d3П!N374</f>
        <v>0</v>
      </c>
      <c r="O380" s="587">
        <f>d3М!O374-d3П!O374</f>
        <v>0</v>
      </c>
      <c r="P380" s="587">
        <f>d3М!P374-d3П!P374</f>
        <v>0</v>
      </c>
      <c r="Q380" s="47"/>
      <c r="R380" s="46"/>
    </row>
    <row r="381" spans="1:18" ht="47.25" thickTop="1" thickBot="1" x14ac:dyDescent="0.25">
      <c r="A381" s="103" t="s">
        <v>260</v>
      </c>
      <c r="B381" s="103" t="s">
        <v>261</v>
      </c>
      <c r="C381" s="103" t="s">
        <v>259</v>
      </c>
      <c r="D381" s="103" t="s">
        <v>258</v>
      </c>
      <c r="E381" s="587">
        <f>d3М!E375-d3П!E375</f>
        <v>0</v>
      </c>
      <c r="F381" s="587">
        <f>d3М!F375-d3П!F375</f>
        <v>0</v>
      </c>
      <c r="G381" s="587">
        <f>d3М!G375-d3П!G375</f>
        <v>0</v>
      </c>
      <c r="H381" s="587">
        <f>d3М!H375-d3П!H375</f>
        <v>0</v>
      </c>
      <c r="I381" s="587">
        <f>d3М!I375-d3П!I375</f>
        <v>0</v>
      </c>
      <c r="J381" s="587">
        <f>d3М!J375-d3П!J375</f>
        <v>0</v>
      </c>
      <c r="K381" s="587">
        <f>d3М!K375-d3П!K375</f>
        <v>0</v>
      </c>
      <c r="L381" s="587">
        <f>d3М!L375-d3П!L375</f>
        <v>0</v>
      </c>
      <c r="M381" s="587">
        <f>d3М!M375-d3П!M375</f>
        <v>0</v>
      </c>
      <c r="N381" s="587">
        <f>d3М!N375-d3П!N375</f>
        <v>0</v>
      </c>
      <c r="O381" s="587">
        <f>d3М!O375-d3П!O375</f>
        <v>0</v>
      </c>
      <c r="P381" s="587">
        <f>d3М!P375-d3П!P375</f>
        <v>0</v>
      </c>
      <c r="Q381" s="20"/>
      <c r="R381" s="46"/>
    </row>
    <row r="382" spans="1:18" ht="47.25" thickTop="1" thickBot="1" x14ac:dyDescent="0.25">
      <c r="A382" s="103" t="s">
        <v>252</v>
      </c>
      <c r="B382" s="103" t="s">
        <v>254</v>
      </c>
      <c r="C382" s="103" t="s">
        <v>213</v>
      </c>
      <c r="D382" s="103" t="s">
        <v>253</v>
      </c>
      <c r="E382" s="587">
        <f>d3М!E376-d3П!E376</f>
        <v>0</v>
      </c>
      <c r="F382" s="587">
        <f>d3М!F376-d3П!F376</f>
        <v>0</v>
      </c>
      <c r="G382" s="587">
        <f>d3М!G376-d3П!G376</f>
        <v>0</v>
      </c>
      <c r="H382" s="587">
        <f>d3М!H376-d3П!H376</f>
        <v>0</v>
      </c>
      <c r="I382" s="587">
        <f>d3М!I376-d3П!I376</f>
        <v>0</v>
      </c>
      <c r="J382" s="587">
        <f>d3М!J376-d3П!J376</f>
        <v>0</v>
      </c>
      <c r="K382" s="587">
        <f>d3М!K376-d3П!K376</f>
        <v>0</v>
      </c>
      <c r="L382" s="587">
        <f>d3М!L376-d3П!L376</f>
        <v>0</v>
      </c>
      <c r="M382" s="587">
        <f>d3М!M376-d3П!M376</f>
        <v>0</v>
      </c>
      <c r="N382" s="587">
        <f>d3М!N376-d3П!N376</f>
        <v>0</v>
      </c>
      <c r="O382" s="587">
        <f>d3М!O376-d3П!O376</f>
        <v>0</v>
      </c>
      <c r="P382" s="587">
        <f>d3М!P376-d3П!P376</f>
        <v>0</v>
      </c>
      <c r="Q382" s="20"/>
      <c r="R382" s="46"/>
    </row>
    <row r="383" spans="1:18" ht="47.25" thickTop="1" thickBot="1" x14ac:dyDescent="0.25">
      <c r="A383" s="103" t="s">
        <v>1303</v>
      </c>
      <c r="B383" s="103" t="s">
        <v>212</v>
      </c>
      <c r="C383" s="103" t="s">
        <v>213</v>
      </c>
      <c r="D383" s="103" t="s">
        <v>41</v>
      </c>
      <c r="E383" s="587">
        <f>d3М!E377-d3П!E377</f>
        <v>0</v>
      </c>
      <c r="F383" s="587">
        <f>d3М!F377-d3П!F377</f>
        <v>0</v>
      </c>
      <c r="G383" s="587">
        <f>d3М!G377-d3П!G377</f>
        <v>0</v>
      </c>
      <c r="H383" s="587">
        <f>d3М!H377-d3П!H377</f>
        <v>0</v>
      </c>
      <c r="I383" s="587">
        <f>d3М!I377-d3П!I377</f>
        <v>0</v>
      </c>
      <c r="J383" s="587">
        <f>d3М!J377-d3П!J377</f>
        <v>0</v>
      </c>
      <c r="K383" s="587">
        <f>d3М!K377-d3П!K377</f>
        <v>0</v>
      </c>
      <c r="L383" s="587">
        <f>d3М!L377-d3П!L377</f>
        <v>0</v>
      </c>
      <c r="M383" s="587">
        <f>d3М!M377-d3П!M377</f>
        <v>0</v>
      </c>
      <c r="N383" s="587">
        <f>d3М!N377-d3П!N377</f>
        <v>0</v>
      </c>
      <c r="O383" s="587">
        <f>d3М!O377-d3П!O377</f>
        <v>0</v>
      </c>
      <c r="P383" s="587">
        <f>d3М!P377-d3П!P377</f>
        <v>0</v>
      </c>
      <c r="Q383" s="20"/>
      <c r="R383" s="46"/>
    </row>
    <row r="384" spans="1:18" ht="47.25" hidden="1" thickTop="1" thickBot="1" x14ac:dyDescent="0.25">
      <c r="A384" s="140" t="s">
        <v>831</v>
      </c>
      <c r="B384" s="140" t="s">
        <v>694</v>
      </c>
      <c r="C384" s="140"/>
      <c r="D384" s="140" t="s">
        <v>692</v>
      </c>
      <c r="E384" s="587">
        <f>d3М!E378-d3П!E378</f>
        <v>0</v>
      </c>
      <c r="F384" s="587">
        <f>d3М!F378-d3П!F378</f>
        <v>0</v>
      </c>
      <c r="G384" s="587">
        <f>d3М!G378-d3П!G378</f>
        <v>0</v>
      </c>
      <c r="H384" s="587">
        <f>d3М!H378-d3П!H378</f>
        <v>0</v>
      </c>
      <c r="I384" s="587">
        <f>d3М!I378-d3П!I378</f>
        <v>0</v>
      </c>
      <c r="J384" s="587">
        <f>d3М!J378-d3П!J378</f>
        <v>0</v>
      </c>
      <c r="K384" s="587">
        <f>d3М!K378-d3П!K378</f>
        <v>0</v>
      </c>
      <c r="L384" s="587">
        <f>d3М!L378-d3П!L378</f>
        <v>0</v>
      </c>
      <c r="M384" s="587">
        <f>d3М!M378-d3П!M378</f>
        <v>0</v>
      </c>
      <c r="N384" s="587">
        <f>d3М!N378-d3П!N378</f>
        <v>0</v>
      </c>
      <c r="O384" s="587">
        <f>d3М!O378-d3П!O378</f>
        <v>0</v>
      </c>
      <c r="P384" s="587">
        <f>d3М!P378-d3П!P378</f>
        <v>0</v>
      </c>
      <c r="Q384" s="20"/>
      <c r="R384" s="46"/>
    </row>
    <row r="385" spans="1:18" ht="47.25" hidden="1" thickTop="1" thickBot="1" x14ac:dyDescent="0.25">
      <c r="A385" s="128" t="s">
        <v>256</v>
      </c>
      <c r="B385" s="128" t="s">
        <v>257</v>
      </c>
      <c r="C385" s="128" t="s">
        <v>170</v>
      </c>
      <c r="D385" s="128" t="s">
        <v>255</v>
      </c>
      <c r="E385" s="587">
        <f>d3М!E379-d3П!E379</f>
        <v>0</v>
      </c>
      <c r="F385" s="587">
        <f>d3М!F379-d3П!F379</f>
        <v>0</v>
      </c>
      <c r="G385" s="587">
        <f>d3М!G379-d3П!G379</f>
        <v>0</v>
      </c>
      <c r="H385" s="587">
        <f>d3М!H379-d3П!H379</f>
        <v>0</v>
      </c>
      <c r="I385" s="587">
        <f>d3М!I379-d3П!I379</f>
        <v>0</v>
      </c>
      <c r="J385" s="587">
        <f>d3М!J379-d3П!J379</f>
        <v>0</v>
      </c>
      <c r="K385" s="587">
        <f>d3М!K379-d3П!K379</f>
        <v>0</v>
      </c>
      <c r="L385" s="587">
        <f>d3М!L379-d3П!L379</f>
        <v>0</v>
      </c>
      <c r="M385" s="587">
        <f>d3М!M379-d3П!M379</f>
        <v>0</v>
      </c>
      <c r="N385" s="587">
        <f>d3М!N379-d3П!N379</f>
        <v>0</v>
      </c>
      <c r="O385" s="587">
        <f>d3М!O379-d3П!O379</f>
        <v>0</v>
      </c>
      <c r="P385" s="587">
        <f>d3М!P379-d3П!P379</f>
        <v>0</v>
      </c>
      <c r="Q385" s="20"/>
      <c r="R385" s="46"/>
    </row>
    <row r="386" spans="1:18" ht="47.25" thickTop="1" thickBot="1" x14ac:dyDescent="0.25">
      <c r="A386" s="311" t="s">
        <v>1305</v>
      </c>
      <c r="B386" s="311" t="s">
        <v>696</v>
      </c>
      <c r="C386" s="311"/>
      <c r="D386" s="311" t="s">
        <v>697</v>
      </c>
      <c r="E386" s="587">
        <f>d3М!E380-d3П!E380</f>
        <v>0</v>
      </c>
      <c r="F386" s="587">
        <f>d3М!F380-d3П!F380</f>
        <v>0</v>
      </c>
      <c r="G386" s="587">
        <f>d3М!G380-d3П!G380</f>
        <v>0</v>
      </c>
      <c r="H386" s="587">
        <f>d3М!H380-d3П!H380</f>
        <v>0</v>
      </c>
      <c r="I386" s="587">
        <f>d3М!I380-d3П!I380</f>
        <v>0</v>
      </c>
      <c r="J386" s="587">
        <f>d3М!J380-d3П!J380</f>
        <v>0</v>
      </c>
      <c r="K386" s="587">
        <f>d3М!K380-d3П!K380</f>
        <v>0</v>
      </c>
      <c r="L386" s="587">
        <f>d3М!L380-d3П!L380</f>
        <v>0</v>
      </c>
      <c r="M386" s="587">
        <f>d3М!M380-d3П!M380</f>
        <v>0</v>
      </c>
      <c r="N386" s="587">
        <f>d3М!N380-d3П!N380</f>
        <v>0</v>
      </c>
      <c r="O386" s="587">
        <f>d3М!O380-d3П!O380</f>
        <v>0</v>
      </c>
      <c r="P386" s="587">
        <f>d3М!P380-d3П!P380</f>
        <v>0</v>
      </c>
      <c r="Q386" s="20"/>
      <c r="R386" s="46"/>
    </row>
    <row r="387" spans="1:18" ht="47.25" thickTop="1" thickBot="1" x14ac:dyDescent="0.25">
      <c r="A387" s="313" t="s">
        <v>1306</v>
      </c>
      <c r="B387" s="313" t="s">
        <v>1186</v>
      </c>
      <c r="C387" s="313"/>
      <c r="D387" s="313" t="s">
        <v>1184</v>
      </c>
      <c r="E387" s="587">
        <f>d3М!E381-d3П!E381</f>
        <v>0</v>
      </c>
      <c r="F387" s="587">
        <f>d3М!F381-d3П!F381</f>
        <v>0</v>
      </c>
      <c r="G387" s="587">
        <f>d3М!G381-d3П!G381</f>
        <v>0</v>
      </c>
      <c r="H387" s="587">
        <f>d3М!H381-d3П!H381</f>
        <v>0</v>
      </c>
      <c r="I387" s="587">
        <f>d3М!I381-d3П!I381</f>
        <v>0</v>
      </c>
      <c r="J387" s="587">
        <f>d3М!J381-d3П!J381</f>
        <v>0</v>
      </c>
      <c r="K387" s="587">
        <f>d3М!K381-d3П!K381</f>
        <v>0</v>
      </c>
      <c r="L387" s="587">
        <f>d3М!L381-d3П!L381</f>
        <v>0</v>
      </c>
      <c r="M387" s="587">
        <f>d3М!M381-d3П!M381</f>
        <v>0</v>
      </c>
      <c r="N387" s="587">
        <f>d3М!N381-d3П!N381</f>
        <v>0</v>
      </c>
      <c r="O387" s="587">
        <f>d3М!O381-d3П!O381</f>
        <v>0</v>
      </c>
      <c r="P387" s="587">
        <f>d3М!P381-d3П!P381</f>
        <v>0</v>
      </c>
      <c r="Q387" s="20"/>
      <c r="R387" s="46"/>
    </row>
    <row r="388" spans="1:18" ht="47.25" thickTop="1" thickBot="1" x14ac:dyDescent="0.25">
      <c r="A388" s="103" t="s">
        <v>1307</v>
      </c>
      <c r="B388" s="103" t="s">
        <v>1190</v>
      </c>
      <c r="C388" s="103" t="s">
        <v>1188</v>
      </c>
      <c r="D388" s="103" t="s">
        <v>1187</v>
      </c>
      <c r="E388" s="587">
        <f>d3М!E382-d3П!E382</f>
        <v>0</v>
      </c>
      <c r="F388" s="587">
        <f>d3М!F382-d3П!F382</f>
        <v>0</v>
      </c>
      <c r="G388" s="587">
        <f>d3М!G382-d3П!G382</f>
        <v>0</v>
      </c>
      <c r="H388" s="587">
        <f>d3М!H382-d3П!H382</f>
        <v>0</v>
      </c>
      <c r="I388" s="587">
        <f>d3М!I382-d3П!I382</f>
        <v>0</v>
      </c>
      <c r="J388" s="587">
        <f>d3М!J382-d3П!J382</f>
        <v>0</v>
      </c>
      <c r="K388" s="587">
        <f>d3М!K382-d3П!K382</f>
        <v>0</v>
      </c>
      <c r="L388" s="587">
        <f>d3М!L382-d3П!L382</f>
        <v>0</v>
      </c>
      <c r="M388" s="587">
        <f>d3М!M382-d3П!M382</f>
        <v>0</v>
      </c>
      <c r="N388" s="587">
        <f>d3М!N382-d3П!N382</f>
        <v>0</v>
      </c>
      <c r="O388" s="587">
        <f>d3М!O382-d3П!O382</f>
        <v>0</v>
      </c>
      <c r="P388" s="587">
        <f>d3М!P382-d3П!P382</f>
        <v>0</v>
      </c>
      <c r="Q388" s="20"/>
      <c r="R388" s="46"/>
    </row>
    <row r="389" spans="1:18" ht="47.25" hidden="1" thickTop="1" thickBot="1" x14ac:dyDescent="0.25">
      <c r="A389" s="125" t="s">
        <v>906</v>
      </c>
      <c r="B389" s="125" t="s">
        <v>702</v>
      </c>
      <c r="C389" s="125"/>
      <c r="D389" s="125" t="s">
        <v>703</v>
      </c>
      <c r="E389" s="127">
        <f>E390</f>
        <v>0</v>
      </c>
      <c r="F389" s="127">
        <f t="shared" ref="F389:P390" si="108">F390</f>
        <v>0</v>
      </c>
      <c r="G389" s="127">
        <f t="shared" si="108"/>
        <v>0</v>
      </c>
      <c r="H389" s="127">
        <f t="shared" si="108"/>
        <v>0</v>
      </c>
      <c r="I389" s="127">
        <f t="shared" si="108"/>
        <v>0</v>
      </c>
      <c r="J389" s="127">
        <f t="shared" si="108"/>
        <v>0</v>
      </c>
      <c r="K389" s="127">
        <f t="shared" si="108"/>
        <v>0</v>
      </c>
      <c r="L389" s="127">
        <f t="shared" si="108"/>
        <v>0</v>
      </c>
      <c r="M389" s="127">
        <f t="shared" si="108"/>
        <v>0</v>
      </c>
      <c r="N389" s="127">
        <f t="shared" si="108"/>
        <v>0</v>
      </c>
      <c r="O389" s="127">
        <f t="shared" si="108"/>
        <v>0</v>
      </c>
      <c r="P389" s="127">
        <f t="shared" si="108"/>
        <v>0</v>
      </c>
      <c r="Q389" s="20"/>
      <c r="R389" s="46"/>
    </row>
    <row r="390" spans="1:18" ht="91.5" hidden="1" thickTop="1" thickBot="1" x14ac:dyDescent="0.25">
      <c r="A390" s="136" t="s">
        <v>907</v>
      </c>
      <c r="B390" s="136" t="s">
        <v>705</v>
      </c>
      <c r="C390" s="136"/>
      <c r="D390" s="136" t="s">
        <v>706</v>
      </c>
      <c r="E390" s="137">
        <f>E391</f>
        <v>0</v>
      </c>
      <c r="F390" s="137">
        <f t="shared" si="108"/>
        <v>0</v>
      </c>
      <c r="G390" s="137">
        <f t="shared" si="108"/>
        <v>0</v>
      </c>
      <c r="H390" s="137">
        <f t="shared" si="108"/>
        <v>0</v>
      </c>
      <c r="I390" s="137">
        <f t="shared" si="108"/>
        <v>0</v>
      </c>
      <c r="J390" s="137">
        <f t="shared" si="108"/>
        <v>0</v>
      </c>
      <c r="K390" s="137">
        <f t="shared" si="108"/>
        <v>0</v>
      </c>
      <c r="L390" s="137">
        <f t="shared" si="108"/>
        <v>0</v>
      </c>
      <c r="M390" s="137">
        <f t="shared" si="108"/>
        <v>0</v>
      </c>
      <c r="N390" s="137">
        <f t="shared" si="108"/>
        <v>0</v>
      </c>
      <c r="O390" s="137">
        <f t="shared" si="108"/>
        <v>0</v>
      </c>
      <c r="P390" s="137">
        <f t="shared" si="108"/>
        <v>0</v>
      </c>
      <c r="Q390" s="20"/>
      <c r="R390" s="46"/>
    </row>
    <row r="391" spans="1:18" ht="48" hidden="1" thickTop="1" thickBot="1" x14ac:dyDescent="0.25">
      <c r="A391" s="128" t="s">
        <v>908</v>
      </c>
      <c r="B391" s="128" t="s">
        <v>363</v>
      </c>
      <c r="C391" s="128" t="s">
        <v>43</v>
      </c>
      <c r="D391" s="128" t="s">
        <v>364</v>
      </c>
      <c r="E391" s="127">
        <f t="shared" ref="E391" si="109">F391</f>
        <v>0</v>
      </c>
      <c r="F391" s="134"/>
      <c r="G391" s="134"/>
      <c r="H391" s="134"/>
      <c r="I391" s="134"/>
      <c r="J391" s="127">
        <f>L391+O391</f>
        <v>0</v>
      </c>
      <c r="K391" s="134"/>
      <c r="L391" s="134"/>
      <c r="M391" s="134"/>
      <c r="N391" s="134"/>
      <c r="O391" s="132">
        <f>K391</f>
        <v>0</v>
      </c>
      <c r="P391" s="127">
        <f>E391+J391</f>
        <v>0</v>
      </c>
      <c r="Q391" s="20"/>
      <c r="R391" s="46"/>
    </row>
    <row r="392" spans="1:18" ht="120" customHeight="1" thickTop="1" thickBot="1" x14ac:dyDescent="0.25">
      <c r="A392" s="661" t="s">
        <v>164</v>
      </c>
      <c r="B392" s="661"/>
      <c r="C392" s="661"/>
      <c r="D392" s="662" t="s">
        <v>887</v>
      </c>
      <c r="E392" s="663">
        <f>E393</f>
        <v>0</v>
      </c>
      <c r="F392" s="664">
        <f t="shared" ref="F392:G392" si="110">F393</f>
        <v>0</v>
      </c>
      <c r="G392" s="664">
        <f t="shared" si="110"/>
        <v>0</v>
      </c>
      <c r="H392" s="664">
        <f>H393</f>
        <v>0</v>
      </c>
      <c r="I392" s="664">
        <f t="shared" ref="I392" si="111">I393</f>
        <v>0</v>
      </c>
      <c r="J392" s="663">
        <f>J393</f>
        <v>0</v>
      </c>
      <c r="K392" s="664">
        <f>K393</f>
        <v>0</v>
      </c>
      <c r="L392" s="664">
        <f>L393</f>
        <v>0</v>
      </c>
      <c r="M392" s="664">
        <f t="shared" ref="M392" si="112">M393</f>
        <v>0</v>
      </c>
      <c r="N392" s="664">
        <f>N393</f>
        <v>0</v>
      </c>
      <c r="O392" s="663">
        <f>O393</f>
        <v>0</v>
      </c>
      <c r="P392" s="664">
        <f t="shared" ref="P392" si="113">P393</f>
        <v>0</v>
      </c>
      <c r="Q392" s="20"/>
    </row>
    <row r="393" spans="1:18" ht="120" customHeight="1" thickTop="1" thickBot="1" x14ac:dyDescent="0.25">
      <c r="A393" s="658" t="s">
        <v>165</v>
      </c>
      <c r="B393" s="658"/>
      <c r="C393" s="658"/>
      <c r="D393" s="659" t="s">
        <v>886</v>
      </c>
      <c r="E393" s="660">
        <f>E394+E397+E400</f>
        <v>0</v>
      </c>
      <c r="F393" s="660">
        <f t="shared" ref="F393:P393" si="114">F394+F397+F400</f>
        <v>0</v>
      </c>
      <c r="G393" s="660">
        <f>G394+G397+G400</f>
        <v>0</v>
      </c>
      <c r="H393" s="660">
        <f t="shared" si="114"/>
        <v>0</v>
      </c>
      <c r="I393" s="660">
        <f t="shared" si="114"/>
        <v>0</v>
      </c>
      <c r="J393" s="660">
        <f>J394+J397+J400</f>
        <v>0</v>
      </c>
      <c r="K393" s="660">
        <f t="shared" si="114"/>
        <v>0</v>
      </c>
      <c r="L393" s="660">
        <f>L394+L397+L400</f>
        <v>0</v>
      </c>
      <c r="M393" s="660">
        <f t="shared" si="114"/>
        <v>0</v>
      </c>
      <c r="N393" s="660">
        <f t="shared" si="114"/>
        <v>0</v>
      </c>
      <c r="O393" s="660">
        <f t="shared" si="114"/>
        <v>0</v>
      </c>
      <c r="P393" s="660">
        <f t="shared" si="114"/>
        <v>0</v>
      </c>
      <c r="Q393" s="503" t="b">
        <f>P393=P395+P399</f>
        <v>1</v>
      </c>
      <c r="R393" s="46"/>
    </row>
    <row r="394" spans="1:18" ht="47.25" thickTop="1" thickBot="1" x14ac:dyDescent="0.25">
      <c r="A394" s="311" t="s">
        <v>832</v>
      </c>
      <c r="B394" s="311" t="s">
        <v>684</v>
      </c>
      <c r="C394" s="311"/>
      <c r="D394" s="311" t="s">
        <v>685</v>
      </c>
      <c r="E394" s="587">
        <f>d3М!E388-d3П!E388</f>
        <v>0</v>
      </c>
      <c r="F394" s="587">
        <f>d3М!F388-d3П!F388</f>
        <v>0</v>
      </c>
      <c r="G394" s="587">
        <f>d3М!G388-d3П!G388</f>
        <v>0</v>
      </c>
      <c r="H394" s="587">
        <f>d3М!H388-d3П!H388</f>
        <v>0</v>
      </c>
      <c r="I394" s="587">
        <f>d3М!I388-d3П!I388</f>
        <v>0</v>
      </c>
      <c r="J394" s="587">
        <f>d3М!J388-d3П!J388</f>
        <v>0</v>
      </c>
      <c r="K394" s="587">
        <f>d3М!K388-d3П!K388</f>
        <v>0</v>
      </c>
      <c r="L394" s="587">
        <f>d3М!L388-d3П!L388</f>
        <v>0</v>
      </c>
      <c r="M394" s="587">
        <f>d3М!M388-d3П!M388</f>
        <v>0</v>
      </c>
      <c r="N394" s="587">
        <f>d3М!N388-d3П!N388</f>
        <v>0</v>
      </c>
      <c r="O394" s="587">
        <f>d3М!O388-d3П!O388</f>
        <v>0</v>
      </c>
      <c r="P394" s="587">
        <f>d3М!P388-d3П!P388</f>
        <v>0</v>
      </c>
      <c r="Q394" s="47"/>
      <c r="R394" s="46"/>
    </row>
    <row r="395" spans="1:18" ht="93" thickTop="1" thickBot="1" x14ac:dyDescent="0.25">
      <c r="A395" s="103" t="s">
        <v>422</v>
      </c>
      <c r="B395" s="103" t="s">
        <v>236</v>
      </c>
      <c r="C395" s="103" t="s">
        <v>234</v>
      </c>
      <c r="D395" s="103" t="s">
        <v>235</v>
      </c>
      <c r="E395" s="587">
        <f>d3М!E389-d3П!E389</f>
        <v>0</v>
      </c>
      <c r="F395" s="587">
        <f>d3М!F389-d3П!F389</f>
        <v>0</v>
      </c>
      <c r="G395" s="587">
        <f>d3М!G389-d3П!G389</f>
        <v>0</v>
      </c>
      <c r="H395" s="587">
        <f>d3М!H389-d3П!H389</f>
        <v>0</v>
      </c>
      <c r="I395" s="587">
        <f>d3М!I389-d3П!I389</f>
        <v>0</v>
      </c>
      <c r="J395" s="587">
        <f>d3М!J389-d3П!J389</f>
        <v>0</v>
      </c>
      <c r="K395" s="587">
        <f>d3М!K389-d3П!K389</f>
        <v>0</v>
      </c>
      <c r="L395" s="587">
        <f>d3М!L389-d3П!L389</f>
        <v>0</v>
      </c>
      <c r="M395" s="587">
        <f>d3М!M389-d3П!M389</f>
        <v>0</v>
      </c>
      <c r="N395" s="587">
        <f>d3М!N389-d3П!N389</f>
        <v>0</v>
      </c>
      <c r="O395" s="587">
        <f>d3М!O389-d3П!O389</f>
        <v>0</v>
      </c>
      <c r="P395" s="587">
        <f>d3М!P389-d3П!P389</f>
        <v>0</v>
      </c>
      <c r="Q395" s="47"/>
      <c r="R395" s="46"/>
    </row>
    <row r="396" spans="1:18" ht="93" hidden="1" thickTop="1" thickBot="1" x14ac:dyDescent="0.25">
      <c r="A396" s="41" t="s">
        <v>633</v>
      </c>
      <c r="B396" s="41" t="s">
        <v>362</v>
      </c>
      <c r="C396" s="41" t="s">
        <v>625</v>
      </c>
      <c r="D396" s="41" t="s">
        <v>626</v>
      </c>
      <c r="E396" s="587">
        <f>d3М!E390-d3П!E390</f>
        <v>0</v>
      </c>
      <c r="F396" s="587">
        <f>d3М!F390-d3П!F390</f>
        <v>0</v>
      </c>
      <c r="G396" s="587">
        <f>d3М!G390-d3П!G390</f>
        <v>0</v>
      </c>
      <c r="H396" s="587">
        <f>d3М!H390-d3П!H390</f>
        <v>0</v>
      </c>
      <c r="I396" s="587">
        <f>d3М!I390-d3П!I390</f>
        <v>0</v>
      </c>
      <c r="J396" s="587">
        <f>d3М!J390-d3П!J390</f>
        <v>0</v>
      </c>
      <c r="K396" s="587">
        <f>d3М!K390-d3П!K390</f>
        <v>0</v>
      </c>
      <c r="L396" s="587">
        <f>d3М!L390-d3П!L390</f>
        <v>0</v>
      </c>
      <c r="M396" s="587">
        <f>d3М!M390-d3П!M390</f>
        <v>0</v>
      </c>
      <c r="N396" s="587">
        <f>d3М!N390-d3П!N390</f>
        <v>0</v>
      </c>
      <c r="O396" s="587">
        <f>d3М!O390-d3П!O390</f>
        <v>0</v>
      </c>
      <c r="P396" s="587">
        <f>d3М!P390-d3П!P390</f>
        <v>0</v>
      </c>
      <c r="Q396" s="47"/>
      <c r="R396" s="46"/>
    </row>
    <row r="397" spans="1:18" ht="47.25" thickTop="1" thickBot="1" x14ac:dyDescent="0.25">
      <c r="A397" s="311" t="s">
        <v>833</v>
      </c>
      <c r="B397" s="311" t="s">
        <v>696</v>
      </c>
      <c r="C397" s="311"/>
      <c r="D397" s="311" t="s">
        <v>697</v>
      </c>
      <c r="E397" s="587">
        <f>d3М!E391-d3П!E391</f>
        <v>0</v>
      </c>
      <c r="F397" s="587">
        <f>d3М!F391-d3П!F391</f>
        <v>0</v>
      </c>
      <c r="G397" s="587">
        <f>d3М!G391-d3П!G391</f>
        <v>0</v>
      </c>
      <c r="H397" s="587">
        <f>d3М!H391-d3П!H391</f>
        <v>0</v>
      </c>
      <c r="I397" s="587">
        <f>d3М!I391-d3П!I391</f>
        <v>0</v>
      </c>
      <c r="J397" s="587">
        <f>d3М!J391-d3П!J391</f>
        <v>0</v>
      </c>
      <c r="K397" s="587">
        <f>d3М!K391-d3П!K391</f>
        <v>0</v>
      </c>
      <c r="L397" s="587">
        <f>d3М!L391-d3П!L391</f>
        <v>0</v>
      </c>
      <c r="M397" s="587">
        <f>d3М!M391-d3П!M391</f>
        <v>0</v>
      </c>
      <c r="N397" s="587">
        <f>d3М!N391-d3П!N391</f>
        <v>0</v>
      </c>
      <c r="O397" s="587">
        <f>d3М!O391-d3П!O391</f>
        <v>0</v>
      </c>
      <c r="P397" s="587">
        <f>d3М!P391-d3П!P391</f>
        <v>0</v>
      </c>
      <c r="Q397" s="47"/>
      <c r="R397" s="46"/>
    </row>
    <row r="398" spans="1:18" ht="47.25" thickTop="1" thickBot="1" x14ac:dyDescent="0.25">
      <c r="A398" s="313" t="s">
        <v>834</v>
      </c>
      <c r="B398" s="313" t="s">
        <v>835</v>
      </c>
      <c r="C398" s="313"/>
      <c r="D398" s="313" t="s">
        <v>836</v>
      </c>
      <c r="E398" s="587">
        <f>d3М!E392-d3П!E392</f>
        <v>0</v>
      </c>
      <c r="F398" s="587">
        <f>d3М!F392-d3П!F392</f>
        <v>0</v>
      </c>
      <c r="G398" s="587">
        <f>d3М!G392-d3П!G392</f>
        <v>0</v>
      </c>
      <c r="H398" s="587">
        <f>d3М!H392-d3П!H392</f>
        <v>0</v>
      </c>
      <c r="I398" s="587">
        <f>d3М!I392-d3П!I392</f>
        <v>0</v>
      </c>
      <c r="J398" s="587">
        <f>d3М!J392-d3П!J392</f>
        <v>0</v>
      </c>
      <c r="K398" s="587">
        <f>d3М!K392-d3П!K392</f>
        <v>0</v>
      </c>
      <c r="L398" s="587">
        <f>d3М!L392-d3П!L392</f>
        <v>0</v>
      </c>
      <c r="M398" s="587">
        <f>d3М!M392-d3П!M392</f>
        <v>0</v>
      </c>
      <c r="N398" s="587">
        <f>d3М!N392-d3П!N392</f>
        <v>0</v>
      </c>
      <c r="O398" s="587">
        <f>d3М!O392-d3П!O392</f>
        <v>0</v>
      </c>
      <c r="P398" s="587">
        <f>d3М!P392-d3П!P392</f>
        <v>0</v>
      </c>
      <c r="Q398" s="47"/>
      <c r="R398" s="46"/>
    </row>
    <row r="399" spans="1:18" ht="47.25" thickTop="1" thickBot="1" x14ac:dyDescent="0.25">
      <c r="A399" s="103" t="s">
        <v>1127</v>
      </c>
      <c r="B399" s="103" t="s">
        <v>1128</v>
      </c>
      <c r="C399" s="103" t="s">
        <v>51</v>
      </c>
      <c r="D399" s="103" t="s">
        <v>1129</v>
      </c>
      <c r="E399" s="587">
        <f>d3М!E393-d3П!E393</f>
        <v>0</v>
      </c>
      <c r="F399" s="587">
        <f>d3М!F393-d3П!F393</f>
        <v>0</v>
      </c>
      <c r="G399" s="587">
        <f>d3М!G393-d3П!G393</f>
        <v>0</v>
      </c>
      <c r="H399" s="587">
        <f>d3М!H393-d3П!H393</f>
        <v>0</v>
      </c>
      <c r="I399" s="587">
        <f>d3М!I393-d3П!I393</f>
        <v>0</v>
      </c>
      <c r="J399" s="587">
        <f>d3М!J393-d3П!J393</f>
        <v>0</v>
      </c>
      <c r="K399" s="587">
        <f>d3М!K393-d3П!K393</f>
        <v>0</v>
      </c>
      <c r="L399" s="587">
        <f>d3М!L393-d3П!L393</f>
        <v>0</v>
      </c>
      <c r="M399" s="587">
        <f>d3М!M393-d3П!M393</f>
        <v>0</v>
      </c>
      <c r="N399" s="587">
        <f>d3М!N393-d3П!N393</f>
        <v>0</v>
      </c>
      <c r="O399" s="587">
        <f>d3М!O393-d3П!O393</f>
        <v>0</v>
      </c>
      <c r="P399" s="587">
        <f>d3М!P393-d3П!P393</f>
        <v>0</v>
      </c>
      <c r="Q399" s="503" t="b">
        <f>J399='d9'!F20</f>
        <v>0</v>
      </c>
    </row>
    <row r="400" spans="1:18" ht="47.25" hidden="1" thickTop="1" thickBot="1" x14ac:dyDescent="0.25">
      <c r="A400" s="125" t="s">
        <v>1249</v>
      </c>
      <c r="B400" s="125" t="s">
        <v>702</v>
      </c>
      <c r="C400" s="125"/>
      <c r="D400" s="125" t="s">
        <v>703</v>
      </c>
      <c r="E400" s="127">
        <f t="shared" ref="E400:P400" si="115">E401</f>
        <v>0</v>
      </c>
      <c r="F400" s="127">
        <f t="shared" si="115"/>
        <v>0</v>
      </c>
      <c r="G400" s="127">
        <f t="shared" si="115"/>
        <v>0</v>
      </c>
      <c r="H400" s="127">
        <f t="shared" si="115"/>
        <v>0</v>
      </c>
      <c r="I400" s="127">
        <f t="shared" si="115"/>
        <v>0</v>
      </c>
      <c r="J400" s="127">
        <f t="shared" si="115"/>
        <v>0</v>
      </c>
      <c r="K400" s="127">
        <f t="shared" si="115"/>
        <v>0</v>
      </c>
      <c r="L400" s="127">
        <f t="shared" si="115"/>
        <v>0</v>
      </c>
      <c r="M400" s="127">
        <f t="shared" si="115"/>
        <v>0</v>
      </c>
      <c r="N400" s="127">
        <f t="shared" si="115"/>
        <v>0</v>
      </c>
      <c r="O400" s="127">
        <f t="shared" si="115"/>
        <v>0</v>
      </c>
      <c r="P400" s="127">
        <f t="shared" si="115"/>
        <v>0</v>
      </c>
      <c r="Q400" s="47"/>
    </row>
    <row r="401" spans="1:19" ht="91.5" hidden="1" thickTop="1" thickBot="1" x14ac:dyDescent="0.25">
      <c r="A401" s="136" t="s">
        <v>1248</v>
      </c>
      <c r="B401" s="136" t="s">
        <v>514</v>
      </c>
      <c r="C401" s="136" t="s">
        <v>43</v>
      </c>
      <c r="D401" s="136" t="s">
        <v>515</v>
      </c>
      <c r="E401" s="137">
        <f t="shared" ref="E401" si="116">F401</f>
        <v>0</v>
      </c>
      <c r="F401" s="137">
        <v>0</v>
      </c>
      <c r="G401" s="137"/>
      <c r="H401" s="137"/>
      <c r="I401" s="137"/>
      <c r="J401" s="137">
        <f>L401+O401</f>
        <v>0</v>
      </c>
      <c r="K401" s="134">
        <v>0</v>
      </c>
      <c r="L401" s="137"/>
      <c r="M401" s="137"/>
      <c r="N401" s="137"/>
      <c r="O401" s="137">
        <f>(K401+0)</f>
        <v>0</v>
      </c>
      <c r="P401" s="137">
        <f>E401+J401</f>
        <v>0</v>
      </c>
      <c r="Q401" s="47"/>
    </row>
    <row r="402" spans="1:19" ht="120" customHeight="1" thickTop="1" thickBot="1" x14ac:dyDescent="0.25">
      <c r="A402" s="661" t="s">
        <v>162</v>
      </c>
      <c r="B402" s="661"/>
      <c r="C402" s="661"/>
      <c r="D402" s="662" t="s">
        <v>896</v>
      </c>
      <c r="E402" s="663">
        <f>E403</f>
        <v>0</v>
      </c>
      <c r="F402" s="664">
        <f t="shared" ref="F402:G402" si="117">F403</f>
        <v>0</v>
      </c>
      <c r="G402" s="664">
        <f t="shared" si="117"/>
        <v>0</v>
      </c>
      <c r="H402" s="664">
        <f>H403</f>
        <v>0</v>
      </c>
      <c r="I402" s="664">
        <f t="shared" ref="I402" si="118">I403</f>
        <v>0</v>
      </c>
      <c r="J402" s="663">
        <f>J403</f>
        <v>0</v>
      </c>
      <c r="K402" s="664">
        <f>K403</f>
        <v>0</v>
      </c>
      <c r="L402" s="664">
        <f>L403</f>
        <v>0</v>
      </c>
      <c r="M402" s="664">
        <f t="shared" ref="M402" si="119">M403</f>
        <v>0</v>
      </c>
      <c r="N402" s="664">
        <f>N403</f>
        <v>0</v>
      </c>
      <c r="O402" s="663">
        <f>O403</f>
        <v>0</v>
      </c>
      <c r="P402" s="664">
        <f t="shared" ref="P402" si="120">P403</f>
        <v>0</v>
      </c>
      <c r="Q402" s="20"/>
    </row>
    <row r="403" spans="1:19" ht="120" customHeight="1" thickTop="1" thickBot="1" x14ac:dyDescent="0.25">
      <c r="A403" s="658" t="s">
        <v>163</v>
      </c>
      <c r="B403" s="658"/>
      <c r="C403" s="658"/>
      <c r="D403" s="659" t="s">
        <v>895</v>
      </c>
      <c r="E403" s="660">
        <f>E404+E406</f>
        <v>0</v>
      </c>
      <c r="F403" s="660">
        <f t="shared" ref="F403:I403" si="121">F404+F406</f>
        <v>0</v>
      </c>
      <c r="G403" s="660">
        <f t="shared" si="121"/>
        <v>0</v>
      </c>
      <c r="H403" s="660">
        <f t="shared" si="121"/>
        <v>0</v>
      </c>
      <c r="I403" s="660">
        <f t="shared" si="121"/>
        <v>0</v>
      </c>
      <c r="J403" s="660">
        <f>L403+O403</f>
        <v>0</v>
      </c>
      <c r="K403" s="660">
        <f t="shared" ref="K403:O403" si="122">K404+K406</f>
        <v>0</v>
      </c>
      <c r="L403" s="660">
        <f t="shared" si="122"/>
        <v>0</v>
      </c>
      <c r="M403" s="660">
        <f t="shared" si="122"/>
        <v>0</v>
      </c>
      <c r="N403" s="660">
        <f t="shared" si="122"/>
        <v>0</v>
      </c>
      <c r="O403" s="660">
        <f t="shared" si="122"/>
        <v>0</v>
      </c>
      <c r="P403" s="660">
        <f>E403+J403</f>
        <v>0</v>
      </c>
      <c r="Q403" s="503" t="b">
        <f>P403=P405+P408+P410</f>
        <v>1</v>
      </c>
      <c r="R403" s="45"/>
    </row>
    <row r="404" spans="1:19" ht="47.25" thickTop="1" thickBot="1" x14ac:dyDescent="0.25">
      <c r="A404" s="311" t="s">
        <v>837</v>
      </c>
      <c r="B404" s="311" t="s">
        <v>684</v>
      </c>
      <c r="C404" s="311"/>
      <c r="D404" s="311" t="s">
        <v>685</v>
      </c>
      <c r="E404" s="587">
        <f>d3М!E398-d3П!E398</f>
        <v>0</v>
      </c>
      <c r="F404" s="587">
        <f>d3М!F398-d3П!F398</f>
        <v>0</v>
      </c>
      <c r="G404" s="587">
        <f>d3М!G398-d3П!G398</f>
        <v>0</v>
      </c>
      <c r="H404" s="587">
        <f>d3М!H398-d3П!H398</f>
        <v>0</v>
      </c>
      <c r="I404" s="587">
        <f>d3М!I398-d3П!I398</f>
        <v>0</v>
      </c>
      <c r="J404" s="587">
        <f>d3М!J398-d3П!J398</f>
        <v>0</v>
      </c>
      <c r="K404" s="587">
        <f>d3М!K398-d3П!K398</f>
        <v>0</v>
      </c>
      <c r="L404" s="587">
        <f>d3М!L398-d3П!L398</f>
        <v>0</v>
      </c>
      <c r="M404" s="587">
        <f>d3М!M398-d3П!M398</f>
        <v>0</v>
      </c>
      <c r="N404" s="587">
        <f>d3М!N398-d3П!N398</f>
        <v>0</v>
      </c>
      <c r="O404" s="587">
        <f>d3М!O398-d3П!O398</f>
        <v>0</v>
      </c>
      <c r="P404" s="587">
        <f>d3М!P398-d3П!P398</f>
        <v>0</v>
      </c>
      <c r="Q404" s="47"/>
      <c r="R404" s="45"/>
    </row>
    <row r="405" spans="1:19" ht="93" thickTop="1" thickBot="1" x14ac:dyDescent="0.25">
      <c r="A405" s="103" t="s">
        <v>418</v>
      </c>
      <c r="B405" s="103" t="s">
        <v>236</v>
      </c>
      <c r="C405" s="103" t="s">
        <v>234</v>
      </c>
      <c r="D405" s="103" t="s">
        <v>235</v>
      </c>
      <c r="E405" s="587">
        <f>d3М!E399-d3П!E399</f>
        <v>0</v>
      </c>
      <c r="F405" s="587">
        <f>d3М!F399-d3П!F399</f>
        <v>0</v>
      </c>
      <c r="G405" s="587">
        <f>d3М!G399-d3П!G399</f>
        <v>0</v>
      </c>
      <c r="H405" s="587">
        <f>d3М!H399-d3П!H399</f>
        <v>0</v>
      </c>
      <c r="I405" s="587">
        <f>d3М!I399-d3П!I399</f>
        <v>0</v>
      </c>
      <c r="J405" s="587">
        <f>d3М!J399-d3П!J399</f>
        <v>0</v>
      </c>
      <c r="K405" s="587">
        <f>d3М!K399-d3П!K399</f>
        <v>0</v>
      </c>
      <c r="L405" s="587">
        <f>d3М!L399-d3П!L399</f>
        <v>0</v>
      </c>
      <c r="M405" s="587">
        <f>d3М!M399-d3П!M399</f>
        <v>0</v>
      </c>
      <c r="N405" s="587">
        <f>d3М!N399-d3П!N399</f>
        <v>0</v>
      </c>
      <c r="O405" s="587">
        <f>d3М!O399-d3П!O399</f>
        <v>0</v>
      </c>
      <c r="P405" s="587">
        <f>d3М!P399-d3П!P399</f>
        <v>0</v>
      </c>
      <c r="Q405" s="20"/>
      <c r="R405" s="45"/>
    </row>
    <row r="406" spans="1:19" ht="47.25" thickTop="1" thickBot="1" x14ac:dyDescent="0.25">
      <c r="A406" s="311" t="s">
        <v>838</v>
      </c>
      <c r="B406" s="311" t="s">
        <v>748</v>
      </c>
      <c r="C406" s="103"/>
      <c r="D406" s="311" t="s">
        <v>794</v>
      </c>
      <c r="E406" s="587">
        <f>d3М!E400-d3П!E400</f>
        <v>0</v>
      </c>
      <c r="F406" s="587">
        <f>d3М!F400-d3П!F400</f>
        <v>0</v>
      </c>
      <c r="G406" s="587">
        <f>d3М!G400-d3П!G400</f>
        <v>0</v>
      </c>
      <c r="H406" s="587">
        <f>d3М!H400-d3П!H400</f>
        <v>0</v>
      </c>
      <c r="I406" s="587">
        <f>d3М!I400-d3П!I400</f>
        <v>0</v>
      </c>
      <c r="J406" s="587">
        <f>d3М!J400-d3П!J400</f>
        <v>0</v>
      </c>
      <c r="K406" s="587">
        <f>d3М!K400-d3П!K400</f>
        <v>0</v>
      </c>
      <c r="L406" s="587">
        <f>d3М!L400-d3П!L400</f>
        <v>0</v>
      </c>
      <c r="M406" s="587">
        <f>d3М!M400-d3П!M400</f>
        <v>0</v>
      </c>
      <c r="N406" s="587">
        <f>d3М!N400-d3П!N400</f>
        <v>0</v>
      </c>
      <c r="O406" s="587">
        <f>d3М!O400-d3П!O400</f>
        <v>0</v>
      </c>
      <c r="P406" s="587">
        <f>d3М!P400-d3П!P400</f>
        <v>0</v>
      </c>
      <c r="Q406" s="20"/>
      <c r="R406" s="47"/>
    </row>
    <row r="407" spans="1:19" ht="47.25" thickTop="1" thickBot="1" x14ac:dyDescent="0.25">
      <c r="A407" s="313" t="s">
        <v>839</v>
      </c>
      <c r="B407" s="313" t="s">
        <v>840</v>
      </c>
      <c r="C407" s="313"/>
      <c r="D407" s="313" t="s">
        <v>841</v>
      </c>
      <c r="E407" s="587">
        <f>d3М!E401-d3П!E401</f>
        <v>0</v>
      </c>
      <c r="F407" s="587">
        <f>d3М!F401-d3П!F401</f>
        <v>0</v>
      </c>
      <c r="G407" s="587">
        <f>d3М!G401-d3П!G401</f>
        <v>0</v>
      </c>
      <c r="H407" s="587">
        <f>d3М!H401-d3П!H401</f>
        <v>0</v>
      </c>
      <c r="I407" s="587">
        <f>d3М!I401-d3П!I401</f>
        <v>0</v>
      </c>
      <c r="J407" s="587">
        <f>d3М!J401-d3П!J401</f>
        <v>0</v>
      </c>
      <c r="K407" s="587">
        <f>d3М!K401-d3П!K401</f>
        <v>0</v>
      </c>
      <c r="L407" s="587">
        <f>d3М!L401-d3П!L401</f>
        <v>0</v>
      </c>
      <c r="M407" s="587">
        <f>d3М!M401-d3П!M401</f>
        <v>0</v>
      </c>
      <c r="N407" s="587">
        <f>d3М!N401-d3П!N401</f>
        <v>0</v>
      </c>
      <c r="O407" s="587">
        <f>d3М!O401-d3П!O401</f>
        <v>0</v>
      </c>
      <c r="P407" s="587">
        <f>d3М!P401-d3П!P401</f>
        <v>0</v>
      </c>
      <c r="Q407" s="20"/>
      <c r="R407" s="47"/>
    </row>
    <row r="408" spans="1:19" ht="47.25" thickTop="1" thickBot="1" x14ac:dyDescent="0.25">
      <c r="A408" s="103" t="s">
        <v>306</v>
      </c>
      <c r="B408" s="103" t="s">
        <v>307</v>
      </c>
      <c r="C408" s="103" t="s">
        <v>308</v>
      </c>
      <c r="D408" s="103" t="s">
        <v>461</v>
      </c>
      <c r="E408" s="587">
        <f>d3М!E402-d3П!E402</f>
        <v>0</v>
      </c>
      <c r="F408" s="587">
        <f>d3М!F402-d3П!F402</f>
        <v>0</v>
      </c>
      <c r="G408" s="587">
        <f>d3М!G402-d3П!G402</f>
        <v>0</v>
      </c>
      <c r="H408" s="587">
        <f>d3М!H402-d3П!H402</f>
        <v>0</v>
      </c>
      <c r="I408" s="587">
        <f>d3М!I402-d3П!I402</f>
        <v>0</v>
      </c>
      <c r="J408" s="587">
        <f>d3М!J402-d3П!J402</f>
        <v>0</v>
      </c>
      <c r="K408" s="587">
        <f>d3М!K402-d3П!K402</f>
        <v>0</v>
      </c>
      <c r="L408" s="587">
        <f>d3М!L402-d3П!L402</f>
        <v>0</v>
      </c>
      <c r="M408" s="587">
        <f>d3М!M402-d3П!M402</f>
        <v>0</v>
      </c>
      <c r="N408" s="587">
        <f>d3М!N402-d3П!N402</f>
        <v>0</v>
      </c>
      <c r="O408" s="587">
        <f>d3М!O402-d3П!O402</f>
        <v>0</v>
      </c>
      <c r="P408" s="587">
        <f>d3М!P402-d3П!P402</f>
        <v>0</v>
      </c>
      <c r="Q408" s="20"/>
      <c r="R408" s="45"/>
    </row>
    <row r="409" spans="1:19" ht="47.25" thickTop="1" thickBot="1" x14ac:dyDescent="0.25">
      <c r="A409" s="313" t="s">
        <v>842</v>
      </c>
      <c r="B409" s="313" t="s">
        <v>691</v>
      </c>
      <c r="C409" s="103"/>
      <c r="D409" s="313" t="s">
        <v>843</v>
      </c>
      <c r="E409" s="587">
        <f>d3М!E403-d3П!E403</f>
        <v>0</v>
      </c>
      <c r="F409" s="587">
        <f>d3М!F403-d3П!F403</f>
        <v>0</v>
      </c>
      <c r="G409" s="587">
        <f>d3М!G403-d3П!G403</f>
        <v>0</v>
      </c>
      <c r="H409" s="587">
        <f>d3М!H403-d3П!H403</f>
        <v>0</v>
      </c>
      <c r="I409" s="587">
        <f>d3М!I403-d3П!I403</f>
        <v>0</v>
      </c>
      <c r="J409" s="587">
        <f>d3М!J403-d3П!J403</f>
        <v>0</v>
      </c>
      <c r="K409" s="587">
        <f>d3М!K403-d3П!K403</f>
        <v>0</v>
      </c>
      <c r="L409" s="587">
        <f>d3М!L403-d3П!L403</f>
        <v>0</v>
      </c>
      <c r="M409" s="587">
        <f>d3М!M403-d3П!M403</f>
        <v>0</v>
      </c>
      <c r="N409" s="587">
        <f>d3М!N403-d3П!N403</f>
        <v>0</v>
      </c>
      <c r="O409" s="587">
        <f>d3М!O403-d3П!O403</f>
        <v>0</v>
      </c>
      <c r="P409" s="587">
        <f>d3М!P403-d3П!P403</f>
        <v>0</v>
      </c>
      <c r="Q409" s="20"/>
    </row>
    <row r="410" spans="1:19" ht="47.25" thickTop="1" thickBot="1" x14ac:dyDescent="0.25">
      <c r="A410" s="103" t="s">
        <v>368</v>
      </c>
      <c r="B410" s="103" t="s">
        <v>369</v>
      </c>
      <c r="C410" s="103" t="s">
        <v>170</v>
      </c>
      <c r="D410" s="103" t="s">
        <v>370</v>
      </c>
      <c r="E410" s="587">
        <f>d3М!E404-d3П!E404</f>
        <v>0</v>
      </c>
      <c r="F410" s="587">
        <f>d3М!F404-d3П!F404</f>
        <v>0</v>
      </c>
      <c r="G410" s="587">
        <f>d3М!G404-d3П!G404</f>
        <v>0</v>
      </c>
      <c r="H410" s="587">
        <f>d3М!H404-d3П!H404</f>
        <v>0</v>
      </c>
      <c r="I410" s="587">
        <f>d3М!I404-d3П!I404</f>
        <v>0</v>
      </c>
      <c r="J410" s="587">
        <f>d3М!J404-d3П!J404</f>
        <v>0</v>
      </c>
      <c r="K410" s="587">
        <f>d3М!K404-d3П!K404</f>
        <v>0</v>
      </c>
      <c r="L410" s="587">
        <f>d3М!L404-d3П!L404</f>
        <v>0</v>
      </c>
      <c r="M410" s="587">
        <f>d3М!M404-d3П!M404</f>
        <v>0</v>
      </c>
      <c r="N410" s="587">
        <f>d3М!N404-d3П!N404</f>
        <v>0</v>
      </c>
      <c r="O410" s="587">
        <f>d3М!O404-d3П!O404</f>
        <v>0</v>
      </c>
      <c r="P410" s="587">
        <f>d3М!P404-d3П!P404</f>
        <v>0</v>
      </c>
      <c r="Q410" s="20"/>
      <c r="R410" s="45"/>
    </row>
    <row r="411" spans="1:19" ht="120" customHeight="1" thickTop="1" thickBot="1" x14ac:dyDescent="0.25">
      <c r="A411" s="661" t="s">
        <v>168</v>
      </c>
      <c r="B411" s="661"/>
      <c r="C411" s="661"/>
      <c r="D411" s="662" t="s">
        <v>27</v>
      </c>
      <c r="E411" s="663">
        <f>E412</f>
        <v>0</v>
      </c>
      <c r="F411" s="664">
        <f t="shared" ref="F411:G411" si="123">F412</f>
        <v>0</v>
      </c>
      <c r="G411" s="664">
        <f t="shared" si="123"/>
        <v>0</v>
      </c>
      <c r="H411" s="664">
        <f>H412</f>
        <v>0</v>
      </c>
      <c r="I411" s="664">
        <f t="shared" ref="I411" si="124">I412</f>
        <v>0</v>
      </c>
      <c r="J411" s="663">
        <f>J412</f>
        <v>0</v>
      </c>
      <c r="K411" s="664">
        <f>K412</f>
        <v>0</v>
      </c>
      <c r="L411" s="664">
        <f>L412</f>
        <v>0</v>
      </c>
      <c r="M411" s="664">
        <f t="shared" ref="M411" si="125">M412</f>
        <v>0</v>
      </c>
      <c r="N411" s="664">
        <f>N412</f>
        <v>0</v>
      </c>
      <c r="O411" s="663">
        <f>O412</f>
        <v>0</v>
      </c>
      <c r="P411" s="664">
        <f t="shared" ref="P411" si="126">P412</f>
        <v>0</v>
      </c>
      <c r="Q411" s="20"/>
    </row>
    <row r="412" spans="1:19" ht="120" customHeight="1" thickTop="1" thickBot="1" x14ac:dyDescent="0.25">
      <c r="A412" s="658" t="s">
        <v>169</v>
      </c>
      <c r="B412" s="658"/>
      <c r="C412" s="658"/>
      <c r="D412" s="659" t="s">
        <v>40</v>
      </c>
      <c r="E412" s="660">
        <f>E413+E419+E426+E416</f>
        <v>0</v>
      </c>
      <c r="F412" s="660">
        <f t="shared" ref="F412:P412" si="127">F413+F419+F426+F416</f>
        <v>0</v>
      </c>
      <c r="G412" s="660">
        <f t="shared" si="127"/>
        <v>0</v>
      </c>
      <c r="H412" s="660">
        <f t="shared" si="127"/>
        <v>0</v>
      </c>
      <c r="I412" s="660">
        <f t="shared" si="127"/>
        <v>0</v>
      </c>
      <c r="J412" s="660">
        <f t="shared" si="127"/>
        <v>0</v>
      </c>
      <c r="K412" s="660">
        <f t="shared" si="127"/>
        <v>0</v>
      </c>
      <c r="L412" s="660">
        <f t="shared" si="127"/>
        <v>0</v>
      </c>
      <c r="M412" s="660">
        <f t="shared" si="127"/>
        <v>0</v>
      </c>
      <c r="N412" s="660">
        <f t="shared" si="127"/>
        <v>0</v>
      </c>
      <c r="O412" s="660">
        <f t="shared" si="127"/>
        <v>0</v>
      </c>
      <c r="P412" s="660">
        <f t="shared" si="127"/>
        <v>0</v>
      </c>
      <c r="Q412" s="503" t="b">
        <f>P412=P414+P420+P422</f>
        <v>1</v>
      </c>
      <c r="R412" s="45"/>
    </row>
    <row r="413" spans="1:19" ht="47.25" thickTop="1" thickBot="1" x14ac:dyDescent="0.25">
      <c r="A413" s="311" t="s">
        <v>844</v>
      </c>
      <c r="B413" s="311" t="s">
        <v>684</v>
      </c>
      <c r="C413" s="311"/>
      <c r="D413" s="311" t="s">
        <v>685</v>
      </c>
      <c r="E413" s="587">
        <f>d3М!E407-d3П!E407</f>
        <v>0</v>
      </c>
      <c r="F413" s="587">
        <f>d3М!F407-d3П!F407</f>
        <v>0</v>
      </c>
      <c r="G413" s="587">
        <f>d3М!G407-d3П!G407</f>
        <v>0</v>
      </c>
      <c r="H413" s="587">
        <f>d3М!H407-d3П!H407</f>
        <v>0</v>
      </c>
      <c r="I413" s="587">
        <f>d3М!I407-d3П!I407</f>
        <v>0</v>
      </c>
      <c r="J413" s="587">
        <f>d3М!J407-d3П!J407</f>
        <v>0</v>
      </c>
      <c r="K413" s="587">
        <f>d3М!K407-d3П!K407</f>
        <v>0</v>
      </c>
      <c r="L413" s="587">
        <f>d3М!L407-d3П!L407</f>
        <v>0</v>
      </c>
      <c r="M413" s="587">
        <f>d3М!M407-d3П!M407</f>
        <v>0</v>
      </c>
      <c r="N413" s="587">
        <f>d3М!N407-d3П!N407</f>
        <v>0</v>
      </c>
      <c r="O413" s="587">
        <f>d3М!O407-d3П!O407</f>
        <v>0</v>
      </c>
      <c r="P413" s="587">
        <f>d3М!P407-d3П!P407</f>
        <v>0</v>
      </c>
      <c r="Q413" s="47"/>
      <c r="R413" s="50"/>
    </row>
    <row r="414" spans="1:19" ht="93" thickTop="1" thickBot="1" x14ac:dyDescent="0.25">
      <c r="A414" s="103" t="s">
        <v>420</v>
      </c>
      <c r="B414" s="103" t="s">
        <v>236</v>
      </c>
      <c r="C414" s="103" t="s">
        <v>234</v>
      </c>
      <c r="D414" s="103" t="s">
        <v>235</v>
      </c>
      <c r="E414" s="587">
        <f>d3М!E408-d3П!E408</f>
        <v>0</v>
      </c>
      <c r="F414" s="587">
        <f>d3М!F408-d3П!F408</f>
        <v>0</v>
      </c>
      <c r="G414" s="587">
        <f>d3М!G408-d3П!G408</f>
        <v>0</v>
      </c>
      <c r="H414" s="587">
        <f>d3М!H408-d3П!H408</f>
        <v>0</v>
      </c>
      <c r="I414" s="587">
        <f>d3М!I408-d3П!I408</f>
        <v>0</v>
      </c>
      <c r="J414" s="587">
        <f>d3М!J408-d3П!J408</f>
        <v>0</v>
      </c>
      <c r="K414" s="587">
        <f>d3М!K408-d3П!K408</f>
        <v>0</v>
      </c>
      <c r="L414" s="587">
        <f>d3М!L408-d3П!L408</f>
        <v>0</v>
      </c>
      <c r="M414" s="587">
        <f>d3М!M408-d3П!M408</f>
        <v>0</v>
      </c>
      <c r="N414" s="587">
        <f>d3М!N408-d3П!N408</f>
        <v>0</v>
      </c>
      <c r="O414" s="587">
        <f>d3М!O408-d3П!O408</f>
        <v>0</v>
      </c>
      <c r="P414" s="587">
        <f>d3М!P408-d3П!P408</f>
        <v>0</v>
      </c>
      <c r="Q414" s="47"/>
      <c r="R414" s="50"/>
      <c r="S414" s="47"/>
    </row>
    <row r="415" spans="1:19" ht="93" hidden="1" thickTop="1" thickBot="1" x14ac:dyDescent="0.25">
      <c r="A415" s="128" t="s">
        <v>634</v>
      </c>
      <c r="B415" s="128" t="s">
        <v>362</v>
      </c>
      <c r="C415" s="128" t="s">
        <v>625</v>
      </c>
      <c r="D415" s="128" t="s">
        <v>626</v>
      </c>
      <c r="E415" s="587">
        <f>d3М!E409-d3П!E409</f>
        <v>0</v>
      </c>
      <c r="F415" s="587">
        <f>d3М!F409-d3П!F409</f>
        <v>0</v>
      </c>
      <c r="G415" s="587">
        <f>d3М!G409-d3П!G409</f>
        <v>0</v>
      </c>
      <c r="H415" s="587">
        <f>d3М!H409-d3П!H409</f>
        <v>0</v>
      </c>
      <c r="I415" s="587">
        <f>d3М!I409-d3П!I409</f>
        <v>0</v>
      </c>
      <c r="J415" s="587">
        <f>d3М!J409-d3П!J409</f>
        <v>0</v>
      </c>
      <c r="K415" s="587">
        <f>d3М!K409-d3П!K409</f>
        <v>0</v>
      </c>
      <c r="L415" s="587">
        <f>d3М!L409-d3П!L409</f>
        <v>0</v>
      </c>
      <c r="M415" s="587">
        <f>d3М!M409-d3П!M409</f>
        <v>0</v>
      </c>
      <c r="N415" s="587">
        <f>d3М!N409-d3П!N409</f>
        <v>0</v>
      </c>
      <c r="O415" s="587">
        <f>d3М!O409-d3П!O409</f>
        <v>0</v>
      </c>
      <c r="P415" s="587">
        <f>d3М!P409-d3П!P409</f>
        <v>0</v>
      </c>
      <c r="Q415" s="47"/>
      <c r="R415" s="50"/>
    </row>
    <row r="416" spans="1:19" ht="47.25" hidden="1" thickTop="1" thickBot="1" x14ac:dyDescent="0.25">
      <c r="A416" s="136" t="s">
        <v>1204</v>
      </c>
      <c r="B416" s="136" t="s">
        <v>691</v>
      </c>
      <c r="C416" s="136"/>
      <c r="D416" s="136" t="s">
        <v>689</v>
      </c>
      <c r="E416" s="587">
        <f>d3М!E410-d3П!E410</f>
        <v>0</v>
      </c>
      <c r="F416" s="587">
        <f>d3М!F410-d3П!F410</f>
        <v>0</v>
      </c>
      <c r="G416" s="587">
        <f>d3М!G410-d3П!G410</f>
        <v>0</v>
      </c>
      <c r="H416" s="587">
        <f>d3М!H410-d3П!H410</f>
        <v>0</v>
      </c>
      <c r="I416" s="587">
        <f>d3М!I410-d3П!I410</f>
        <v>0</v>
      </c>
      <c r="J416" s="587">
        <f>d3М!J410-d3П!J410</f>
        <v>0</v>
      </c>
      <c r="K416" s="587">
        <f>d3М!K410-d3П!K410</f>
        <v>0</v>
      </c>
      <c r="L416" s="587">
        <f>d3М!L410-d3П!L410</f>
        <v>0</v>
      </c>
      <c r="M416" s="587">
        <f>d3М!M410-d3П!M410</f>
        <v>0</v>
      </c>
      <c r="N416" s="587">
        <f>d3М!N410-d3П!N410</f>
        <v>0</v>
      </c>
      <c r="O416" s="587">
        <f>d3М!O410-d3П!O410</f>
        <v>0</v>
      </c>
      <c r="P416" s="587">
        <f>d3М!P410-d3П!P410</f>
        <v>0</v>
      </c>
      <c r="Q416" s="47"/>
      <c r="R416" s="50"/>
    </row>
    <row r="417" spans="1:18" ht="47.25" hidden="1" thickTop="1" thickBot="1" x14ac:dyDescent="0.25">
      <c r="A417" s="140" t="s">
        <v>1205</v>
      </c>
      <c r="B417" s="140" t="s">
        <v>694</v>
      </c>
      <c r="C417" s="140"/>
      <c r="D417" s="140" t="s">
        <v>692</v>
      </c>
      <c r="E417" s="587">
        <f>d3М!E411-d3П!E411</f>
        <v>0</v>
      </c>
      <c r="F417" s="587">
        <f>d3М!F411-d3П!F411</f>
        <v>0</v>
      </c>
      <c r="G417" s="587">
        <f>d3М!G411-d3П!G411</f>
        <v>0</v>
      </c>
      <c r="H417" s="587">
        <f>d3М!H411-d3П!H411</f>
        <v>0</v>
      </c>
      <c r="I417" s="587">
        <f>d3М!I411-d3П!I411</f>
        <v>0</v>
      </c>
      <c r="J417" s="587">
        <f>d3М!J411-d3П!J411</f>
        <v>0</v>
      </c>
      <c r="K417" s="587">
        <f>d3М!K411-d3П!K411</f>
        <v>0</v>
      </c>
      <c r="L417" s="587">
        <f>d3М!L411-d3П!L411</f>
        <v>0</v>
      </c>
      <c r="M417" s="587">
        <f>d3М!M411-d3П!M411</f>
        <v>0</v>
      </c>
      <c r="N417" s="587">
        <f>d3М!N411-d3П!N411</f>
        <v>0</v>
      </c>
      <c r="O417" s="587">
        <f>d3М!O411-d3П!O411</f>
        <v>0</v>
      </c>
      <c r="P417" s="587">
        <f>d3М!P411-d3П!P411</f>
        <v>0</v>
      </c>
      <c r="Q417" s="47"/>
      <c r="R417" s="50"/>
    </row>
    <row r="418" spans="1:18" ht="47.25" hidden="1" thickTop="1" thickBot="1" x14ac:dyDescent="0.25">
      <c r="A418" s="128" t="s">
        <v>1206</v>
      </c>
      <c r="B418" s="128" t="s">
        <v>257</v>
      </c>
      <c r="C418" s="128" t="s">
        <v>170</v>
      </c>
      <c r="D418" s="128" t="s">
        <v>255</v>
      </c>
      <c r="E418" s="587">
        <f>d3М!E412-d3П!E412</f>
        <v>0</v>
      </c>
      <c r="F418" s="587">
        <f>d3М!F412-d3П!F412</f>
        <v>0</v>
      </c>
      <c r="G418" s="587">
        <f>d3М!G412-d3П!G412</f>
        <v>0</v>
      </c>
      <c r="H418" s="587">
        <f>d3М!H412-d3П!H412</f>
        <v>0</v>
      </c>
      <c r="I418" s="587">
        <f>d3М!I412-d3П!I412</f>
        <v>0</v>
      </c>
      <c r="J418" s="587">
        <f>d3М!J412-d3П!J412</f>
        <v>0</v>
      </c>
      <c r="K418" s="587">
        <f>d3М!K412-d3П!K412</f>
        <v>0</v>
      </c>
      <c r="L418" s="587">
        <f>d3М!L412-d3П!L412</f>
        <v>0</v>
      </c>
      <c r="M418" s="587">
        <f>d3М!M412-d3П!M412</f>
        <v>0</v>
      </c>
      <c r="N418" s="587">
        <f>d3М!N412-d3П!N412</f>
        <v>0</v>
      </c>
      <c r="O418" s="587">
        <f>d3М!O412-d3П!O412</f>
        <v>0</v>
      </c>
      <c r="P418" s="587">
        <f>d3М!P412-d3П!P412</f>
        <v>0</v>
      </c>
      <c r="Q418" s="47"/>
      <c r="R418" s="50"/>
    </row>
    <row r="419" spans="1:18" ht="47.25" thickTop="1" thickBot="1" x14ac:dyDescent="0.25">
      <c r="A419" s="311" t="s">
        <v>845</v>
      </c>
      <c r="B419" s="311" t="s">
        <v>696</v>
      </c>
      <c r="C419" s="311"/>
      <c r="D419" s="311" t="s">
        <v>697</v>
      </c>
      <c r="E419" s="587">
        <f>d3М!E413-d3П!E413</f>
        <v>0</v>
      </c>
      <c r="F419" s="587">
        <f>d3М!F413-d3П!F413</f>
        <v>0</v>
      </c>
      <c r="G419" s="587">
        <f>d3М!G413-d3П!G413</f>
        <v>0</v>
      </c>
      <c r="H419" s="587">
        <f>d3М!H413-d3П!H413</f>
        <v>0</v>
      </c>
      <c r="I419" s="587">
        <f>d3М!I413-d3П!I413</f>
        <v>0</v>
      </c>
      <c r="J419" s="587">
        <f>d3М!J413-d3П!J413</f>
        <v>0</v>
      </c>
      <c r="K419" s="587">
        <f>d3М!K413-d3П!K413</f>
        <v>0</v>
      </c>
      <c r="L419" s="587">
        <f>d3М!L413-d3П!L413</f>
        <v>0</v>
      </c>
      <c r="M419" s="587">
        <f>d3М!M413-d3П!M413</f>
        <v>0</v>
      </c>
      <c r="N419" s="587">
        <f>d3М!N413-d3П!N413</f>
        <v>0</v>
      </c>
      <c r="O419" s="587">
        <f>d3М!O413-d3П!O413</f>
        <v>0</v>
      </c>
      <c r="P419" s="587">
        <f>d3М!P413-d3П!P413</f>
        <v>0</v>
      </c>
      <c r="Q419" s="47"/>
      <c r="R419" s="50"/>
    </row>
    <row r="420" spans="1:18" ht="46.5" thickTop="1" thickBot="1" x14ac:dyDescent="0.25">
      <c r="A420" s="526">
        <v>3718600</v>
      </c>
      <c r="B420" s="526">
        <v>8600</v>
      </c>
      <c r="C420" s="313" t="s">
        <v>362</v>
      </c>
      <c r="D420" s="526" t="s">
        <v>452</v>
      </c>
      <c r="E420" s="587">
        <f>d3М!E414-d3П!E414</f>
        <v>0</v>
      </c>
      <c r="F420" s="587">
        <f>d3М!F414-d3П!F414</f>
        <v>0</v>
      </c>
      <c r="G420" s="587">
        <f>d3М!G414-d3П!G414</f>
        <v>0</v>
      </c>
      <c r="H420" s="587">
        <f>d3М!H414-d3П!H414</f>
        <v>0</v>
      </c>
      <c r="I420" s="587">
        <f>d3М!I414-d3П!I414</f>
        <v>0</v>
      </c>
      <c r="J420" s="587">
        <f>d3М!J414-d3П!J414</f>
        <v>0</v>
      </c>
      <c r="K420" s="587">
        <f>d3М!K414-d3П!K414</f>
        <v>0</v>
      </c>
      <c r="L420" s="587">
        <f>d3М!L414-d3П!L414</f>
        <v>0</v>
      </c>
      <c r="M420" s="587">
        <f>d3М!M414-d3П!M414</f>
        <v>0</v>
      </c>
      <c r="N420" s="587">
        <f>d3М!N414-d3П!N414</f>
        <v>0</v>
      </c>
      <c r="O420" s="587">
        <f>d3М!O414-d3П!O414</f>
        <v>0</v>
      </c>
      <c r="P420" s="587">
        <f>d3М!P414-d3П!P414</f>
        <v>0</v>
      </c>
      <c r="Q420" s="20"/>
    </row>
    <row r="421" spans="1:18" ht="46.5" thickTop="1" thickBot="1" x14ac:dyDescent="0.25">
      <c r="A421" s="526">
        <v>3718700</v>
      </c>
      <c r="B421" s="526">
        <v>8700</v>
      </c>
      <c r="C421" s="313"/>
      <c r="D421" s="526" t="s">
        <v>846</v>
      </c>
      <c r="E421" s="587">
        <f>d3М!E415-d3П!E415</f>
        <v>0</v>
      </c>
      <c r="F421" s="587">
        <f>d3М!F415-d3П!F415</f>
        <v>0</v>
      </c>
      <c r="G421" s="587">
        <f>d3М!G415-d3П!G415</f>
        <v>0</v>
      </c>
      <c r="H421" s="587">
        <f>d3М!H415-d3П!H415</f>
        <v>0</v>
      </c>
      <c r="I421" s="587">
        <f>d3М!I415-d3П!I415</f>
        <v>0</v>
      </c>
      <c r="J421" s="587">
        <f>d3М!J415-d3П!J415</f>
        <v>0</v>
      </c>
      <c r="K421" s="587">
        <f>d3М!K415-d3П!K415</f>
        <v>0</v>
      </c>
      <c r="L421" s="587">
        <f>d3М!L415-d3П!L415</f>
        <v>0</v>
      </c>
      <c r="M421" s="587">
        <f>d3М!M415-d3П!M415</f>
        <v>0</v>
      </c>
      <c r="N421" s="587">
        <f>d3М!N415-d3П!N415</f>
        <v>0</v>
      </c>
      <c r="O421" s="587">
        <f>d3М!O415-d3П!O415</f>
        <v>0</v>
      </c>
      <c r="P421" s="587">
        <f>d3М!P415-d3П!P415</f>
        <v>0</v>
      </c>
      <c r="Q421" s="20"/>
    </row>
    <row r="422" spans="1:18" ht="69" customHeight="1" thickTop="1" thickBot="1" x14ac:dyDescent="0.25">
      <c r="A422" s="330">
        <v>3718710</v>
      </c>
      <c r="B422" s="330">
        <v>8710</v>
      </c>
      <c r="C422" s="103" t="s">
        <v>42</v>
      </c>
      <c r="D422" s="470" t="s">
        <v>640</v>
      </c>
      <c r="E422" s="587">
        <f>d3М!E416-d3П!E416</f>
        <v>0</v>
      </c>
      <c r="F422" s="587">
        <f>d3М!F416-d3П!F416</f>
        <v>0</v>
      </c>
      <c r="G422" s="587">
        <f>d3М!G416-d3П!G416</f>
        <v>0</v>
      </c>
      <c r="H422" s="587">
        <f>d3М!H416-d3П!H416</f>
        <v>0</v>
      </c>
      <c r="I422" s="587">
        <f>d3М!I416-d3П!I416</f>
        <v>0</v>
      </c>
      <c r="J422" s="587">
        <f>d3М!J416-d3П!J416</f>
        <v>0</v>
      </c>
      <c r="K422" s="587">
        <f>d3М!K416-d3П!K416</f>
        <v>0</v>
      </c>
      <c r="L422" s="587">
        <f>d3М!L416-d3П!L416</f>
        <v>0</v>
      </c>
      <c r="M422" s="587">
        <f>d3М!M416-d3П!M416</f>
        <v>0</v>
      </c>
      <c r="N422" s="587">
        <f>d3М!N416-d3П!N416</f>
        <v>0</v>
      </c>
      <c r="O422" s="587">
        <f>d3М!O416-d3П!O416</f>
        <v>0</v>
      </c>
      <c r="P422" s="587">
        <f>d3М!P416-d3П!P416</f>
        <v>0</v>
      </c>
      <c r="Q422" s="20"/>
    </row>
    <row r="423" spans="1:18" ht="47.25" hidden="1" thickTop="1" thickBot="1" x14ac:dyDescent="0.25">
      <c r="A423" s="166">
        <v>3718800</v>
      </c>
      <c r="B423" s="166">
        <v>8800</v>
      </c>
      <c r="C423" s="136"/>
      <c r="D423" s="166" t="s">
        <v>854</v>
      </c>
      <c r="E423" s="137">
        <f>E424</f>
        <v>0</v>
      </c>
      <c r="F423" s="137">
        <f>F424</f>
        <v>0</v>
      </c>
      <c r="G423" s="137">
        <f t="shared" ref="G423:P424" si="128">G424</f>
        <v>0</v>
      </c>
      <c r="H423" s="137">
        <f t="shared" si="128"/>
        <v>0</v>
      </c>
      <c r="I423" s="137">
        <f t="shared" si="128"/>
        <v>0</v>
      </c>
      <c r="J423" s="137">
        <f t="shared" si="128"/>
        <v>0</v>
      </c>
      <c r="K423" s="137">
        <f t="shared" si="128"/>
        <v>0</v>
      </c>
      <c r="L423" s="137">
        <f t="shared" si="128"/>
        <v>0</v>
      </c>
      <c r="M423" s="137">
        <f t="shared" si="128"/>
        <v>0</v>
      </c>
      <c r="N423" s="137">
        <f t="shared" si="128"/>
        <v>0</v>
      </c>
      <c r="O423" s="137">
        <f t="shared" si="128"/>
        <v>0</v>
      </c>
      <c r="P423" s="137">
        <f t="shared" si="128"/>
        <v>0</v>
      </c>
      <c r="Q423" s="20"/>
    </row>
    <row r="424" spans="1:18" ht="93" hidden="1" thickTop="1" thickBot="1" x14ac:dyDescent="0.25">
      <c r="A424" s="167">
        <v>3718880</v>
      </c>
      <c r="B424" s="167">
        <v>8880</v>
      </c>
      <c r="C424" s="140"/>
      <c r="D424" s="153" t="s">
        <v>1154</v>
      </c>
      <c r="E424" s="141">
        <f>E425</f>
        <v>0</v>
      </c>
      <c r="F424" s="141">
        <f t="shared" ref="F424" si="129">F425</f>
        <v>0</v>
      </c>
      <c r="G424" s="141">
        <f t="shared" si="128"/>
        <v>0</v>
      </c>
      <c r="H424" s="141">
        <f t="shared" si="128"/>
        <v>0</v>
      </c>
      <c r="I424" s="141">
        <f t="shared" si="128"/>
        <v>0</v>
      </c>
      <c r="J424" s="141">
        <f t="shared" si="128"/>
        <v>0</v>
      </c>
      <c r="K424" s="141">
        <f t="shared" si="128"/>
        <v>0</v>
      </c>
      <c r="L424" s="141">
        <f t="shared" si="128"/>
        <v>0</v>
      </c>
      <c r="M424" s="141">
        <f t="shared" si="128"/>
        <v>0</v>
      </c>
      <c r="N424" s="141">
        <f t="shared" si="128"/>
        <v>0</v>
      </c>
      <c r="O424" s="141">
        <f t="shared" si="128"/>
        <v>0</v>
      </c>
      <c r="P424" s="141">
        <f t="shared" si="128"/>
        <v>0</v>
      </c>
      <c r="Q424" s="20"/>
    </row>
    <row r="425" spans="1:18" ht="93" hidden="1" thickTop="1" thickBot="1" x14ac:dyDescent="0.25">
      <c r="A425" s="128">
        <v>3718881</v>
      </c>
      <c r="B425" s="128">
        <v>8881</v>
      </c>
      <c r="C425" s="128" t="s">
        <v>170</v>
      </c>
      <c r="D425" s="128" t="s">
        <v>1155</v>
      </c>
      <c r="E425" s="152">
        <f>F425</f>
        <v>0</v>
      </c>
      <c r="F425" s="129">
        <f>(2500000)-2500000</f>
        <v>0</v>
      </c>
      <c r="G425" s="129"/>
      <c r="H425" s="129"/>
      <c r="I425" s="129"/>
      <c r="J425" s="127">
        <f t="shared" ref="J425" si="130">L425+O425</f>
        <v>0</v>
      </c>
      <c r="K425" s="129"/>
      <c r="L425" s="130"/>
      <c r="M425" s="130"/>
      <c r="N425" s="130"/>
      <c r="O425" s="132">
        <f t="shared" ref="O425" si="131">K425</f>
        <v>0</v>
      </c>
      <c r="P425" s="127">
        <f t="shared" ref="P425" si="132">+J425+E425</f>
        <v>0</v>
      </c>
      <c r="Q425" s="20"/>
    </row>
    <row r="426" spans="1:18" ht="47.25" hidden="1" thickTop="1" thickBot="1" x14ac:dyDescent="0.25">
      <c r="A426" s="125" t="s">
        <v>847</v>
      </c>
      <c r="B426" s="125" t="s">
        <v>702</v>
      </c>
      <c r="C426" s="125"/>
      <c r="D426" s="125" t="s">
        <v>703</v>
      </c>
      <c r="E426" s="127">
        <f>E427</f>
        <v>0</v>
      </c>
      <c r="F426" s="127">
        <f t="shared" ref="F426:P427" si="133">F427</f>
        <v>0</v>
      </c>
      <c r="G426" s="127">
        <f t="shared" si="133"/>
        <v>0</v>
      </c>
      <c r="H426" s="127">
        <f t="shared" si="133"/>
        <v>0</v>
      </c>
      <c r="I426" s="127">
        <f t="shared" si="133"/>
        <v>0</v>
      </c>
      <c r="J426" s="127">
        <f t="shared" si="133"/>
        <v>0</v>
      </c>
      <c r="K426" s="127">
        <f t="shared" si="133"/>
        <v>0</v>
      </c>
      <c r="L426" s="127">
        <f t="shared" si="133"/>
        <v>0</v>
      </c>
      <c r="M426" s="127">
        <f t="shared" si="133"/>
        <v>0</v>
      </c>
      <c r="N426" s="127">
        <f t="shared" si="133"/>
        <v>0</v>
      </c>
      <c r="O426" s="127">
        <f t="shared" si="133"/>
        <v>0</v>
      </c>
      <c r="P426" s="127">
        <f t="shared" si="133"/>
        <v>0</v>
      </c>
      <c r="Q426" s="20"/>
    </row>
    <row r="427" spans="1:18" ht="47.25" hidden="1" thickTop="1" thickBot="1" x14ac:dyDescent="0.25">
      <c r="A427" s="166">
        <v>3719100</v>
      </c>
      <c r="B427" s="136" t="s">
        <v>849</v>
      </c>
      <c r="C427" s="136"/>
      <c r="D427" s="136" t="s">
        <v>848</v>
      </c>
      <c r="E427" s="137">
        <f>E428</f>
        <v>0</v>
      </c>
      <c r="F427" s="137">
        <f t="shared" si="133"/>
        <v>0</v>
      </c>
      <c r="G427" s="137">
        <f t="shared" si="133"/>
        <v>0</v>
      </c>
      <c r="H427" s="137">
        <f t="shared" si="133"/>
        <v>0</v>
      </c>
      <c r="I427" s="137">
        <f t="shared" si="133"/>
        <v>0</v>
      </c>
      <c r="J427" s="137">
        <f t="shared" si="133"/>
        <v>0</v>
      </c>
      <c r="K427" s="137">
        <f t="shared" si="133"/>
        <v>0</v>
      </c>
      <c r="L427" s="137">
        <f t="shared" si="133"/>
        <v>0</v>
      </c>
      <c r="M427" s="137">
        <f t="shared" si="133"/>
        <v>0</v>
      </c>
      <c r="N427" s="137">
        <f t="shared" si="133"/>
        <v>0</v>
      </c>
      <c r="O427" s="137">
        <f t="shared" si="133"/>
        <v>0</v>
      </c>
      <c r="P427" s="137">
        <f t="shared" si="133"/>
        <v>0</v>
      </c>
      <c r="Q427" s="20"/>
    </row>
    <row r="428" spans="1:18" ht="51" hidden="1" customHeight="1" thickTop="1" thickBot="1" x14ac:dyDescent="0.25">
      <c r="A428" s="151">
        <v>3719110</v>
      </c>
      <c r="B428" s="151">
        <v>9110</v>
      </c>
      <c r="C428" s="128" t="s">
        <v>43</v>
      </c>
      <c r="D428" s="402" t="s">
        <v>451</v>
      </c>
      <c r="E428" s="127">
        <f>F428</f>
        <v>0</v>
      </c>
      <c r="F428" s="134">
        <v>0</v>
      </c>
      <c r="G428" s="134"/>
      <c r="H428" s="134"/>
      <c r="I428" s="134"/>
      <c r="J428" s="127">
        <f>L428+O428</f>
        <v>0</v>
      </c>
      <c r="K428" s="134"/>
      <c r="L428" s="134"/>
      <c r="M428" s="134"/>
      <c r="N428" s="134"/>
      <c r="O428" s="132">
        <f>K428</f>
        <v>0</v>
      </c>
      <c r="P428" s="127">
        <f>E428+J428</f>
        <v>0</v>
      </c>
      <c r="Q428" s="20"/>
    </row>
    <row r="429" spans="1:18" ht="111" customHeight="1" thickTop="1" thickBot="1" x14ac:dyDescent="0.25">
      <c r="A429" s="674" t="s">
        <v>381</v>
      </c>
      <c r="B429" s="674" t="s">
        <v>381</v>
      </c>
      <c r="C429" s="674" t="s">
        <v>381</v>
      </c>
      <c r="D429" s="674" t="s">
        <v>391</v>
      </c>
      <c r="E429" s="675">
        <f t="shared" ref="E429:P429" si="134">E16+E48+E221+E108+E140+E200++E320+E345+E412+E373+E393+E403+E354+E285+E257</f>
        <v>5595036.0100002289</v>
      </c>
      <c r="F429" s="675">
        <f t="shared" si="134"/>
        <v>5595036.0100002289</v>
      </c>
      <c r="G429" s="675">
        <f t="shared" si="134"/>
        <v>4470532</v>
      </c>
      <c r="H429" s="675">
        <f t="shared" si="134"/>
        <v>140989.00999999046</v>
      </c>
      <c r="I429" s="675">
        <f t="shared" si="134"/>
        <v>0</v>
      </c>
      <c r="J429" s="675">
        <f t="shared" si="134"/>
        <v>7672111</v>
      </c>
      <c r="K429" s="675">
        <f t="shared" si="134"/>
        <v>0</v>
      </c>
      <c r="L429" s="675">
        <f t="shared" si="134"/>
        <v>0</v>
      </c>
      <c r="M429" s="675">
        <f t="shared" si="134"/>
        <v>0</v>
      </c>
      <c r="N429" s="675">
        <f t="shared" si="134"/>
        <v>0</v>
      </c>
      <c r="O429" s="675">
        <f t="shared" si="134"/>
        <v>7672111</v>
      </c>
      <c r="P429" s="675">
        <f t="shared" si="134"/>
        <v>13267147.010000229</v>
      </c>
      <c r="Q429" s="79" t="b">
        <f>P429=J429+E429</f>
        <v>1</v>
      </c>
    </row>
    <row r="430" spans="1:18" ht="46.5" thickTop="1" x14ac:dyDescent="0.2">
      <c r="A430" s="819" t="s">
        <v>1520</v>
      </c>
      <c r="B430" s="820"/>
      <c r="C430" s="820"/>
      <c r="D430" s="820"/>
      <c r="E430" s="820"/>
      <c r="F430" s="820"/>
      <c r="G430" s="820"/>
      <c r="H430" s="820"/>
      <c r="I430" s="820"/>
      <c r="J430" s="820"/>
      <c r="K430" s="820"/>
      <c r="L430" s="820"/>
      <c r="M430" s="820"/>
      <c r="N430" s="820"/>
      <c r="O430" s="820"/>
      <c r="P430" s="820"/>
      <c r="Q430" s="56"/>
    </row>
    <row r="431" spans="1:18" ht="60.75" hidden="1" x14ac:dyDescent="0.2">
      <c r="A431" s="15"/>
      <c r="B431" s="16"/>
      <c r="C431" s="16"/>
      <c r="D431" s="16"/>
      <c r="E431" s="550">
        <f>F431</f>
        <v>3960470007</v>
      </c>
      <c r="F431" s="550">
        <f>(((3716414441.2)+222038975.97)+1158900+4436136.01)+16421553.82</f>
        <v>3960470007</v>
      </c>
      <c r="G431" s="550">
        <f>((95820900+1446614253+3269881+127110999+52092425+53854513+94248348+1953964)+45702476.39+3377320)+949920+3007261+436671+76680</f>
        <v>1928515611.3900001</v>
      </c>
      <c r="H431" s="550">
        <f>(((6241293+170645348+208800+8158262+4493410+2946945+4237921+58880)+92902.78)+140989.01)+137643</f>
        <v>197362393.78999999</v>
      </c>
      <c r="I431" s="550">
        <v>0</v>
      </c>
      <c r="J431" s="550">
        <f>(((480219450.8+'d2'!E42-'d4'!O29)+268859015.4)+7672111)+161781011.18</f>
        <v>915941098.38000011</v>
      </c>
      <c r="K431" s="550">
        <f>((480219450.8+'d2'!F42-'d4'!P29-1200000-5215800-229145152)+268859015.4-4737.15-663952)+161781011.18</f>
        <v>672039346.23000002</v>
      </c>
      <c r="L431" s="550">
        <f>(((2604400+176000+570000+1000000)+206347210+6239260+10895910+1888442+1200000)+4737.15)-152499</f>
        <v>230773460.15000001</v>
      </c>
      <c r="M431" s="550">
        <f>(53944610+2604685+8032370+704165)-133500</f>
        <v>65152330</v>
      </c>
      <c r="N431" s="550">
        <f>17336870+705805+284620+524376</f>
        <v>18851671</v>
      </c>
      <c r="O431" s="550">
        <f>(((480219450.8+'d2'!F42-'d4'!O29-1200000-5215800-229145152+865400+3487390+24000+237940+25000)+268859015.4-4737.15)+7672111)+152499+161781011.18</f>
        <v>685167638.23000002</v>
      </c>
      <c r="P431" s="550">
        <f>(((4196633892+'d2'!C46-'d4'!Q29)+490897991.37)+7672111+4436136.01+1158900)+178202565</f>
        <v>4876411105.3800001</v>
      </c>
      <c r="Q431" s="79" t="b">
        <f>E431+J431=P431</f>
        <v>1</v>
      </c>
      <c r="R431" s="56"/>
    </row>
    <row r="432" spans="1:18" ht="45.75" x14ac:dyDescent="0.65">
      <c r="A432" s="15"/>
      <c r="B432" s="16"/>
      <c r="C432" s="16"/>
      <c r="D432" s="551" t="s">
        <v>1480</v>
      </c>
      <c r="E432" s="319"/>
      <c r="F432" s="319"/>
      <c r="G432" s="2"/>
      <c r="H432" s="3"/>
      <c r="I432" s="2"/>
      <c r="J432" s="3"/>
      <c r="K432" s="2" t="s">
        <v>1481</v>
      </c>
      <c r="L432" s="2"/>
      <c r="M432" s="2"/>
      <c r="N432" s="2"/>
      <c r="O432" s="2"/>
      <c r="P432" s="2"/>
      <c r="Q432" s="56"/>
    </row>
    <row r="433" spans="1:18" ht="45.75" hidden="1" x14ac:dyDescent="0.65">
      <c r="A433" s="168"/>
      <c r="B433" s="169"/>
      <c r="C433" s="169"/>
      <c r="D433" s="3" t="s">
        <v>1445</v>
      </c>
      <c r="E433" s="319"/>
      <c r="F433" s="319"/>
      <c r="G433" s="2"/>
      <c r="H433" s="3"/>
      <c r="I433" s="2"/>
      <c r="J433" s="3"/>
      <c r="K433" s="3" t="s">
        <v>1446</v>
      </c>
      <c r="L433" s="202"/>
      <c r="M433" s="202"/>
      <c r="N433" s="202"/>
      <c r="O433" s="202"/>
      <c r="P433" s="202"/>
      <c r="Q433" s="56"/>
    </row>
    <row r="434" spans="1:18" ht="26.25" customHeight="1" x14ac:dyDescent="0.65">
      <c r="A434" s="15"/>
      <c r="B434" s="16"/>
      <c r="C434" s="16"/>
      <c r="D434" s="798"/>
      <c r="E434" s="798"/>
      <c r="F434" s="798"/>
      <c r="G434" s="798"/>
      <c r="H434" s="798"/>
      <c r="I434" s="798"/>
      <c r="J434" s="798"/>
      <c r="K434" s="798"/>
      <c r="L434" s="798"/>
      <c r="M434" s="798"/>
      <c r="N434" s="798"/>
      <c r="O434" s="798"/>
      <c r="P434" s="798"/>
      <c r="Q434" s="83"/>
    </row>
    <row r="435" spans="1:18" ht="50.25" customHeight="1" thickBot="1" x14ac:dyDescent="0.7">
      <c r="A435" s="15"/>
      <c r="B435" s="16"/>
      <c r="C435" s="16"/>
      <c r="D435" s="769" t="s">
        <v>523</v>
      </c>
      <c r="E435" s="770"/>
      <c r="F435" s="770"/>
      <c r="G435" s="361"/>
      <c r="H435" s="361"/>
      <c r="I435" s="2"/>
      <c r="J435" s="2"/>
      <c r="K435" s="3" t="s">
        <v>1346</v>
      </c>
      <c r="L435" s="2"/>
      <c r="M435" s="2"/>
      <c r="N435" s="2"/>
      <c r="O435" s="2"/>
      <c r="P435" s="2"/>
      <c r="Q435" s="83"/>
    </row>
    <row r="436" spans="1:18" ht="47.25" thickTop="1" thickBot="1" x14ac:dyDescent="0.7">
      <c r="A436" s="19"/>
      <c r="B436" s="19"/>
      <c r="C436" s="19"/>
      <c r="D436" s="821"/>
      <c r="E436" s="821"/>
      <c r="F436" s="821"/>
      <c r="G436" s="821"/>
      <c r="H436" s="821"/>
      <c r="I436" s="821"/>
      <c r="J436" s="821"/>
      <c r="K436" s="821"/>
      <c r="L436" s="821"/>
      <c r="M436" s="821"/>
      <c r="N436" s="821"/>
      <c r="O436" s="821"/>
      <c r="P436" s="821"/>
      <c r="Q436" s="84"/>
    </row>
    <row r="437" spans="1:18" ht="95.25" customHeight="1" thickTop="1" x14ac:dyDescent="0.55000000000000004">
      <c r="G437" s="58"/>
      <c r="H437" s="58"/>
      <c r="I437" s="92"/>
      <c r="J437" s="93"/>
      <c r="K437" s="93"/>
      <c r="L437" s="92"/>
      <c r="M437" s="92"/>
      <c r="N437" s="92"/>
      <c r="O437" s="92"/>
      <c r="P437" s="93"/>
      <c r="Q437" s="82"/>
    </row>
    <row r="438" spans="1:18" x14ac:dyDescent="0.2">
      <c r="E438" s="59"/>
      <c r="F438" s="60"/>
      <c r="G438" s="58"/>
      <c r="H438" s="58"/>
      <c r="I438" s="92"/>
      <c r="J438" s="94"/>
      <c r="K438" s="94"/>
      <c r="L438" s="92"/>
      <c r="M438" s="92"/>
      <c r="N438" s="92"/>
      <c r="O438" s="92"/>
      <c r="P438" s="93"/>
    </row>
    <row r="439" spans="1:18" x14ac:dyDescent="0.2">
      <c r="E439" s="59"/>
      <c r="F439" s="60"/>
      <c r="G439" s="58"/>
      <c r="H439" s="58"/>
      <c r="I439" s="92"/>
      <c r="J439" s="94"/>
      <c r="K439" s="94"/>
      <c r="L439" s="92"/>
      <c r="M439" s="92"/>
      <c r="N439" s="92"/>
      <c r="O439" s="92"/>
      <c r="P439" s="93"/>
    </row>
    <row r="440" spans="1:18" ht="60.75" x14ac:dyDescent="0.2">
      <c r="E440" s="704" t="b">
        <f>E431=E429</f>
        <v>0</v>
      </c>
      <c r="F440" s="704" t="b">
        <f>F431=F429</f>
        <v>0</v>
      </c>
      <c r="G440" s="704" t="b">
        <f>G431=G429</f>
        <v>0</v>
      </c>
      <c r="H440" s="704" t="b">
        <f t="shared" ref="H440:O440" si="135">H431=H429</f>
        <v>0</v>
      </c>
      <c r="I440" s="704" t="b">
        <f>I431=I429</f>
        <v>1</v>
      </c>
      <c r="J440" s="704" t="b">
        <f>J431=J429</f>
        <v>0</v>
      </c>
      <c r="K440" s="704" t="b">
        <f>K431=K429</f>
        <v>0</v>
      </c>
      <c r="L440" s="704" t="b">
        <f t="shared" si="135"/>
        <v>0</v>
      </c>
      <c r="M440" s="704" t="b">
        <f t="shared" si="135"/>
        <v>0</v>
      </c>
      <c r="N440" s="704" t="b">
        <f>N431=N429</f>
        <v>0</v>
      </c>
      <c r="O440" s="704" t="b">
        <f t="shared" si="135"/>
        <v>0</v>
      </c>
      <c r="P440" s="704" t="b">
        <f>P431=P429</f>
        <v>0</v>
      </c>
    </row>
    <row r="441" spans="1:18" ht="61.5" x14ac:dyDescent="0.2">
      <c r="E441" s="704" t="b">
        <f>E429=F429</f>
        <v>1</v>
      </c>
      <c r="F441" s="705">
        <f>F422/E429</f>
        <v>0</v>
      </c>
      <c r="G441" s="86"/>
      <c r="H441" s="87"/>
      <c r="I441" s="88"/>
      <c r="J441" s="704" t="b">
        <f>J431=L431+O431</f>
        <v>1</v>
      </c>
      <c r="K441" s="95"/>
      <c r="L441" s="79"/>
      <c r="M441" s="88"/>
      <c r="N441" s="88"/>
      <c r="O441" s="79"/>
      <c r="P441" s="704" t="b">
        <f>E429+J429=P429</f>
        <v>1</v>
      </c>
    </row>
    <row r="442" spans="1:18" ht="60.75" x14ac:dyDescent="0.2">
      <c r="E442" s="89"/>
      <c r="F442" s="90"/>
      <c r="G442" s="89"/>
      <c r="H442" s="706">
        <f>H431-H429</f>
        <v>197221404.78</v>
      </c>
      <c r="I442" s="89"/>
      <c r="J442" s="59"/>
      <c r="K442" s="59"/>
    </row>
    <row r="443" spans="1:18" ht="61.5" x14ac:dyDescent="0.2">
      <c r="A443" s="21"/>
      <c r="B443" s="21"/>
      <c r="C443" s="21"/>
      <c r="D443" s="22"/>
      <c r="E443" s="37">
        <f>E429-E431</f>
        <v>-3954874970.9899998</v>
      </c>
      <c r="F443" s="705">
        <f>400000/E429</f>
        <v>7.1491943802517832E-2</v>
      </c>
      <c r="G443" s="86"/>
      <c r="H443" s="61"/>
      <c r="I443" s="22"/>
      <c r="J443" s="37">
        <f>J429-J431</f>
        <v>-908268987.38000011</v>
      </c>
      <c r="K443" s="37">
        <f>K429-K431</f>
        <v>-672039346.23000002</v>
      </c>
      <c r="L443" s="37"/>
      <c r="M443" s="37"/>
      <c r="N443" s="37"/>
      <c r="O443" s="37">
        <f>O429-O431</f>
        <v>-677495527.23000002</v>
      </c>
      <c r="P443" s="37"/>
    </row>
    <row r="444" spans="1:18" ht="61.5" x14ac:dyDescent="0.2">
      <c r="D444" s="22"/>
      <c r="E444" s="37"/>
      <c r="F444" s="63"/>
      <c r="G444" s="55"/>
      <c r="H444" s="61"/>
      <c r="I444" s="22"/>
      <c r="J444" s="37"/>
      <c r="K444" s="37"/>
      <c r="L444" s="64"/>
      <c r="P444" s="55"/>
      <c r="Q444" s="85"/>
      <c r="R444" s="65"/>
    </row>
    <row r="445" spans="1:18" ht="60.75" x14ac:dyDescent="0.2">
      <c r="A445" s="21"/>
      <c r="B445" s="21"/>
      <c r="C445" s="21"/>
      <c r="D445" s="22"/>
      <c r="E445" s="26"/>
      <c r="F445" s="26"/>
      <c r="G445" s="26"/>
      <c r="H445" s="26"/>
      <c r="I445" s="66"/>
      <c r="J445" s="26"/>
      <c r="K445" s="26"/>
      <c r="L445" s="26"/>
      <c r="M445" s="26"/>
      <c r="N445" s="26"/>
      <c r="O445" s="26"/>
      <c r="P445" s="26"/>
      <c r="Q445" s="85"/>
      <c r="R445" s="65"/>
    </row>
    <row r="446" spans="1:18" ht="60.75" x14ac:dyDescent="0.2">
      <c r="D446" s="22"/>
      <c r="E446" s="37"/>
      <c r="F446" s="67"/>
      <c r="O446" s="55"/>
      <c r="P446" s="55"/>
    </row>
    <row r="447" spans="1:18" ht="60.75" x14ac:dyDescent="0.2">
      <c r="A447" s="21"/>
      <c r="B447" s="21"/>
      <c r="C447" s="21"/>
      <c r="D447" s="22"/>
      <c r="E447" s="37"/>
      <c r="F447" s="62"/>
      <c r="G447" s="64"/>
      <c r="I447" s="68"/>
      <c r="J447" s="59"/>
      <c r="K447" s="59"/>
      <c r="L447" s="21"/>
      <c r="M447" s="21"/>
      <c r="N447" s="21"/>
      <c r="O447" s="21"/>
      <c r="P447" s="55"/>
    </row>
    <row r="448" spans="1:18" ht="62.25" x14ac:dyDescent="0.8">
      <c r="A448" s="21"/>
      <c r="B448" s="21"/>
      <c r="C448" s="21"/>
      <c r="D448" s="21"/>
      <c r="E448" s="69"/>
      <c r="F448" s="62"/>
      <c r="J448" s="59"/>
      <c r="K448" s="59"/>
      <c r="L448" s="21"/>
      <c r="M448" s="21"/>
      <c r="N448" s="21"/>
      <c r="O448" s="21"/>
      <c r="P448" s="70"/>
    </row>
    <row r="449" spans="1:16" ht="45.75" x14ac:dyDescent="0.2">
      <c r="E449" s="71"/>
      <c r="F449" s="67"/>
    </row>
    <row r="450" spans="1:16" ht="45.75" x14ac:dyDescent="0.2">
      <c r="A450" s="21"/>
      <c r="B450" s="21"/>
      <c r="C450" s="21"/>
      <c r="D450" s="21"/>
      <c r="E450" s="69"/>
      <c r="F450" s="62"/>
      <c r="L450" s="21"/>
      <c r="M450" s="21"/>
      <c r="N450" s="21"/>
      <c r="O450" s="21"/>
      <c r="P450" s="21"/>
    </row>
    <row r="451" spans="1:16" ht="45.75" x14ac:dyDescent="0.2">
      <c r="E451" s="72"/>
      <c r="F451" s="67"/>
    </row>
    <row r="452" spans="1:16" ht="45.75" x14ac:dyDescent="0.2">
      <c r="E452" s="72"/>
      <c r="F452" s="67"/>
    </row>
    <row r="453" spans="1:16" ht="45.75" x14ac:dyDescent="0.2">
      <c r="E453" s="72"/>
      <c r="F453" s="67"/>
    </row>
    <row r="454" spans="1:16" ht="45.75" x14ac:dyDescent="0.2">
      <c r="A454" s="21"/>
      <c r="B454" s="21"/>
      <c r="C454" s="21"/>
      <c r="D454" s="21"/>
      <c r="E454" s="72"/>
      <c r="F454" s="67"/>
      <c r="G454" s="21"/>
      <c r="H454" s="21"/>
      <c r="I454" s="21"/>
      <c r="J454" s="21"/>
      <c r="K454" s="21"/>
      <c r="L454" s="21"/>
      <c r="M454" s="21"/>
      <c r="N454" s="21"/>
      <c r="O454" s="21"/>
      <c r="P454" s="21"/>
    </row>
    <row r="455" spans="1:16" ht="45.75" x14ac:dyDescent="0.2">
      <c r="A455" s="21"/>
      <c r="B455" s="21"/>
      <c r="C455" s="21"/>
      <c r="D455" s="21"/>
      <c r="E455" s="72"/>
      <c r="F455" s="67"/>
      <c r="G455" s="21"/>
      <c r="H455" s="21"/>
      <c r="I455" s="21"/>
      <c r="J455" s="21"/>
      <c r="K455" s="21"/>
      <c r="L455" s="21"/>
      <c r="M455" s="21"/>
      <c r="N455" s="21"/>
      <c r="O455" s="21"/>
      <c r="P455" s="21"/>
    </row>
    <row r="456" spans="1:16" ht="45.75" x14ac:dyDescent="0.2">
      <c r="A456" s="21"/>
      <c r="B456" s="21"/>
      <c r="C456" s="21"/>
      <c r="D456" s="21"/>
      <c r="E456" s="72"/>
      <c r="F456" s="67"/>
      <c r="G456" s="21"/>
      <c r="H456" s="21"/>
      <c r="I456" s="21"/>
      <c r="J456" s="21"/>
      <c r="K456" s="21"/>
      <c r="L456" s="21"/>
      <c r="M456" s="21"/>
      <c r="N456" s="21"/>
      <c r="O456" s="21"/>
      <c r="P456" s="21"/>
    </row>
    <row r="457" spans="1:16" ht="45.75" x14ac:dyDescent="0.2">
      <c r="A457" s="21"/>
      <c r="B457" s="21"/>
      <c r="C457" s="21"/>
      <c r="D457" s="21"/>
      <c r="E457" s="72"/>
      <c r="F457" s="67"/>
      <c r="G457" s="21"/>
      <c r="H457" s="21"/>
      <c r="I457" s="21"/>
      <c r="J457" s="21"/>
      <c r="K457" s="21"/>
      <c r="L457" s="21"/>
      <c r="M457" s="21"/>
      <c r="N457" s="21"/>
      <c r="O457" s="21"/>
      <c r="P457" s="21"/>
    </row>
  </sheetData>
  <mergeCells count="99">
    <mergeCell ref="A8:B8"/>
    <mergeCell ref="N1:Q1"/>
    <mergeCell ref="N2:Q2"/>
    <mergeCell ref="O3:P3"/>
    <mergeCell ref="A5:P5"/>
    <mergeCell ref="A6:P6"/>
    <mergeCell ref="A9:B9"/>
    <mergeCell ref="A11:A13"/>
    <mergeCell ref="B11:B13"/>
    <mergeCell ref="C11:C13"/>
    <mergeCell ref="D11:D13"/>
    <mergeCell ref="J11:O11"/>
    <mergeCell ref="P11:P13"/>
    <mergeCell ref="E12:E13"/>
    <mergeCell ref="F12:F13"/>
    <mergeCell ref="G12:H12"/>
    <mergeCell ref="I12:I13"/>
    <mergeCell ref="J12:J13"/>
    <mergeCell ref="K12:K13"/>
    <mergeCell ref="L12:L13"/>
    <mergeCell ref="M12:N12"/>
    <mergeCell ref="E11:I11"/>
    <mergeCell ref="P33:P34"/>
    <mergeCell ref="O12:O13"/>
    <mergeCell ref="A33:A34"/>
    <mergeCell ref="B33:B34"/>
    <mergeCell ref="C33:C34"/>
    <mergeCell ref="E33:E34"/>
    <mergeCell ref="F33:F34"/>
    <mergeCell ref="G33:G34"/>
    <mergeCell ref="H33:H34"/>
    <mergeCell ref="I33:I34"/>
    <mergeCell ref="J33:J34"/>
    <mergeCell ref="K33:K34"/>
    <mergeCell ref="L33:L34"/>
    <mergeCell ref="M33:M34"/>
    <mergeCell ref="N33:N34"/>
    <mergeCell ref="O33:O34"/>
    <mergeCell ref="A76:A77"/>
    <mergeCell ref="B76:B77"/>
    <mergeCell ref="C76:C77"/>
    <mergeCell ref="D76:D77"/>
    <mergeCell ref="A168:A171"/>
    <mergeCell ref="B168:B171"/>
    <mergeCell ref="C168:C171"/>
    <mergeCell ref="Q168:Q171"/>
    <mergeCell ref="R168:R171"/>
    <mergeCell ref="A172:A175"/>
    <mergeCell ref="B172:B175"/>
    <mergeCell ref="C172:C175"/>
    <mergeCell ref="R172:R175"/>
    <mergeCell ref="R176:R178"/>
    <mergeCell ref="A179:A181"/>
    <mergeCell ref="B179:B181"/>
    <mergeCell ref="C179:C181"/>
    <mergeCell ref="R179:R181"/>
    <mergeCell ref="F197:F198"/>
    <mergeCell ref="G197:G198"/>
    <mergeCell ref="A176:A178"/>
    <mergeCell ref="B176:B178"/>
    <mergeCell ref="C176:C178"/>
    <mergeCell ref="N197:N198"/>
    <mergeCell ref="O197:O198"/>
    <mergeCell ref="P197:P198"/>
    <mergeCell ref="A277:A278"/>
    <mergeCell ref="B277:B278"/>
    <mergeCell ref="C277:C278"/>
    <mergeCell ref="H197:H198"/>
    <mergeCell ref="I197:I198"/>
    <mergeCell ref="J197:J198"/>
    <mergeCell ref="K197:K198"/>
    <mergeCell ref="L197:L198"/>
    <mergeCell ref="M197:M198"/>
    <mergeCell ref="A197:A198"/>
    <mergeCell ref="B197:B198"/>
    <mergeCell ref="C197:C198"/>
    <mergeCell ref="E197:E198"/>
    <mergeCell ref="A308:A309"/>
    <mergeCell ref="B308:B309"/>
    <mergeCell ref="C308:C309"/>
    <mergeCell ref="A341:A342"/>
    <mergeCell ref="B341:B342"/>
    <mergeCell ref="C341:C342"/>
    <mergeCell ref="A430:P430"/>
    <mergeCell ref="D434:P434"/>
    <mergeCell ref="D435:F435"/>
    <mergeCell ref="D436:P436"/>
    <mergeCell ref="K341:K342"/>
    <mergeCell ref="L341:L342"/>
    <mergeCell ref="M341:M342"/>
    <mergeCell ref="N341:N342"/>
    <mergeCell ref="O341:O342"/>
    <mergeCell ref="P341:P342"/>
    <mergeCell ref="E341:E342"/>
    <mergeCell ref="F341:F342"/>
    <mergeCell ref="G341:G342"/>
    <mergeCell ref="H341:H342"/>
    <mergeCell ref="I341:I342"/>
    <mergeCell ref="J341:J342"/>
  </mergeCells>
  <conditionalFormatting sqref="Q345:Q352">
    <cfRule type="iconSet" priority="17">
      <iconSet iconSet="3Arrows">
        <cfvo type="percent" val="0"/>
        <cfvo type="percent" val="33"/>
        <cfvo type="percent" val="67"/>
      </iconSet>
    </cfRule>
  </conditionalFormatting>
  <conditionalFormatting sqref="Q354:Q355">
    <cfRule type="iconSet" priority="13">
      <iconSet iconSet="3Arrows">
        <cfvo type="percent" val="0"/>
        <cfvo type="percent" val="33"/>
        <cfvo type="percent" val="67"/>
      </iconSet>
    </cfRule>
  </conditionalFormatting>
  <conditionalFormatting sqref="Q356:Q371">
    <cfRule type="iconSet" priority="21">
      <iconSet iconSet="3Arrows">
        <cfvo type="percent" val="0"/>
        <cfvo type="percent" val="33"/>
        <cfvo type="percent" val="67"/>
      </iconSet>
    </cfRule>
  </conditionalFormatting>
  <conditionalFormatting sqref="Q393:Q398">
    <cfRule type="iconSet" priority="20">
      <iconSet iconSet="3Arrows">
        <cfvo type="percent" val="0"/>
        <cfvo type="percent" val="33"/>
        <cfvo type="percent" val="67"/>
      </iconSet>
    </cfRule>
  </conditionalFormatting>
  <conditionalFormatting sqref="Q399">
    <cfRule type="iconSet" priority="2">
      <iconSet iconSet="3Arrows">
        <cfvo type="percent" val="0"/>
        <cfvo type="percent" val="33"/>
        <cfvo type="percent" val="67"/>
      </iconSet>
    </cfRule>
  </conditionalFormatting>
  <conditionalFormatting sqref="Q400:Q401">
    <cfRule type="iconSet" priority="8">
      <iconSet iconSet="3Arrows">
        <cfvo type="percent" val="0"/>
        <cfvo type="percent" val="33"/>
        <cfvo type="percent" val="67"/>
      </iconSet>
    </cfRule>
  </conditionalFormatting>
  <conditionalFormatting sqref="Q403">
    <cfRule type="iconSet" priority="3">
      <iconSet iconSet="3Arrows">
        <cfvo type="percent" val="0"/>
        <cfvo type="percent" val="33"/>
        <cfvo type="percent" val="67"/>
      </iconSet>
    </cfRule>
  </conditionalFormatting>
  <conditionalFormatting sqref="Q412">
    <cfRule type="iconSet" priority="1">
      <iconSet iconSet="3Arrows">
        <cfvo type="percent" val="0"/>
        <cfvo type="percent" val="33"/>
        <cfvo type="percent" val="67"/>
      </iconSet>
    </cfRule>
  </conditionalFormatting>
  <conditionalFormatting sqref="Q413 Q415:R419 R414:S414">
    <cfRule type="iconSet" priority="16">
      <iconSet iconSet="3Arrows">
        <cfvo type="percent" val="0"/>
        <cfvo type="percent" val="33"/>
        <cfvo type="percent" val="67"/>
      </iconSet>
    </cfRule>
  </conditionalFormatting>
  <conditionalFormatting sqref="Q414">
    <cfRule type="iconSet" priority="7">
      <iconSet iconSet="3Arrows">
        <cfvo type="percent" val="0"/>
        <cfvo type="percent" val="33"/>
        <cfvo type="percent" val="67"/>
      </iconSet>
    </cfRule>
  </conditionalFormatting>
  <conditionalFormatting sqref="Q373:R380">
    <cfRule type="iconSet" priority="23">
      <iconSet iconSet="3Arrows">
        <cfvo type="percent" val="0"/>
        <cfvo type="percent" val="33"/>
        <cfvo type="percent" val="67"/>
      </iconSet>
    </cfRule>
  </conditionalFormatting>
  <conditionalFormatting sqref="R345:R346">
    <cfRule type="iconSet" priority="11">
      <iconSet iconSet="3Arrows">
        <cfvo type="percent" val="0"/>
        <cfvo type="percent" val="33"/>
        <cfvo type="percent" val="67"/>
      </iconSet>
    </cfRule>
  </conditionalFormatting>
  <conditionalFormatting sqref="R347:R352">
    <cfRule type="iconSet" priority="10">
      <iconSet iconSet="3Arrows">
        <cfvo type="percent" val="0"/>
        <cfvo type="percent" val="33"/>
        <cfvo type="percent" val="67"/>
      </iconSet>
    </cfRule>
  </conditionalFormatting>
  <conditionalFormatting sqref="R354:R355">
    <cfRule type="iconSet" priority="12">
      <iconSet iconSet="3Arrows">
        <cfvo type="percent" val="0"/>
        <cfvo type="percent" val="33"/>
        <cfvo type="percent" val="67"/>
      </iconSet>
    </cfRule>
  </conditionalFormatting>
  <conditionalFormatting sqref="R356:R371">
    <cfRule type="iconSet" priority="22">
      <iconSet iconSet="3Arrows">
        <cfvo type="percent" val="0"/>
        <cfvo type="percent" val="33"/>
        <cfvo type="percent" val="67"/>
      </iconSet>
    </cfRule>
  </conditionalFormatting>
  <conditionalFormatting sqref="R381:R391">
    <cfRule type="iconSet" priority="18">
      <iconSet iconSet="3Arrows">
        <cfvo type="percent" val="0"/>
        <cfvo type="percent" val="33"/>
        <cfvo type="percent" val="67"/>
      </iconSet>
    </cfRule>
  </conditionalFormatting>
  <conditionalFormatting sqref="R393:R394">
    <cfRule type="iconSet" priority="9">
      <iconSet iconSet="3Arrows">
        <cfvo type="percent" val="0"/>
        <cfvo type="percent" val="33"/>
        <cfvo type="percent" val="67"/>
      </iconSet>
    </cfRule>
  </conditionalFormatting>
  <conditionalFormatting sqref="R395:R398">
    <cfRule type="iconSet" priority="19">
      <iconSet iconSet="3Arrows">
        <cfvo type="percent" val="0"/>
        <cfvo type="percent" val="33"/>
        <cfvo type="percent" val="67"/>
      </iconSet>
    </cfRule>
  </conditionalFormatting>
  <conditionalFormatting sqref="R405:R407 Q404:R404 R403">
    <cfRule type="iconSet" priority="15">
      <iconSet iconSet="3Arrows">
        <cfvo type="percent" val="0"/>
        <cfvo type="percent" val="33"/>
        <cfvo type="percent" val="67"/>
      </iconSet>
    </cfRule>
  </conditionalFormatting>
  <conditionalFormatting sqref="R408">
    <cfRule type="iconSet" priority="5">
      <iconSet iconSet="3Arrows">
        <cfvo type="percent" val="0"/>
        <cfvo type="percent" val="33"/>
        <cfvo type="percent" val="67"/>
      </iconSet>
    </cfRule>
  </conditionalFormatting>
  <conditionalFormatting sqref="R410">
    <cfRule type="iconSet" priority="4">
      <iconSet iconSet="3Arrows">
        <cfvo type="percent" val="0"/>
        <cfvo type="percent" val="33"/>
        <cfvo type="percent" val="67"/>
      </iconSet>
    </cfRule>
  </conditionalFormatting>
  <conditionalFormatting sqref="R412">
    <cfRule type="iconSet" priority="6">
      <iconSet iconSet="3Arrows">
        <cfvo type="percent" val="0"/>
        <cfvo type="percent" val="33"/>
        <cfvo type="percent" val="67"/>
      </iconSet>
    </cfRule>
  </conditionalFormatting>
  <conditionalFormatting sqref="R413">
    <cfRule type="iconSet" priority="14">
      <iconSet iconSet="3Arrows">
        <cfvo type="percent" val="0"/>
        <cfvo type="percent" val="33"/>
        <cfvo type="percent" val="67"/>
      </iconSet>
    </cfRule>
  </conditionalFormatting>
  <pageMargins left="0.23622047244094491" right="0.27559055118110237" top="0.27559055118110237" bottom="0.15748031496062992" header="0.23622047244094491" footer="0.27559055118110237"/>
  <pageSetup paperSize="9" scale="13" orientation="landscape" r:id="rId1"/>
  <headerFooter alignWithMargins="0">
    <oddFooter>&amp;C&amp;"Times New Roman Cyr,курсив"Сторінка &amp;P з &amp;N</oddFooter>
  </headerFooter>
  <rowBreaks count="2" manualBreakCount="2">
    <brk id="214" max="15" man="1"/>
    <brk id="304"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4"/>
  <sheetViews>
    <sheetView view="pageBreakPreview" zoomScale="90" zoomScaleSheetLayoutView="90" workbookViewId="0">
      <selection activeCell="F3" sqref="F3"/>
    </sheetView>
  </sheetViews>
  <sheetFormatPr defaultColWidth="9.140625" defaultRowHeight="12.75" x14ac:dyDescent="0.2"/>
  <cols>
    <col min="1" max="1" width="9.7109375" style="13" customWidth="1"/>
    <col min="2" max="3" width="22.140625" style="13" customWidth="1"/>
    <col min="4" max="4" width="15.5703125" style="13" customWidth="1"/>
    <col min="5" max="5" width="15.28515625" style="13" customWidth="1"/>
    <col min="6" max="6" width="15.42578125" style="13" customWidth="1"/>
    <col min="7" max="7" width="15.140625" style="13" customWidth="1"/>
    <col min="8" max="8" width="16.42578125" style="13" customWidth="1"/>
    <col min="9" max="9" width="8.28515625" style="13" customWidth="1"/>
    <col min="10" max="10" width="9.140625" style="13"/>
    <col min="11" max="11" width="9.7109375" style="13" customWidth="1"/>
    <col min="12" max="12" width="9.140625" style="13"/>
    <col min="13" max="13" width="8.140625" style="13" customWidth="1"/>
    <col min="14" max="16384" width="9.140625" style="13"/>
  </cols>
  <sheetData>
    <row r="1" spans="1:17" x14ac:dyDescent="0.2">
      <c r="A1"/>
      <c r="B1"/>
      <c r="C1"/>
      <c r="D1"/>
      <c r="E1"/>
      <c r="F1" s="323" t="s">
        <v>114</v>
      </c>
    </row>
    <row r="2" spans="1:17" x14ac:dyDescent="0.2">
      <c r="A2"/>
      <c r="B2"/>
      <c r="C2"/>
      <c r="D2"/>
      <c r="E2"/>
      <c r="F2" s="323" t="s">
        <v>1630</v>
      </c>
    </row>
    <row r="3" spans="1:17" x14ac:dyDescent="0.2">
      <c r="A3"/>
      <c r="B3"/>
      <c r="C3"/>
      <c r="D3"/>
      <c r="E3"/>
      <c r="F3" s="323"/>
    </row>
    <row r="4" spans="1:17" x14ac:dyDescent="0.2">
      <c r="A4"/>
      <c r="B4"/>
      <c r="C4"/>
      <c r="D4"/>
      <c r="E4"/>
      <c r="F4"/>
    </row>
    <row r="5" spans="1:17" ht="18.75" x14ac:dyDescent="0.2">
      <c r="A5" s="759" t="s">
        <v>572</v>
      </c>
      <c r="B5" s="759"/>
      <c r="C5" s="759"/>
      <c r="D5" s="759"/>
      <c r="E5" s="759"/>
      <c r="F5" s="759"/>
    </row>
    <row r="6" spans="1:17" ht="18.75" x14ac:dyDescent="0.2">
      <c r="A6" s="759" t="s">
        <v>1519</v>
      </c>
      <c r="B6" s="759"/>
      <c r="C6" s="759"/>
      <c r="D6" s="759"/>
      <c r="E6" s="759"/>
      <c r="F6" s="759"/>
    </row>
    <row r="7" spans="1:17" ht="18.75" x14ac:dyDescent="0.2">
      <c r="A7" s="324"/>
      <c r="B7" s="324"/>
      <c r="C7" s="324"/>
      <c r="D7" s="324"/>
      <c r="E7" s="324"/>
      <c r="F7" s="324"/>
    </row>
    <row r="8" spans="1:17" x14ac:dyDescent="0.2">
      <c r="A8" s="760">
        <v>2256400000</v>
      </c>
      <c r="B8" s="761"/>
      <c r="C8" s="762"/>
      <c r="D8" s="762"/>
      <c r="E8" s="762"/>
      <c r="F8" s="762"/>
      <c r="G8" s="20"/>
    </row>
    <row r="9" spans="1:17" ht="15" customHeight="1" x14ac:dyDescent="0.2">
      <c r="A9" s="763" t="s">
        <v>490</v>
      </c>
      <c r="B9" s="764"/>
      <c r="C9" s="762"/>
      <c r="D9" s="762"/>
      <c r="E9" s="762"/>
      <c r="F9" s="762"/>
      <c r="G9" s="20"/>
    </row>
    <row r="10" spans="1:17" ht="13.5" thickBot="1" x14ac:dyDescent="0.25">
      <c r="A10" s="528"/>
      <c r="B10" s="528"/>
      <c r="C10"/>
      <c r="D10"/>
      <c r="E10"/>
      <c r="F10" s="529" t="s">
        <v>404</v>
      </c>
      <c r="G10" s="20"/>
    </row>
    <row r="11" spans="1:17" ht="14.25" thickTop="1" thickBot="1" x14ac:dyDescent="0.25">
      <c r="A11" s="765" t="s">
        <v>57</v>
      </c>
      <c r="B11" s="765" t="s">
        <v>378</v>
      </c>
      <c r="C11" s="765" t="s">
        <v>383</v>
      </c>
      <c r="D11" s="765" t="s">
        <v>12</v>
      </c>
      <c r="E11" s="765" t="s">
        <v>52</v>
      </c>
      <c r="F11" s="765"/>
      <c r="G11" s="20"/>
    </row>
    <row r="12" spans="1:17" ht="35.450000000000003" customHeight="1" thickTop="1" thickBot="1" x14ac:dyDescent="0.25">
      <c r="A12" s="765"/>
      <c r="B12" s="765"/>
      <c r="C12" s="765"/>
      <c r="D12" s="766"/>
      <c r="E12" s="530" t="s">
        <v>384</v>
      </c>
      <c r="F12" s="530" t="s">
        <v>385</v>
      </c>
      <c r="G12" s="20"/>
    </row>
    <row r="13" spans="1:17" ht="14.25" thickTop="1" thickBot="1" x14ac:dyDescent="0.25">
      <c r="A13" s="531">
        <v>1</v>
      </c>
      <c r="B13" s="531">
        <v>2</v>
      </c>
      <c r="C13" s="531">
        <v>3</v>
      </c>
      <c r="D13" s="531">
        <v>4</v>
      </c>
      <c r="E13" s="531">
        <v>5</v>
      </c>
      <c r="F13" s="531">
        <v>6</v>
      </c>
      <c r="G13" s="20"/>
    </row>
    <row r="14" spans="1:17" ht="30.75" customHeight="1" thickTop="1" thickBot="1" x14ac:dyDescent="0.25">
      <c r="A14" s="767" t="s">
        <v>379</v>
      </c>
      <c r="B14" s="767"/>
      <c r="C14" s="768"/>
      <c r="D14" s="768"/>
      <c r="E14" s="768"/>
      <c r="F14" s="768"/>
      <c r="G14" s="20"/>
    </row>
    <row r="15" spans="1:17" ht="26.25" customHeight="1" thickTop="1" thickBot="1" x14ac:dyDescent="0.25">
      <c r="A15" s="541" t="s">
        <v>115</v>
      </c>
      <c r="B15" s="542" t="s">
        <v>116</v>
      </c>
      <c r="C15" s="541">
        <f>C16+C25+C20</f>
        <v>511297991.37</v>
      </c>
      <c r="D15" s="541">
        <f>D16+D25+D20</f>
        <v>-127024714.24000025</v>
      </c>
      <c r="E15" s="541">
        <f>E16+E25+E20</f>
        <v>638322705.61000025</v>
      </c>
      <c r="F15" s="541">
        <f>F16+F25+F20</f>
        <v>637654016.46000028</v>
      </c>
      <c r="G15" s="720">
        <f>E15-F15</f>
        <v>668689.14999997616</v>
      </c>
      <c r="H15" s="117"/>
      <c r="I15" s="117"/>
      <c r="J15" s="117"/>
      <c r="K15" s="117"/>
      <c r="L15" s="117"/>
      <c r="M15" s="117"/>
      <c r="N15" s="117"/>
      <c r="O15" s="117"/>
      <c r="P15" s="117"/>
      <c r="Q15" s="117"/>
    </row>
    <row r="16" spans="1:17" ht="42" hidden="1" thickTop="1" thickBot="1" x14ac:dyDescent="0.25">
      <c r="A16" s="538">
        <v>202000</v>
      </c>
      <c r="B16" s="543" t="s">
        <v>965</v>
      </c>
      <c r="C16" s="540">
        <f t="shared" ref="C16:C17" si="0">SUM(D16,E16)</f>
        <v>0</v>
      </c>
      <c r="D16" s="540">
        <f t="shared" ref="D16" si="1">D17</f>
        <v>0</v>
      </c>
      <c r="E16" s="540">
        <f>E17</f>
        <v>0</v>
      </c>
      <c r="F16" s="540">
        <f t="shared" ref="F16" si="2">F17</f>
        <v>0</v>
      </c>
      <c r="G16" s="386"/>
      <c r="H16" s="117"/>
      <c r="I16" s="117"/>
      <c r="J16" s="117"/>
      <c r="K16" s="117"/>
      <c r="L16" s="117"/>
      <c r="M16" s="117"/>
      <c r="N16" s="117"/>
      <c r="O16" s="117"/>
      <c r="P16" s="117"/>
      <c r="Q16" s="117"/>
    </row>
    <row r="17" spans="1:17" ht="27" hidden="1" thickTop="1" thickBot="1" x14ac:dyDescent="0.25">
      <c r="A17" s="544">
        <v>202200</v>
      </c>
      <c r="B17" s="545" t="s">
        <v>967</v>
      </c>
      <c r="C17" s="541">
        <f t="shared" si="0"/>
        <v>0</v>
      </c>
      <c r="D17" s="541">
        <f>SUM(D18:D19)</f>
        <v>0</v>
      </c>
      <c r="E17" s="541">
        <f>SUM(E18:E19)</f>
        <v>0</v>
      </c>
      <c r="F17" s="541">
        <f>SUM(F18:F19)</f>
        <v>0</v>
      </c>
      <c r="G17" s="386"/>
      <c r="H17" s="117"/>
      <c r="I17" s="117"/>
      <c r="J17" s="117"/>
      <c r="K17" s="117"/>
      <c r="L17" s="117"/>
      <c r="M17" s="117"/>
      <c r="N17" s="117"/>
      <c r="O17" s="117"/>
      <c r="P17" s="117"/>
      <c r="Q17" s="117"/>
    </row>
    <row r="18" spans="1:17" ht="14.25" hidden="1" thickTop="1" thickBot="1" x14ac:dyDescent="0.25">
      <c r="A18" s="535">
        <v>202210</v>
      </c>
      <c r="B18" s="536" t="s">
        <v>966</v>
      </c>
      <c r="C18" s="537">
        <f>SUM(D18,E18)</f>
        <v>0</v>
      </c>
      <c r="D18" s="541"/>
      <c r="E18" s="537">
        <v>0</v>
      </c>
      <c r="F18" s="537">
        <v>0</v>
      </c>
      <c r="G18" s="386"/>
      <c r="H18" s="117"/>
      <c r="I18" s="117"/>
      <c r="J18" s="117"/>
      <c r="K18" s="117"/>
      <c r="L18" s="117"/>
      <c r="M18" s="117"/>
      <c r="N18" s="117"/>
      <c r="O18" s="117"/>
      <c r="P18" s="117"/>
      <c r="Q18" s="117"/>
    </row>
    <row r="19" spans="1:17" ht="14.25" hidden="1" thickTop="1" thickBot="1" x14ac:dyDescent="0.25">
      <c r="A19" s="535">
        <v>202220</v>
      </c>
      <c r="B19" s="536" t="s">
        <v>359</v>
      </c>
      <c r="C19" s="537">
        <f>SUM(D19,E19)</f>
        <v>0</v>
      </c>
      <c r="D19" s="541"/>
      <c r="E19" s="537">
        <v>0</v>
      </c>
      <c r="F19" s="537">
        <v>0</v>
      </c>
      <c r="G19" s="386"/>
      <c r="H19" s="117"/>
      <c r="I19" s="117"/>
      <c r="J19" s="117"/>
      <c r="K19" s="117"/>
      <c r="L19" s="117"/>
      <c r="M19" s="117"/>
      <c r="N19" s="117"/>
      <c r="O19" s="117"/>
      <c r="P19" s="117"/>
      <c r="Q19" s="117"/>
    </row>
    <row r="20" spans="1:17" ht="70.5" customHeight="1" thickTop="1" thickBot="1" x14ac:dyDescent="0.25">
      <c r="A20" s="538">
        <v>206000</v>
      </c>
      <c r="B20" s="539" t="s">
        <v>1472</v>
      </c>
      <c r="C20" s="540">
        <f>C21+C23</f>
        <v>150000000</v>
      </c>
      <c r="D20" s="540">
        <f t="shared" ref="D20:F20" si="3">D21+D23</f>
        <v>150000000</v>
      </c>
      <c r="E20" s="540">
        <f t="shared" si="3"/>
        <v>0</v>
      </c>
      <c r="F20" s="540">
        <f t="shared" si="3"/>
        <v>0</v>
      </c>
      <c r="G20" s="386"/>
      <c r="H20" s="117"/>
      <c r="I20" s="117"/>
      <c r="J20" s="117"/>
      <c r="K20" s="117"/>
      <c r="L20" s="117"/>
      <c r="M20" s="117"/>
      <c r="N20" s="117"/>
      <c r="O20" s="117"/>
      <c r="P20" s="117"/>
      <c r="Q20" s="117"/>
    </row>
    <row r="21" spans="1:17" ht="65.25" thickTop="1" thickBot="1" x14ac:dyDescent="0.25">
      <c r="A21" s="532">
        <v>206100</v>
      </c>
      <c r="B21" s="533" t="s">
        <v>1473</v>
      </c>
      <c r="C21" s="534">
        <f>C22</f>
        <v>150000000</v>
      </c>
      <c r="D21" s="534">
        <f t="shared" ref="D21" si="4">D22</f>
        <v>150000000</v>
      </c>
      <c r="E21" s="534">
        <f t="shared" ref="E21" si="5">E22</f>
        <v>0</v>
      </c>
      <c r="F21" s="534">
        <f t="shared" ref="F21" si="6">F22</f>
        <v>0</v>
      </c>
      <c r="G21" s="386"/>
      <c r="H21" s="117"/>
      <c r="I21" s="117"/>
      <c r="J21" s="117"/>
      <c r="K21" s="117"/>
      <c r="L21" s="117"/>
      <c r="M21" s="117"/>
      <c r="N21" s="117"/>
      <c r="O21" s="117"/>
      <c r="P21" s="117"/>
      <c r="Q21" s="117"/>
    </row>
    <row r="22" spans="1:17" ht="39.75" thickTop="1" thickBot="1" x14ac:dyDescent="0.25">
      <c r="A22" s="535">
        <v>206120</v>
      </c>
      <c r="B22" s="536" t="s">
        <v>1475</v>
      </c>
      <c r="C22" s="537">
        <f>D22+E22</f>
        <v>150000000</v>
      </c>
      <c r="D22" s="537">
        <v>150000000</v>
      </c>
      <c r="E22" s="537">
        <v>0</v>
      </c>
      <c r="F22" s="537">
        <v>0</v>
      </c>
      <c r="G22" s="386"/>
      <c r="H22" s="117"/>
      <c r="I22" s="117"/>
      <c r="J22" s="117"/>
      <c r="K22" s="117"/>
      <c r="L22" s="117"/>
      <c r="M22" s="117"/>
      <c r="N22" s="117"/>
      <c r="O22" s="117"/>
      <c r="P22" s="117"/>
      <c r="Q22" s="117"/>
    </row>
    <row r="23" spans="1:17" ht="52.5" hidden="1" thickTop="1" thickBot="1" x14ac:dyDescent="0.25">
      <c r="A23" s="390">
        <v>206200</v>
      </c>
      <c r="B23" s="391" t="s">
        <v>1474</v>
      </c>
      <c r="C23" s="392">
        <f>C24</f>
        <v>0</v>
      </c>
      <c r="D23" s="392">
        <f t="shared" ref="D23:F23" si="7">D24</f>
        <v>0</v>
      </c>
      <c r="E23" s="392">
        <f t="shared" si="7"/>
        <v>0</v>
      </c>
      <c r="F23" s="392">
        <f t="shared" si="7"/>
        <v>0</v>
      </c>
      <c r="G23" s="386"/>
      <c r="H23" s="117"/>
      <c r="I23" s="117"/>
      <c r="J23" s="117"/>
      <c r="K23" s="117"/>
      <c r="L23" s="117"/>
      <c r="M23" s="117"/>
      <c r="N23" s="117"/>
      <c r="O23" s="117"/>
      <c r="P23" s="117"/>
      <c r="Q23" s="117"/>
    </row>
    <row r="24" spans="1:17" ht="27" hidden="1" thickTop="1" thickBot="1" x14ac:dyDescent="0.25">
      <c r="A24" s="388">
        <v>206220</v>
      </c>
      <c r="B24" s="389" t="s">
        <v>1476</v>
      </c>
      <c r="C24" s="358">
        <f>D24+E24</f>
        <v>0</v>
      </c>
      <c r="D24" s="358">
        <v>0</v>
      </c>
      <c r="E24" s="358">
        <v>0</v>
      </c>
      <c r="F24" s="358">
        <v>0</v>
      </c>
      <c r="G24" s="386"/>
      <c r="H24" s="117"/>
      <c r="I24" s="117"/>
      <c r="J24" s="117"/>
      <c r="K24" s="117"/>
      <c r="L24" s="117"/>
      <c r="M24" s="117"/>
      <c r="N24" s="117"/>
      <c r="O24" s="117"/>
      <c r="P24" s="117"/>
      <c r="Q24" s="117"/>
    </row>
    <row r="25" spans="1:17" ht="42" thickTop="1" thickBot="1" x14ac:dyDescent="0.25">
      <c r="A25" s="538">
        <v>208000</v>
      </c>
      <c r="B25" s="539" t="s">
        <v>969</v>
      </c>
      <c r="C25" s="540">
        <f>C26+C29+C27</f>
        <v>361297991.37</v>
      </c>
      <c r="D25" s="540">
        <f>D26+D29+D27</f>
        <v>-277024714.24000025</v>
      </c>
      <c r="E25" s="540">
        <f>E26+E29+E27</f>
        <v>638322705.61000025</v>
      </c>
      <c r="F25" s="540">
        <f>F26+F29+F27</f>
        <v>637654016.46000028</v>
      </c>
      <c r="G25" s="721">
        <f>E25-F25</f>
        <v>668689.14999997616</v>
      </c>
      <c r="H25" s="117"/>
      <c r="I25" s="117"/>
      <c r="J25" s="117"/>
      <c r="K25" s="117"/>
      <c r="L25" s="117"/>
      <c r="M25" s="117"/>
      <c r="N25" s="117"/>
      <c r="O25" s="117"/>
      <c r="P25" s="117"/>
      <c r="Q25" s="117"/>
    </row>
    <row r="26" spans="1:17" ht="15" thickTop="1" thickBot="1" x14ac:dyDescent="0.25">
      <c r="A26" s="538" t="s">
        <v>117</v>
      </c>
      <c r="B26" s="543" t="s">
        <v>118</v>
      </c>
      <c r="C26" s="540">
        <f>SUM(D26,E26)</f>
        <v>361297991.37</v>
      </c>
      <c r="D26" s="540">
        <v>341325281.88</v>
      </c>
      <c r="E26" s="540">
        <v>19972709.489999998</v>
      </c>
      <c r="F26" s="540">
        <f>(19972709.49)-668689.15</f>
        <v>19304020.34</v>
      </c>
      <c r="G26" s="393"/>
      <c r="H26" s="117"/>
      <c r="I26" s="117"/>
      <c r="J26" s="117"/>
      <c r="K26" s="117"/>
      <c r="L26" s="117"/>
      <c r="M26" s="117"/>
      <c r="N26" s="117"/>
      <c r="O26" s="117"/>
      <c r="P26" s="117"/>
      <c r="Q26" s="117"/>
    </row>
    <row r="27" spans="1:17" ht="15" hidden="1" thickTop="1" thickBot="1" x14ac:dyDescent="0.25">
      <c r="A27" s="394">
        <v>208300</v>
      </c>
      <c r="B27" s="395" t="s">
        <v>972</v>
      </c>
      <c r="C27" s="396">
        <f>SUM(D27,E27)</f>
        <v>0</v>
      </c>
      <c r="D27" s="387">
        <f>D28</f>
        <v>0</v>
      </c>
      <c r="E27" s="387">
        <f>E28</f>
        <v>0</v>
      </c>
      <c r="F27" s="387">
        <f>F28</f>
        <v>0</v>
      </c>
      <c r="G27" s="386"/>
      <c r="H27" s="117"/>
      <c r="I27" s="117"/>
      <c r="J27" s="117"/>
      <c r="K27" s="117"/>
      <c r="L27" s="117"/>
      <c r="M27" s="117"/>
      <c r="N27" s="117"/>
      <c r="O27" s="117"/>
      <c r="P27" s="117"/>
      <c r="Q27" s="117"/>
    </row>
    <row r="28" spans="1:17" ht="52.5" hidden="1" thickTop="1" thickBot="1" x14ac:dyDescent="0.25">
      <c r="A28" s="118">
        <v>208330</v>
      </c>
      <c r="B28" s="119" t="s">
        <v>973</v>
      </c>
      <c r="C28" s="396">
        <f>SUM(D28,E28)</f>
        <v>0</v>
      </c>
      <c r="D28" s="358"/>
      <c r="E28" s="358">
        <f>-D28</f>
        <v>0</v>
      </c>
      <c r="F28" s="358">
        <f>E28</f>
        <v>0</v>
      </c>
      <c r="G28" s="386"/>
      <c r="H28" s="117"/>
      <c r="I28" s="117"/>
      <c r="J28" s="117"/>
      <c r="K28" s="117"/>
      <c r="L28" s="117"/>
      <c r="M28" s="117"/>
      <c r="N28" s="117"/>
      <c r="O28" s="117"/>
      <c r="P28" s="117"/>
      <c r="Q28" s="117"/>
    </row>
    <row r="29" spans="1:17" ht="55.5" thickTop="1" thickBot="1" x14ac:dyDescent="0.25">
      <c r="A29" s="538">
        <v>208400</v>
      </c>
      <c r="B29" s="543" t="s">
        <v>119</v>
      </c>
      <c r="C29" s="540">
        <f>SUM(D29,E29)</f>
        <v>0</v>
      </c>
      <c r="D29" s="540">
        <f>'d3'!E429-'d1'!D150+'d4'!N29+(-D20)-D26</f>
        <v>-618349996.12000024</v>
      </c>
      <c r="E29" s="540">
        <f>-D29</f>
        <v>618349996.12000024</v>
      </c>
      <c r="F29" s="540">
        <f>E29</f>
        <v>618349996.12000024</v>
      </c>
      <c r="G29" s="721" t="b">
        <f>E29=('d3'!J429+'d4'!O29)-('d1'!E150+E30+E26)</f>
        <v>1</v>
      </c>
      <c r="H29" s="117"/>
      <c r="I29" s="117"/>
      <c r="J29" s="117"/>
      <c r="K29" s="117"/>
      <c r="L29" s="117"/>
      <c r="M29" s="117"/>
      <c r="N29" s="117"/>
      <c r="O29" s="117"/>
      <c r="P29" s="117"/>
      <c r="Q29" s="117"/>
    </row>
    <row r="30" spans="1:17" ht="14.25" thickTop="1" thickBot="1" x14ac:dyDescent="0.25">
      <c r="A30" s="544">
        <v>300000</v>
      </c>
      <c r="B30" s="545" t="s">
        <v>356</v>
      </c>
      <c r="C30" s="541">
        <f>C31</f>
        <v>7069510</v>
      </c>
      <c r="D30" s="541">
        <f>D31</f>
        <v>0</v>
      </c>
      <c r="E30" s="541">
        <f>E31</f>
        <v>7069510</v>
      </c>
      <c r="F30" s="541">
        <f>F31</f>
        <v>7069510</v>
      </c>
      <c r="G30" s="116"/>
      <c r="H30" s="117"/>
      <c r="I30" s="117"/>
      <c r="J30" s="117"/>
      <c r="K30" s="117"/>
      <c r="L30" s="117"/>
      <c r="M30" s="117"/>
      <c r="N30" s="117"/>
      <c r="O30" s="117"/>
      <c r="P30" s="117"/>
      <c r="Q30" s="117"/>
    </row>
    <row r="31" spans="1:17" ht="42" thickTop="1" thickBot="1" x14ac:dyDescent="0.25">
      <c r="A31" s="538">
        <v>301000</v>
      </c>
      <c r="B31" s="543" t="s">
        <v>357</v>
      </c>
      <c r="C31" s="540">
        <f>C32+C33</f>
        <v>7069510</v>
      </c>
      <c r="D31" s="540">
        <f>D32+D33</f>
        <v>0</v>
      </c>
      <c r="E31" s="540">
        <f>E32+E33</f>
        <v>7069510</v>
      </c>
      <c r="F31" s="540">
        <f>F32+F33</f>
        <v>7069510</v>
      </c>
      <c r="G31" s="116"/>
      <c r="H31" s="117"/>
      <c r="I31" s="117"/>
      <c r="J31" s="117"/>
      <c r="K31" s="117"/>
      <c r="L31" s="117"/>
      <c r="M31" s="117"/>
      <c r="N31" s="117"/>
      <c r="O31" s="117"/>
      <c r="P31" s="117"/>
      <c r="Q31" s="117"/>
    </row>
    <row r="32" spans="1:17" ht="14.25" thickTop="1" thickBot="1" x14ac:dyDescent="0.25">
      <c r="A32" s="535">
        <v>301100</v>
      </c>
      <c r="B32" s="536" t="s">
        <v>358</v>
      </c>
      <c r="C32" s="537">
        <f>SUM(D32,E32)</f>
        <v>9660000</v>
      </c>
      <c r="D32" s="537"/>
      <c r="E32" s="537">
        <v>9660000</v>
      </c>
      <c r="F32" s="537">
        <v>9660000</v>
      </c>
      <c r="G32" s="116"/>
      <c r="H32" s="117"/>
      <c r="I32" s="117"/>
      <c r="J32" s="117"/>
      <c r="K32" s="117"/>
      <c r="L32" s="117"/>
      <c r="M32" s="117"/>
      <c r="N32" s="117"/>
      <c r="O32" s="117"/>
      <c r="P32" s="117"/>
      <c r="Q32" s="117"/>
    </row>
    <row r="33" spans="1:17" ht="14.25" thickTop="1" thickBot="1" x14ac:dyDescent="0.25">
      <c r="A33" s="535">
        <v>301200</v>
      </c>
      <c r="B33" s="536" t="s">
        <v>359</v>
      </c>
      <c r="C33" s="537">
        <f>SUM(D33,E33)</f>
        <v>-2590490</v>
      </c>
      <c r="D33" s="537"/>
      <c r="E33" s="537">
        <v>-2590490</v>
      </c>
      <c r="F33" s="537">
        <v>-2590490</v>
      </c>
      <c r="G33" s="116"/>
      <c r="H33" s="117"/>
      <c r="I33" s="117"/>
      <c r="J33" s="117"/>
      <c r="K33" s="117"/>
      <c r="L33" s="117"/>
      <c r="M33" s="117"/>
      <c r="N33" s="117"/>
      <c r="O33" s="117"/>
      <c r="P33" s="117"/>
      <c r="Q33" s="117"/>
    </row>
    <row r="34" spans="1:17" ht="24" customHeight="1" thickTop="1" thickBot="1" x14ac:dyDescent="0.25">
      <c r="A34" s="546" t="s">
        <v>381</v>
      </c>
      <c r="B34" s="547" t="s">
        <v>380</v>
      </c>
      <c r="C34" s="548">
        <f>C15+C30</f>
        <v>518367501.37</v>
      </c>
      <c r="D34" s="548">
        <f>D15+D30</f>
        <v>-127024714.24000025</v>
      </c>
      <c r="E34" s="548">
        <f>E15+E30</f>
        <v>645392215.61000025</v>
      </c>
      <c r="F34" s="548">
        <f>F15+F30</f>
        <v>644723526.46000028</v>
      </c>
      <c r="G34" s="116"/>
      <c r="H34" s="117"/>
      <c r="I34" s="117"/>
      <c r="J34" s="117"/>
      <c r="K34" s="117"/>
      <c r="L34" s="117"/>
      <c r="M34" s="117"/>
      <c r="N34" s="117"/>
      <c r="O34" s="117"/>
      <c r="P34" s="117"/>
      <c r="Q34" s="117"/>
    </row>
    <row r="35" spans="1:17" ht="35.450000000000003" customHeight="1" thickTop="1" thickBot="1" x14ac:dyDescent="0.25">
      <c r="A35" s="767" t="s">
        <v>382</v>
      </c>
      <c r="B35" s="767"/>
      <c r="C35" s="768"/>
      <c r="D35" s="768"/>
      <c r="E35" s="768"/>
      <c r="F35" s="768"/>
      <c r="G35" s="116"/>
      <c r="H35" s="117"/>
      <c r="I35" s="117"/>
      <c r="J35" s="117"/>
      <c r="K35" s="117"/>
      <c r="L35" s="117"/>
      <c r="M35" s="117"/>
      <c r="N35" s="117"/>
      <c r="O35" s="117"/>
      <c r="P35" s="117"/>
      <c r="Q35" s="117"/>
    </row>
    <row r="36" spans="1:17" ht="27" thickTop="1" thickBot="1" x14ac:dyDescent="0.25">
      <c r="A36" s="544">
        <v>400000</v>
      </c>
      <c r="B36" s="545" t="s">
        <v>120</v>
      </c>
      <c r="C36" s="541">
        <f>C37+C42</f>
        <v>7069510</v>
      </c>
      <c r="D36" s="541">
        <f>D37+D42</f>
        <v>0</v>
      </c>
      <c r="E36" s="541">
        <f>E37+E42</f>
        <v>7069510</v>
      </c>
      <c r="F36" s="541">
        <f>F37+F42</f>
        <v>7069510</v>
      </c>
      <c r="G36" s="116"/>
      <c r="H36" s="117"/>
      <c r="I36" s="117"/>
      <c r="J36" s="117"/>
      <c r="K36" s="117"/>
      <c r="L36" s="117"/>
      <c r="M36" s="117"/>
      <c r="N36" s="117"/>
      <c r="O36" s="117"/>
      <c r="P36" s="117"/>
      <c r="Q36" s="117"/>
    </row>
    <row r="37" spans="1:17" ht="15" thickTop="1" thickBot="1" x14ac:dyDescent="0.25">
      <c r="A37" s="538">
        <v>401000</v>
      </c>
      <c r="B37" s="543" t="s">
        <v>121</v>
      </c>
      <c r="C37" s="540">
        <f>C38+C40</f>
        <v>9660000</v>
      </c>
      <c r="D37" s="540">
        <f>D38+D40</f>
        <v>0</v>
      </c>
      <c r="E37" s="540">
        <f>E38+E40</f>
        <v>9660000</v>
      </c>
      <c r="F37" s="540">
        <f>F38+F40</f>
        <v>9660000</v>
      </c>
      <c r="G37" s="116"/>
      <c r="H37" s="117"/>
      <c r="I37" s="117"/>
      <c r="J37" s="117"/>
      <c r="K37" s="117"/>
      <c r="L37" s="117"/>
      <c r="M37" s="117"/>
      <c r="N37" s="117"/>
      <c r="O37" s="117"/>
      <c r="P37" s="117"/>
      <c r="Q37" s="117"/>
    </row>
    <row r="38" spans="1:17" ht="14.25" hidden="1" thickTop="1" thickBot="1" x14ac:dyDescent="0.25">
      <c r="A38" s="532">
        <v>401100</v>
      </c>
      <c r="B38" s="549" t="s">
        <v>968</v>
      </c>
      <c r="C38" s="534">
        <f>C39</f>
        <v>0</v>
      </c>
      <c r="D38" s="534">
        <f>D39</f>
        <v>0</v>
      </c>
      <c r="E38" s="534">
        <f>E39</f>
        <v>0</v>
      </c>
      <c r="F38" s="534">
        <f>F39</f>
        <v>0</v>
      </c>
      <c r="G38" s="116"/>
      <c r="H38" s="117"/>
      <c r="I38" s="117"/>
      <c r="J38" s="117"/>
      <c r="K38" s="117"/>
      <c r="L38" s="117"/>
      <c r="M38" s="117"/>
      <c r="N38" s="117"/>
      <c r="O38" s="117"/>
      <c r="P38" s="117"/>
      <c r="Q38" s="117"/>
    </row>
    <row r="39" spans="1:17" ht="27" hidden="1" thickTop="1" thickBot="1" x14ac:dyDescent="0.25">
      <c r="A39" s="535">
        <v>401101</v>
      </c>
      <c r="B39" s="536" t="s">
        <v>963</v>
      </c>
      <c r="C39" s="537">
        <f>SUM(D39,E39)</f>
        <v>0</v>
      </c>
      <c r="D39" s="541"/>
      <c r="E39" s="537">
        <v>0</v>
      </c>
      <c r="F39" s="537">
        <v>0</v>
      </c>
      <c r="G39" s="116"/>
      <c r="H39" s="117"/>
      <c r="I39" s="117"/>
      <c r="J39" s="117"/>
      <c r="K39" s="117"/>
      <c r="L39" s="117"/>
      <c r="M39" s="117"/>
      <c r="N39" s="117"/>
      <c r="O39" s="117"/>
      <c r="P39" s="117"/>
      <c r="Q39" s="117"/>
    </row>
    <row r="40" spans="1:17" s="4" customFormat="1" ht="14.25" thickTop="1" thickBot="1" x14ac:dyDescent="0.25">
      <c r="A40" s="532">
        <v>401200</v>
      </c>
      <c r="B40" s="549" t="s">
        <v>360</v>
      </c>
      <c r="C40" s="534">
        <f>SUM(D40,E40)</f>
        <v>9660000</v>
      </c>
      <c r="D40" s="534"/>
      <c r="E40" s="534">
        <f>E41</f>
        <v>9660000</v>
      </c>
      <c r="F40" s="534">
        <f>F41</f>
        <v>9660000</v>
      </c>
      <c r="G40" s="121"/>
      <c r="H40" s="122"/>
      <c r="I40" s="122"/>
      <c r="J40" s="122"/>
      <c r="K40" s="122"/>
      <c r="L40" s="122"/>
      <c r="M40" s="122"/>
      <c r="N40" s="122"/>
      <c r="O40" s="122"/>
      <c r="P40" s="122"/>
      <c r="Q40" s="122"/>
    </row>
    <row r="41" spans="1:17" ht="27" thickTop="1" thickBot="1" x14ac:dyDescent="0.25">
      <c r="A41" s="535">
        <v>401201</v>
      </c>
      <c r="B41" s="536" t="s">
        <v>963</v>
      </c>
      <c r="C41" s="537">
        <f>SUM(D41,E41)</f>
        <v>9660000</v>
      </c>
      <c r="D41" s="541"/>
      <c r="E41" s="537">
        <v>9660000</v>
      </c>
      <c r="F41" s="537">
        <v>9660000</v>
      </c>
      <c r="G41" s="116"/>
      <c r="H41" s="117"/>
      <c r="I41" s="117"/>
      <c r="J41" s="117"/>
      <c r="K41" s="117"/>
      <c r="L41" s="117"/>
      <c r="M41" s="117"/>
      <c r="N41" s="117"/>
      <c r="O41" s="117"/>
      <c r="P41" s="117"/>
      <c r="Q41" s="117"/>
    </row>
    <row r="42" spans="1:17" s="4" customFormat="1" ht="15" thickTop="1" thickBot="1" x14ac:dyDescent="0.25">
      <c r="A42" s="538">
        <v>402000</v>
      </c>
      <c r="B42" s="543" t="s">
        <v>361</v>
      </c>
      <c r="C42" s="540">
        <f>C45+C43</f>
        <v>-2590490</v>
      </c>
      <c r="D42" s="540">
        <f>D45+D43</f>
        <v>0</v>
      </c>
      <c r="E42" s="540">
        <f>E45+E43</f>
        <v>-2590490</v>
      </c>
      <c r="F42" s="540">
        <f>F45+F43</f>
        <v>-2590490</v>
      </c>
      <c r="G42" s="121"/>
      <c r="H42" s="122"/>
      <c r="I42" s="122"/>
      <c r="J42" s="122"/>
      <c r="K42" s="122"/>
      <c r="L42" s="122"/>
      <c r="M42" s="122"/>
      <c r="N42" s="122"/>
      <c r="O42" s="122"/>
      <c r="P42" s="122"/>
      <c r="Q42" s="122"/>
    </row>
    <row r="43" spans="1:17" s="4" customFormat="1" ht="14.25" hidden="1" thickTop="1" thickBot="1" x14ac:dyDescent="0.25">
      <c r="A43" s="532">
        <v>402100</v>
      </c>
      <c r="B43" s="549" t="s">
        <v>1024</v>
      </c>
      <c r="C43" s="534">
        <f>C44</f>
        <v>0</v>
      </c>
      <c r="D43" s="534">
        <f>D44</f>
        <v>0</v>
      </c>
      <c r="E43" s="534">
        <f>E44</f>
        <v>0</v>
      </c>
      <c r="F43" s="534">
        <f>F44</f>
        <v>0</v>
      </c>
      <c r="G43" s="121"/>
      <c r="H43" s="122"/>
      <c r="I43" s="122"/>
      <c r="J43" s="122"/>
      <c r="K43" s="122"/>
      <c r="L43" s="122"/>
      <c r="M43" s="122"/>
      <c r="N43" s="122"/>
      <c r="O43" s="122"/>
      <c r="P43" s="122"/>
      <c r="Q43" s="122"/>
    </row>
    <row r="44" spans="1:17" s="4" customFormat="1" ht="27" hidden="1" thickTop="1" thickBot="1" x14ac:dyDescent="0.25">
      <c r="A44" s="535">
        <v>402101</v>
      </c>
      <c r="B44" s="536" t="s">
        <v>963</v>
      </c>
      <c r="C44" s="537">
        <f>SUM(D44,E44)</f>
        <v>0</v>
      </c>
      <c r="D44" s="541"/>
      <c r="E44" s="537">
        <v>0</v>
      </c>
      <c r="F44" s="537">
        <v>0</v>
      </c>
      <c r="G44" s="121"/>
      <c r="H44" s="122"/>
      <c r="I44" s="122"/>
      <c r="J44" s="122"/>
      <c r="K44" s="122"/>
      <c r="L44" s="122"/>
      <c r="M44" s="122"/>
      <c r="N44" s="122"/>
      <c r="O44" s="122"/>
      <c r="P44" s="122"/>
      <c r="Q44" s="122"/>
    </row>
    <row r="45" spans="1:17" s="4" customFormat="1" ht="14.25" thickTop="1" thickBot="1" x14ac:dyDescent="0.25">
      <c r="A45" s="532">
        <v>402200</v>
      </c>
      <c r="B45" s="549" t="s">
        <v>962</v>
      </c>
      <c r="C45" s="534">
        <f>SUM(C46,C47)</f>
        <v>-2590490</v>
      </c>
      <c r="D45" s="534"/>
      <c r="E45" s="534">
        <f>SUM(E46,E47)</f>
        <v>-2590490</v>
      </c>
      <c r="F45" s="534">
        <f>SUM(F46,F47)</f>
        <v>-2590490</v>
      </c>
      <c r="G45" s="121"/>
      <c r="H45" s="122"/>
      <c r="I45" s="122"/>
      <c r="J45" s="122"/>
      <c r="K45" s="122"/>
      <c r="L45" s="122"/>
      <c r="M45" s="122"/>
      <c r="N45" s="122"/>
      <c r="O45" s="122"/>
      <c r="P45" s="122"/>
      <c r="Q45" s="122"/>
    </row>
    <row r="46" spans="1:17" s="4" customFormat="1" ht="27" thickTop="1" thickBot="1" x14ac:dyDescent="0.25">
      <c r="A46" s="535">
        <v>402201</v>
      </c>
      <c r="B46" s="536" t="s">
        <v>963</v>
      </c>
      <c r="C46" s="537">
        <f>SUM(D46,E46)</f>
        <v>-2590490</v>
      </c>
      <c r="D46" s="541"/>
      <c r="E46" s="537">
        <v>-2590490</v>
      </c>
      <c r="F46" s="537">
        <v>-2590490</v>
      </c>
      <c r="G46" s="121"/>
      <c r="H46" s="122"/>
      <c r="I46" s="122"/>
      <c r="J46" s="122"/>
      <c r="K46" s="122"/>
      <c r="L46" s="122"/>
      <c r="M46" s="122"/>
      <c r="N46" s="122"/>
      <c r="O46" s="122"/>
      <c r="P46" s="122"/>
      <c r="Q46" s="122"/>
    </row>
    <row r="47" spans="1:17" ht="27" hidden="1" thickTop="1" thickBot="1" x14ac:dyDescent="0.25">
      <c r="A47" s="118">
        <v>402202</v>
      </c>
      <c r="B47" s="119" t="s">
        <v>964</v>
      </c>
      <c r="C47" s="120">
        <f>SUM(D47,E47)</f>
        <v>0</v>
      </c>
      <c r="D47" s="357"/>
      <c r="E47" s="358">
        <v>0</v>
      </c>
      <c r="F47" s="120">
        <v>0</v>
      </c>
      <c r="G47" s="116"/>
      <c r="H47" s="117"/>
      <c r="I47" s="117"/>
      <c r="J47" s="117"/>
      <c r="K47" s="117"/>
      <c r="L47" s="117"/>
      <c r="M47" s="117"/>
      <c r="N47" s="117"/>
      <c r="O47" s="117"/>
      <c r="P47" s="117"/>
      <c r="Q47" s="117"/>
    </row>
    <row r="48" spans="1:17" ht="27" thickTop="1" thickBot="1" x14ac:dyDescent="0.25">
      <c r="A48" s="544" t="s">
        <v>122</v>
      </c>
      <c r="B48" s="545" t="s">
        <v>123</v>
      </c>
      <c r="C48" s="541">
        <f>C54+C49</f>
        <v>511297991.37</v>
      </c>
      <c r="D48" s="541">
        <f t="shared" ref="D48:F48" si="8">D54+D49</f>
        <v>-127024714.24000025</v>
      </c>
      <c r="E48" s="541">
        <f t="shared" si="8"/>
        <v>638322705.61000025</v>
      </c>
      <c r="F48" s="541">
        <f t="shared" si="8"/>
        <v>637654016.46000028</v>
      </c>
      <c r="G48" s="116"/>
      <c r="H48" s="117"/>
      <c r="I48" s="117"/>
      <c r="J48" s="117"/>
      <c r="K48" s="117"/>
      <c r="L48" s="117"/>
      <c r="M48" s="117"/>
      <c r="N48" s="117"/>
      <c r="O48" s="117"/>
      <c r="P48" s="117"/>
      <c r="Q48" s="117"/>
    </row>
    <row r="49" spans="1:17" ht="64.5" customHeight="1" thickTop="1" thickBot="1" x14ac:dyDescent="0.25">
      <c r="A49" s="538">
        <v>601000</v>
      </c>
      <c r="B49" s="543" t="s">
        <v>1477</v>
      </c>
      <c r="C49" s="540">
        <f>C50+C52</f>
        <v>150000000</v>
      </c>
      <c r="D49" s="540">
        <f t="shared" ref="D49:F49" si="9">D50+D52</f>
        <v>150000000</v>
      </c>
      <c r="E49" s="540">
        <f t="shared" si="9"/>
        <v>0</v>
      </c>
      <c r="F49" s="540">
        <f t="shared" si="9"/>
        <v>0</v>
      </c>
      <c r="G49" s="116"/>
      <c r="H49" s="117"/>
      <c r="I49" s="117"/>
      <c r="J49" s="117"/>
      <c r="K49" s="117"/>
      <c r="L49" s="117"/>
      <c r="M49" s="117"/>
      <c r="N49" s="117"/>
      <c r="O49" s="117"/>
      <c r="P49" s="117"/>
      <c r="Q49" s="117"/>
    </row>
    <row r="50" spans="1:17" ht="73.5" customHeight="1" thickTop="1" thickBot="1" x14ac:dyDescent="0.25">
      <c r="A50" s="532">
        <v>601100</v>
      </c>
      <c r="B50" s="549" t="s">
        <v>1473</v>
      </c>
      <c r="C50" s="534">
        <f>C51</f>
        <v>150000000</v>
      </c>
      <c r="D50" s="534">
        <f t="shared" ref="D50:F50" si="10">D51</f>
        <v>150000000</v>
      </c>
      <c r="E50" s="534">
        <f t="shared" si="10"/>
        <v>0</v>
      </c>
      <c r="F50" s="534">
        <f t="shared" si="10"/>
        <v>0</v>
      </c>
      <c r="G50" s="116"/>
      <c r="H50" s="117"/>
      <c r="I50" s="117"/>
      <c r="J50" s="117"/>
      <c r="K50" s="117"/>
      <c r="L50" s="117"/>
      <c r="M50" s="117"/>
      <c r="N50" s="117"/>
      <c r="O50" s="117"/>
      <c r="P50" s="117"/>
      <c r="Q50" s="117"/>
    </row>
    <row r="51" spans="1:17" ht="39.75" thickTop="1" thickBot="1" x14ac:dyDescent="0.25">
      <c r="A51" s="535">
        <v>601120</v>
      </c>
      <c r="B51" s="536" t="s">
        <v>1475</v>
      </c>
      <c r="C51" s="537">
        <f>D51+E51</f>
        <v>150000000</v>
      </c>
      <c r="D51" s="537">
        <v>150000000</v>
      </c>
      <c r="E51" s="537">
        <v>0</v>
      </c>
      <c r="F51" s="537">
        <v>0</v>
      </c>
      <c r="G51" s="116"/>
      <c r="H51" s="117"/>
      <c r="I51" s="117"/>
      <c r="J51" s="117"/>
      <c r="K51" s="117"/>
      <c r="L51" s="117"/>
      <c r="M51" s="117"/>
      <c r="N51" s="117"/>
      <c r="O51" s="117"/>
      <c r="P51" s="117"/>
      <c r="Q51" s="117"/>
    </row>
    <row r="52" spans="1:17" ht="52.5" hidden="1" thickTop="1" thickBot="1" x14ac:dyDescent="0.25">
      <c r="A52" s="390">
        <v>601200</v>
      </c>
      <c r="B52" s="397" t="s">
        <v>1478</v>
      </c>
      <c r="C52" s="392">
        <f>C53</f>
        <v>0</v>
      </c>
      <c r="D52" s="392">
        <f t="shared" ref="D52" si="11">D53</f>
        <v>0</v>
      </c>
      <c r="E52" s="392">
        <f t="shared" ref="E52" si="12">E53</f>
        <v>0</v>
      </c>
      <c r="F52" s="392">
        <f t="shared" ref="F52" si="13">F53</f>
        <v>0</v>
      </c>
      <c r="G52" s="116"/>
      <c r="H52" s="117"/>
      <c r="I52" s="117"/>
      <c r="J52" s="117"/>
      <c r="K52" s="117"/>
      <c r="L52" s="117"/>
      <c r="M52" s="117"/>
      <c r="N52" s="117"/>
      <c r="O52" s="117"/>
      <c r="P52" s="117"/>
      <c r="Q52" s="117"/>
    </row>
    <row r="53" spans="1:17" ht="27" hidden="1" thickTop="1" thickBot="1" x14ac:dyDescent="0.25">
      <c r="A53" s="388">
        <v>601220</v>
      </c>
      <c r="B53" s="389" t="s">
        <v>1479</v>
      </c>
      <c r="C53" s="358">
        <f>D53+E53</f>
        <v>0</v>
      </c>
      <c r="D53" s="358">
        <v>0</v>
      </c>
      <c r="E53" s="358">
        <v>0</v>
      </c>
      <c r="F53" s="358">
        <v>0</v>
      </c>
      <c r="G53" s="116"/>
      <c r="H53" s="117"/>
      <c r="I53" s="117"/>
      <c r="J53" s="117"/>
      <c r="K53" s="117"/>
      <c r="L53" s="117"/>
      <c r="M53" s="117"/>
      <c r="N53" s="117"/>
      <c r="O53" s="117"/>
      <c r="P53" s="117"/>
      <c r="Q53" s="117"/>
    </row>
    <row r="54" spans="1:17" ht="28.5" thickTop="1" thickBot="1" x14ac:dyDescent="0.25">
      <c r="A54" s="538">
        <v>602000</v>
      </c>
      <c r="B54" s="543" t="s">
        <v>970</v>
      </c>
      <c r="C54" s="540">
        <f>C55+C58+C56</f>
        <v>361297991.37</v>
      </c>
      <c r="D54" s="540">
        <f>D55+D58+D56</f>
        <v>-277024714.24000025</v>
      </c>
      <c r="E54" s="540">
        <f>E55+E58+E56</f>
        <v>638322705.61000025</v>
      </c>
      <c r="F54" s="540">
        <f>F55+F58+F56</f>
        <v>637654016.46000028</v>
      </c>
      <c r="G54" s="116"/>
      <c r="H54" s="117"/>
      <c r="I54" s="117"/>
      <c r="J54" s="117"/>
      <c r="K54" s="117"/>
      <c r="L54" s="117"/>
      <c r="M54" s="117"/>
      <c r="N54" s="117"/>
      <c r="O54" s="117"/>
      <c r="P54" s="117"/>
      <c r="Q54" s="117"/>
    </row>
    <row r="55" spans="1:17" ht="14.25" thickTop="1" thickBot="1" x14ac:dyDescent="0.25">
      <c r="A55" s="532">
        <v>602100</v>
      </c>
      <c r="B55" s="549" t="s">
        <v>971</v>
      </c>
      <c r="C55" s="534">
        <f>SUM(D55,E55)</f>
        <v>361297991.37</v>
      </c>
      <c r="D55" s="534">
        <f>D26</f>
        <v>341325281.88</v>
      </c>
      <c r="E55" s="534">
        <f>E26</f>
        <v>19972709.489999998</v>
      </c>
      <c r="F55" s="534">
        <f>F26</f>
        <v>19304020.34</v>
      </c>
      <c r="G55" s="116"/>
      <c r="H55" s="117"/>
      <c r="I55" s="117"/>
      <c r="J55" s="117"/>
      <c r="K55" s="117"/>
      <c r="L55" s="117"/>
      <c r="M55" s="117"/>
      <c r="N55" s="117"/>
      <c r="O55" s="117"/>
      <c r="P55" s="117"/>
      <c r="Q55" s="117"/>
    </row>
    <row r="56" spans="1:17" ht="14.25" hidden="1" thickTop="1" thickBot="1" x14ac:dyDescent="0.25">
      <c r="A56" s="532">
        <v>602300</v>
      </c>
      <c r="B56" s="549" t="s">
        <v>972</v>
      </c>
      <c r="C56" s="534">
        <f>SUM(D56,E56)</f>
        <v>0</v>
      </c>
      <c r="D56" s="534">
        <f>D57</f>
        <v>0</v>
      </c>
      <c r="E56" s="534">
        <f>E57</f>
        <v>0</v>
      </c>
      <c r="F56" s="534">
        <f>E56</f>
        <v>0</v>
      </c>
      <c r="G56" s="116"/>
      <c r="H56" s="117"/>
      <c r="I56" s="117"/>
      <c r="J56" s="117"/>
      <c r="K56" s="117"/>
      <c r="L56" s="117"/>
      <c r="M56" s="117"/>
      <c r="N56" s="117"/>
      <c r="O56" s="117"/>
      <c r="P56" s="117"/>
      <c r="Q56" s="117"/>
    </row>
    <row r="57" spans="1:17" ht="52.5" hidden="1" thickTop="1" thickBot="1" x14ac:dyDescent="0.25">
      <c r="A57" s="535">
        <v>602303</v>
      </c>
      <c r="B57" s="536" t="s">
        <v>973</v>
      </c>
      <c r="C57" s="537">
        <f>SUM(D57,E57)</f>
        <v>0</v>
      </c>
      <c r="D57" s="537"/>
      <c r="E57" s="537">
        <f>-D57</f>
        <v>0</v>
      </c>
      <c r="F57" s="537">
        <f>E57</f>
        <v>0</v>
      </c>
      <c r="G57" s="116"/>
      <c r="H57" s="117"/>
      <c r="I57" s="117"/>
      <c r="J57" s="117"/>
      <c r="K57" s="117"/>
      <c r="L57" s="117"/>
      <c r="M57" s="117"/>
      <c r="N57" s="117"/>
      <c r="O57" s="117"/>
      <c r="P57" s="117"/>
      <c r="Q57" s="117"/>
    </row>
    <row r="58" spans="1:17" ht="52.5" thickTop="1" thickBot="1" x14ac:dyDescent="0.25">
      <c r="A58" s="532">
        <v>602400</v>
      </c>
      <c r="B58" s="549" t="s">
        <v>119</v>
      </c>
      <c r="C58" s="534">
        <f>SUM(D58,E58)</f>
        <v>0</v>
      </c>
      <c r="D58" s="534">
        <f>D29</f>
        <v>-618349996.12000024</v>
      </c>
      <c r="E58" s="534">
        <f>E29</f>
        <v>618349996.12000024</v>
      </c>
      <c r="F58" s="534">
        <f>F29</f>
        <v>618349996.12000024</v>
      </c>
      <c r="G58" s="116"/>
      <c r="H58" s="117"/>
      <c r="I58" s="117"/>
      <c r="J58" s="117"/>
      <c r="K58" s="117"/>
      <c r="L58" s="117"/>
      <c r="M58" s="117"/>
      <c r="N58" s="117"/>
      <c r="O58" s="117"/>
      <c r="P58" s="117"/>
      <c r="Q58" s="117"/>
    </row>
    <row r="59" spans="1:17" ht="30" customHeight="1" thickTop="1" thickBot="1" x14ac:dyDescent="0.25">
      <c r="A59" s="546" t="s">
        <v>381</v>
      </c>
      <c r="B59" s="547" t="s">
        <v>380</v>
      </c>
      <c r="C59" s="548">
        <f>C36+C48</f>
        <v>518367501.37</v>
      </c>
      <c r="D59" s="548">
        <f>D36+D48</f>
        <v>-127024714.24000025</v>
      </c>
      <c r="E59" s="548">
        <f>E36+E48</f>
        <v>645392215.61000025</v>
      </c>
      <c r="F59" s="548">
        <f>F36+F48</f>
        <v>644723526.46000028</v>
      </c>
      <c r="G59" s="116"/>
      <c r="H59" s="117"/>
      <c r="I59" s="117"/>
      <c r="J59" s="117"/>
      <c r="K59" s="117"/>
      <c r="L59" s="117"/>
      <c r="M59" s="117"/>
      <c r="N59" s="117"/>
      <c r="O59" s="117"/>
      <c r="P59" s="117"/>
      <c r="Q59" s="117"/>
    </row>
    <row r="60" spans="1:17" ht="13.5" thickTop="1" x14ac:dyDescent="0.2">
      <c r="A60" s="123"/>
      <c r="B60" s="123"/>
      <c r="C60" s="123"/>
      <c r="D60" s="123"/>
      <c r="E60" s="123"/>
      <c r="F60" s="123"/>
      <c r="G60" s="123"/>
      <c r="H60" s="123"/>
      <c r="I60" s="123"/>
    </row>
    <row r="61" spans="1:17" ht="45.75" x14ac:dyDescent="0.65">
      <c r="A61" s="123"/>
      <c r="B61" s="367" t="s">
        <v>1480</v>
      </c>
      <c r="C61"/>
      <c r="D61"/>
      <c r="E61" s="14" t="s">
        <v>1481</v>
      </c>
      <c r="F61" s="14"/>
      <c r="G61" s="124"/>
      <c r="H61" s="124"/>
      <c r="I61" s="124"/>
      <c r="J61" s="124"/>
      <c r="K61" s="124"/>
      <c r="L61" s="124"/>
      <c r="M61" s="124"/>
      <c r="N61" s="124"/>
      <c r="O61" s="124"/>
    </row>
    <row r="62" spans="1:17" ht="31.5" hidden="1" x14ac:dyDescent="0.25">
      <c r="A62" s="123"/>
      <c r="B62" s="365" t="s">
        <v>1445</v>
      </c>
      <c r="C62"/>
      <c r="D62"/>
      <c r="E62" s="366" t="s">
        <v>1446</v>
      </c>
      <c r="F62" s="352"/>
      <c r="G62" s="123"/>
      <c r="H62" s="123"/>
      <c r="I62" s="123"/>
    </row>
    <row r="63" spans="1:17" ht="15.75" x14ac:dyDescent="0.25">
      <c r="A63" s="123"/>
      <c r="B63" s="363"/>
      <c r="C63" s="363"/>
      <c r="D63" s="364"/>
      <c r="E63" s="352"/>
      <c r="F63" s="352"/>
      <c r="G63" s="123"/>
      <c r="H63" s="123"/>
      <c r="I63" s="123"/>
    </row>
    <row r="64" spans="1:17" ht="15.75" customHeight="1" x14ac:dyDescent="0.25">
      <c r="B64" s="757" t="s">
        <v>523</v>
      </c>
      <c r="C64" s="758"/>
      <c r="D64" s="758"/>
      <c r="E64" s="1" t="s">
        <v>1346</v>
      </c>
      <c r="F64" s="1"/>
    </row>
  </sheetData>
  <mergeCells count="12">
    <mergeCell ref="B64:D64"/>
    <mergeCell ref="A5:F5"/>
    <mergeCell ref="A6:F6"/>
    <mergeCell ref="A8:F8"/>
    <mergeCell ref="A9:F9"/>
    <mergeCell ref="A11:A12"/>
    <mergeCell ref="B11:B12"/>
    <mergeCell ref="C11:C12"/>
    <mergeCell ref="D11:D12"/>
    <mergeCell ref="E11:F11"/>
    <mergeCell ref="A14:F14"/>
    <mergeCell ref="A35:F35"/>
  </mergeCells>
  <pageMargins left="1.1811023622047245" right="0.44" top="0.39370078740157483" bottom="0.19685039370078741" header="0.39370078740157483" footer="0.15748031496062992"/>
  <pageSetup paperSize="9" scale="8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57"/>
  <sheetViews>
    <sheetView view="pageBreakPreview" zoomScale="10" zoomScaleNormal="25" zoomScaleSheetLayoutView="10" zoomScalePageLayoutView="10" workbookViewId="0">
      <pane ySplit="14" topLeftCell="A107" activePane="bottomLeft" state="frozen"/>
      <selection activeCell="B52" sqref="B52:E52"/>
      <selection pane="bottomLeft" activeCell="L281" sqref="L281"/>
    </sheetView>
  </sheetViews>
  <sheetFormatPr defaultColWidth="9.140625" defaultRowHeight="12.75" x14ac:dyDescent="0.2"/>
  <cols>
    <col min="1" max="1" width="48" style="18" customWidth="1"/>
    <col min="2" max="2" width="52.5703125" style="18" customWidth="1"/>
    <col min="3" max="3" width="65.7109375" style="18" customWidth="1"/>
    <col min="4" max="4" width="256.140625" style="18" customWidth="1"/>
    <col min="5" max="5" width="66.42578125" style="57" customWidth="1"/>
    <col min="6" max="6" width="62.5703125" style="18" customWidth="1"/>
    <col min="7" max="7" width="59.7109375" style="18" customWidth="1"/>
    <col min="8" max="8" width="53.140625" style="18" customWidth="1"/>
    <col min="9" max="9" width="41.85546875" style="18" customWidth="1"/>
    <col min="10" max="10" width="50.5703125" style="57" customWidth="1"/>
    <col min="11" max="11" width="52.5703125" style="57" customWidth="1"/>
    <col min="12" max="12" width="56.140625" style="18" customWidth="1"/>
    <col min="13" max="13" width="54.85546875" style="18" customWidth="1"/>
    <col min="14" max="14" width="51" style="18" customWidth="1"/>
    <col min="15" max="15" width="56.140625" style="18" bestFit="1" customWidth="1"/>
    <col min="16" max="16" width="86.28515625" style="57" customWidth="1"/>
    <col min="17" max="17" width="52.140625" style="81" customWidth="1"/>
    <col min="18" max="18" width="33.85546875" style="20" customWidth="1"/>
    <col min="19" max="19" width="40.140625" style="21" bestFit="1" customWidth="1"/>
    <col min="20" max="20" width="43.5703125" style="21" bestFit="1" customWidth="1"/>
    <col min="21" max="16384" width="9.140625" style="21"/>
  </cols>
  <sheetData>
    <row r="1" spans="1:18" ht="45.75" x14ac:dyDescent="0.2">
      <c r="A1" s="75"/>
      <c r="B1" s="75"/>
      <c r="C1" s="75"/>
      <c r="D1" s="76"/>
      <c r="E1" s="77"/>
      <c r="F1" s="78"/>
      <c r="G1" s="77"/>
      <c r="H1" s="77"/>
      <c r="I1" s="77"/>
      <c r="J1" s="77"/>
      <c r="K1" s="77"/>
      <c r="L1" s="77"/>
      <c r="M1" s="77"/>
      <c r="N1" s="806" t="s">
        <v>493</v>
      </c>
      <c r="O1" s="807"/>
      <c r="P1" s="807"/>
      <c r="Q1" s="807"/>
    </row>
    <row r="2" spans="1:18" ht="45.75" x14ac:dyDescent="0.2">
      <c r="A2" s="76"/>
      <c r="B2" s="76"/>
      <c r="C2" s="76"/>
      <c r="D2" s="76"/>
      <c r="E2" s="77"/>
      <c r="F2" s="78"/>
      <c r="G2" s="77"/>
      <c r="H2" s="77"/>
      <c r="I2" s="77"/>
      <c r="J2" s="77"/>
      <c r="K2" s="77"/>
      <c r="L2" s="77"/>
      <c r="M2" s="77"/>
      <c r="N2" s="806" t="s">
        <v>1631</v>
      </c>
      <c r="O2" s="808"/>
      <c r="P2" s="808"/>
      <c r="Q2" s="808"/>
    </row>
    <row r="3" spans="1:18" ht="40.700000000000003" customHeight="1" x14ac:dyDescent="0.2">
      <c r="A3" s="76"/>
      <c r="B3" s="76"/>
      <c r="C3" s="76"/>
      <c r="D3" s="76"/>
      <c r="E3" s="77"/>
      <c r="F3" s="78"/>
      <c r="G3" s="77"/>
      <c r="H3" s="77"/>
      <c r="I3" s="77"/>
      <c r="J3" s="77"/>
      <c r="K3" s="77"/>
      <c r="L3" s="77"/>
      <c r="M3" s="77"/>
      <c r="N3" s="77"/>
      <c r="O3" s="806"/>
      <c r="P3" s="809"/>
      <c r="Q3" s="80"/>
    </row>
    <row r="4" spans="1:18" ht="45.75" hidden="1" x14ac:dyDescent="0.2">
      <c r="A4" s="76"/>
      <c r="B4" s="76"/>
      <c r="C4" s="76"/>
      <c r="D4" s="76"/>
      <c r="E4" s="77"/>
      <c r="F4" s="78"/>
      <c r="G4" s="77"/>
      <c r="H4" s="77"/>
      <c r="I4" s="77"/>
      <c r="J4" s="77"/>
      <c r="K4" s="77"/>
      <c r="L4" s="77"/>
      <c r="M4" s="77"/>
      <c r="N4" s="77"/>
      <c r="O4" s="76"/>
      <c r="P4" s="78"/>
      <c r="Q4" s="80"/>
    </row>
    <row r="5" spans="1:18" ht="45" x14ac:dyDescent="0.2">
      <c r="A5" s="810" t="s">
        <v>565</v>
      </c>
      <c r="B5" s="810"/>
      <c r="C5" s="810"/>
      <c r="D5" s="810"/>
      <c r="E5" s="810"/>
      <c r="F5" s="810"/>
      <c r="G5" s="810"/>
      <c r="H5" s="810"/>
      <c r="I5" s="810"/>
      <c r="J5" s="810"/>
      <c r="K5" s="810"/>
      <c r="L5" s="810"/>
      <c r="M5" s="810"/>
      <c r="N5" s="810"/>
      <c r="O5" s="810"/>
      <c r="P5" s="810"/>
      <c r="Q5" s="80"/>
    </row>
    <row r="6" spans="1:18" ht="45" x14ac:dyDescent="0.2">
      <c r="A6" s="810" t="s">
        <v>1498</v>
      </c>
      <c r="B6" s="810"/>
      <c r="C6" s="810"/>
      <c r="D6" s="810"/>
      <c r="E6" s="810"/>
      <c r="F6" s="810"/>
      <c r="G6" s="810"/>
      <c r="H6" s="810"/>
      <c r="I6" s="810"/>
      <c r="J6" s="810"/>
      <c r="K6" s="810"/>
      <c r="L6" s="810"/>
      <c r="M6" s="810"/>
      <c r="N6" s="810"/>
      <c r="O6" s="810"/>
      <c r="P6" s="810"/>
      <c r="Q6" s="80"/>
    </row>
    <row r="7" spans="1:18" ht="45" x14ac:dyDescent="0.2">
      <c r="A7" s="77"/>
      <c r="B7" s="77"/>
      <c r="C7" s="77"/>
      <c r="D7" s="77"/>
      <c r="E7" s="77"/>
      <c r="F7" s="77"/>
      <c r="G7" s="77"/>
      <c r="H7" s="77"/>
      <c r="I7" s="77"/>
      <c r="J7" s="77"/>
      <c r="K7" s="77"/>
      <c r="L7" s="77"/>
      <c r="M7" s="77"/>
      <c r="N7" s="77"/>
      <c r="O7" s="77"/>
      <c r="P7" s="77"/>
      <c r="Q7" s="80"/>
    </row>
    <row r="8" spans="1:18" ht="45.75" x14ac:dyDescent="0.65">
      <c r="A8" s="811">
        <v>2256400000</v>
      </c>
      <c r="B8" s="812"/>
      <c r="C8" s="77"/>
      <c r="D8" s="398"/>
      <c r="E8" s="398"/>
      <c r="F8" s="398"/>
      <c r="G8" s="398"/>
      <c r="H8" s="398"/>
      <c r="I8" s="398"/>
      <c r="J8" s="398"/>
      <c r="K8" s="398"/>
      <c r="L8" s="398"/>
      <c r="M8" s="398"/>
      <c r="N8" s="398"/>
      <c r="O8" s="398"/>
      <c r="P8" s="398"/>
      <c r="Q8" s="13"/>
    </row>
    <row r="9" spans="1:18" ht="45.75" x14ac:dyDescent="0.2">
      <c r="A9" s="816" t="s">
        <v>490</v>
      </c>
      <c r="B9" s="817"/>
      <c r="C9" s="77"/>
      <c r="D9" s="398"/>
      <c r="E9" s="398"/>
      <c r="F9" s="398"/>
      <c r="G9" s="398"/>
      <c r="H9" s="398"/>
      <c r="I9" s="398"/>
      <c r="J9" s="398"/>
      <c r="K9" s="398"/>
      <c r="L9" s="398"/>
      <c r="M9" s="398"/>
      <c r="N9" s="398"/>
      <c r="O9" s="398"/>
      <c r="P9" s="398"/>
      <c r="Q9" s="13"/>
    </row>
    <row r="10" spans="1:18" ht="53.45" customHeight="1" thickBot="1" x14ac:dyDescent="0.25">
      <c r="A10" s="77"/>
      <c r="B10" s="77"/>
      <c r="C10" s="77"/>
      <c r="D10" s="398"/>
      <c r="E10" s="398"/>
      <c r="F10" s="399"/>
      <c r="G10" s="398"/>
      <c r="H10" s="398"/>
      <c r="I10" s="398"/>
      <c r="J10" s="398"/>
      <c r="K10" s="398"/>
      <c r="L10" s="398"/>
      <c r="M10" s="398"/>
      <c r="N10" s="398"/>
      <c r="O10" s="398"/>
      <c r="P10" s="316" t="s">
        <v>404</v>
      </c>
      <c r="Q10" s="13"/>
    </row>
    <row r="11" spans="1:18" ht="62.45" customHeight="1" thickTop="1" thickBot="1" x14ac:dyDescent="0.25">
      <c r="A11" s="815" t="s">
        <v>491</v>
      </c>
      <c r="B11" s="815" t="s">
        <v>492</v>
      </c>
      <c r="C11" s="815" t="s">
        <v>390</v>
      </c>
      <c r="D11" s="815" t="s">
        <v>573</v>
      </c>
      <c r="E11" s="813" t="s">
        <v>12</v>
      </c>
      <c r="F11" s="813"/>
      <c r="G11" s="813"/>
      <c r="H11" s="813"/>
      <c r="I11" s="813"/>
      <c r="J11" s="813" t="s">
        <v>52</v>
      </c>
      <c r="K11" s="813"/>
      <c r="L11" s="813"/>
      <c r="M11" s="813"/>
      <c r="N11" s="813"/>
      <c r="O11" s="814"/>
      <c r="P11" s="813" t="s">
        <v>11</v>
      </c>
      <c r="Q11" s="20"/>
    </row>
    <row r="12" spans="1:18" ht="96" customHeight="1" thickTop="1" thickBot="1" x14ac:dyDescent="0.25">
      <c r="A12" s="813"/>
      <c r="B12" s="818"/>
      <c r="C12" s="818"/>
      <c r="D12" s="813"/>
      <c r="E12" s="815" t="s">
        <v>384</v>
      </c>
      <c r="F12" s="815" t="s">
        <v>53</v>
      </c>
      <c r="G12" s="815" t="s">
        <v>13</v>
      </c>
      <c r="H12" s="815"/>
      <c r="I12" s="815" t="s">
        <v>55</v>
      </c>
      <c r="J12" s="815" t="s">
        <v>384</v>
      </c>
      <c r="K12" s="815" t="s">
        <v>385</v>
      </c>
      <c r="L12" s="815" t="s">
        <v>53</v>
      </c>
      <c r="M12" s="815" t="s">
        <v>13</v>
      </c>
      <c r="N12" s="815"/>
      <c r="O12" s="815" t="s">
        <v>55</v>
      </c>
      <c r="P12" s="813"/>
      <c r="Q12" s="20"/>
    </row>
    <row r="13" spans="1:18" ht="328.7" customHeight="1" thickTop="1" thickBot="1" x14ac:dyDescent="0.25">
      <c r="A13" s="818"/>
      <c r="B13" s="818"/>
      <c r="C13" s="818"/>
      <c r="D13" s="818"/>
      <c r="E13" s="815"/>
      <c r="F13" s="815"/>
      <c r="G13" s="317" t="s">
        <v>54</v>
      </c>
      <c r="H13" s="317" t="s">
        <v>15</v>
      </c>
      <c r="I13" s="815"/>
      <c r="J13" s="815"/>
      <c r="K13" s="815"/>
      <c r="L13" s="815"/>
      <c r="M13" s="317" t="s">
        <v>54</v>
      </c>
      <c r="N13" s="317" t="s">
        <v>15</v>
      </c>
      <c r="O13" s="815"/>
      <c r="P13" s="813"/>
      <c r="Q13" s="20"/>
    </row>
    <row r="14" spans="1:18" s="24" customFormat="1" ht="47.25" thickTop="1" thickBot="1" x14ac:dyDescent="0.25">
      <c r="A14" s="311" t="s">
        <v>2</v>
      </c>
      <c r="B14" s="311" t="s">
        <v>3</v>
      </c>
      <c r="C14" s="311" t="s">
        <v>14</v>
      </c>
      <c r="D14" s="311" t="s">
        <v>5</v>
      </c>
      <c r="E14" s="311" t="s">
        <v>392</v>
      </c>
      <c r="F14" s="311" t="s">
        <v>393</v>
      </c>
      <c r="G14" s="311" t="s">
        <v>394</v>
      </c>
      <c r="H14" s="311" t="s">
        <v>395</v>
      </c>
      <c r="I14" s="311" t="s">
        <v>396</v>
      </c>
      <c r="J14" s="311" t="s">
        <v>397</v>
      </c>
      <c r="K14" s="311" t="s">
        <v>398</v>
      </c>
      <c r="L14" s="311" t="s">
        <v>399</v>
      </c>
      <c r="M14" s="311" t="s">
        <v>400</v>
      </c>
      <c r="N14" s="311" t="s">
        <v>401</v>
      </c>
      <c r="O14" s="311" t="s">
        <v>402</v>
      </c>
      <c r="P14" s="311" t="s">
        <v>403</v>
      </c>
      <c r="Q14" s="126"/>
      <c r="R14" s="23"/>
    </row>
    <row r="15" spans="1:18" s="24" customFormat="1" ht="120" customHeight="1" thickTop="1" thickBot="1" x14ac:dyDescent="0.25">
      <c r="A15" s="661" t="s">
        <v>148</v>
      </c>
      <c r="B15" s="661"/>
      <c r="C15" s="661"/>
      <c r="D15" s="662" t="s">
        <v>150</v>
      </c>
      <c r="E15" s="663">
        <f>E16</f>
        <v>349075116.13999999</v>
      </c>
      <c r="F15" s="664">
        <f t="shared" ref="F15:N15" si="0">F16</f>
        <v>349075116.13999999</v>
      </c>
      <c r="G15" s="664">
        <f t="shared" si="0"/>
        <v>95820900</v>
      </c>
      <c r="H15" s="664">
        <f t="shared" si="0"/>
        <v>6241293</v>
      </c>
      <c r="I15" s="664">
        <f t="shared" si="0"/>
        <v>0</v>
      </c>
      <c r="J15" s="663">
        <f t="shared" si="0"/>
        <v>289319038.20000005</v>
      </c>
      <c r="K15" s="664">
        <f t="shared" si="0"/>
        <v>284103238.20000005</v>
      </c>
      <c r="L15" s="664">
        <f t="shared" si="0"/>
        <v>4350400</v>
      </c>
      <c r="M15" s="664">
        <f t="shared" si="0"/>
        <v>0</v>
      </c>
      <c r="N15" s="664">
        <f t="shared" si="0"/>
        <v>0</v>
      </c>
      <c r="O15" s="663">
        <f>O16</f>
        <v>284968638.20000005</v>
      </c>
      <c r="P15" s="664">
        <f t="shared" ref="P15" si="1">P16</f>
        <v>638394154.34000003</v>
      </c>
      <c r="Q15" s="25"/>
      <c r="R15" s="25"/>
    </row>
    <row r="16" spans="1:18" s="24" customFormat="1" ht="120" customHeight="1" thickTop="1" thickBot="1" x14ac:dyDescent="0.25">
      <c r="A16" s="658" t="s">
        <v>149</v>
      </c>
      <c r="B16" s="658"/>
      <c r="C16" s="658"/>
      <c r="D16" s="659" t="s">
        <v>151</v>
      </c>
      <c r="E16" s="660">
        <f>E17+E25+E36+E42+E22</f>
        <v>349075116.13999999</v>
      </c>
      <c r="F16" s="660">
        <f>F17+F25+F36+F42+F22</f>
        <v>349075116.13999999</v>
      </c>
      <c r="G16" s="660">
        <f>G17+G25+G36+G42+G22</f>
        <v>95820900</v>
      </c>
      <c r="H16" s="660">
        <f>H17+H25+H36+H42+H22</f>
        <v>6241293</v>
      </c>
      <c r="I16" s="660">
        <f>I17+I25+I36+I42+I22</f>
        <v>0</v>
      </c>
      <c r="J16" s="660">
        <f>L16+O16</f>
        <v>289319038.20000005</v>
      </c>
      <c r="K16" s="660">
        <f>K17+K25+K36+K42+K22</f>
        <v>284103238.20000005</v>
      </c>
      <c r="L16" s="660">
        <f>L17+L25+L36+L42+L22</f>
        <v>4350400</v>
      </c>
      <c r="M16" s="660">
        <f>M17+M25+M36+M42+M22</f>
        <v>0</v>
      </c>
      <c r="N16" s="660">
        <f>N17+N25+N36+N42+N22</f>
        <v>0</v>
      </c>
      <c r="O16" s="660">
        <f>O17+O25+O36+O42+O22</f>
        <v>284968638.20000005</v>
      </c>
      <c r="P16" s="660">
        <f>E16+J16</f>
        <v>638394154.34000003</v>
      </c>
      <c r="Q16" s="565" t="b">
        <f>P16=P18+P21+P27+P31+P33+P35+P38+P39+P41+P44+P45+P46+P24</f>
        <v>1</v>
      </c>
      <c r="R16" s="26"/>
    </row>
    <row r="17" spans="1:18" s="28" customFormat="1" ht="47.25" thickTop="1" thickBot="1" x14ac:dyDescent="0.25">
      <c r="A17" s="311" t="s">
        <v>683</v>
      </c>
      <c r="B17" s="311" t="s">
        <v>684</v>
      </c>
      <c r="C17" s="311"/>
      <c r="D17" s="311" t="s">
        <v>685</v>
      </c>
      <c r="E17" s="328">
        <f>SUM(E18:E21)</f>
        <v>179375046</v>
      </c>
      <c r="F17" s="328">
        <f>SUM(F18:F21)</f>
        <v>179375046</v>
      </c>
      <c r="G17" s="328">
        <f t="shared" ref="G17:P17" si="2">SUM(G18:G21)</f>
        <v>95820900</v>
      </c>
      <c r="H17" s="328">
        <f t="shared" si="2"/>
        <v>6241293</v>
      </c>
      <c r="I17" s="328">
        <f t="shared" si="2"/>
        <v>0</v>
      </c>
      <c r="J17" s="328">
        <f t="shared" si="2"/>
        <v>465000</v>
      </c>
      <c r="K17" s="328">
        <f t="shared" si="2"/>
        <v>465000</v>
      </c>
      <c r="L17" s="328">
        <f t="shared" si="2"/>
        <v>0</v>
      </c>
      <c r="M17" s="328">
        <f t="shared" si="2"/>
        <v>0</v>
      </c>
      <c r="N17" s="328">
        <f t="shared" si="2"/>
        <v>0</v>
      </c>
      <c r="O17" s="328">
        <f t="shared" si="2"/>
        <v>465000</v>
      </c>
      <c r="P17" s="328">
        <f t="shared" si="2"/>
        <v>179840046</v>
      </c>
      <c r="Q17" s="31"/>
      <c r="R17" s="27"/>
    </row>
    <row r="18" spans="1:18" ht="173.25" customHeight="1" thickTop="1" thickBot="1" x14ac:dyDescent="0.25">
      <c r="A18" s="103" t="s">
        <v>232</v>
      </c>
      <c r="B18" s="103" t="s">
        <v>233</v>
      </c>
      <c r="C18" s="103" t="s">
        <v>234</v>
      </c>
      <c r="D18" s="103" t="s">
        <v>231</v>
      </c>
      <c r="E18" s="328">
        <f t="shared" ref="E18:E44" si="3">F18</f>
        <v>130683646</v>
      </c>
      <c r="F18" s="326">
        <v>130683646</v>
      </c>
      <c r="G18" s="326">
        <v>95820900</v>
      </c>
      <c r="H18" s="326">
        <f>3417000+111000+2275293+350000+88000</f>
        <v>6241293</v>
      </c>
      <c r="I18" s="326"/>
      <c r="J18" s="328">
        <f t="shared" ref="J18:J31" si="4">L18+O18</f>
        <v>465000</v>
      </c>
      <c r="K18" s="326">
        <f>((0)+435000)+30000</f>
        <v>465000</v>
      </c>
      <c r="L18" s="458"/>
      <c r="M18" s="564"/>
      <c r="N18" s="564"/>
      <c r="O18" s="459">
        <f t="shared" ref="O18:O31" si="5">K18</f>
        <v>465000</v>
      </c>
      <c r="P18" s="328">
        <f>+J18+E18</f>
        <v>131148646</v>
      </c>
      <c r="Q18" s="133"/>
      <c r="R18" s="29"/>
    </row>
    <row r="19" spans="1:18" ht="93" hidden="1" thickTop="1" thickBot="1" x14ac:dyDescent="0.25">
      <c r="A19" s="128" t="s">
        <v>584</v>
      </c>
      <c r="B19" s="128" t="s">
        <v>236</v>
      </c>
      <c r="C19" s="128" t="s">
        <v>234</v>
      </c>
      <c r="D19" s="128" t="s">
        <v>235</v>
      </c>
      <c r="E19" s="127">
        <f t="shared" ref="E19" si="6">F19</f>
        <v>0</v>
      </c>
      <c r="F19" s="129"/>
      <c r="G19" s="129"/>
      <c r="H19" s="129"/>
      <c r="I19" s="129"/>
      <c r="J19" s="127">
        <f t="shared" ref="J19" si="7">L19+O19</f>
        <v>0</v>
      </c>
      <c r="K19" s="129"/>
      <c r="L19" s="130"/>
      <c r="M19" s="131"/>
      <c r="N19" s="131"/>
      <c r="O19" s="132">
        <f t="shared" si="5"/>
        <v>0</v>
      </c>
      <c r="P19" s="127">
        <f>+J19+E19</f>
        <v>0</v>
      </c>
      <c r="Q19" s="133"/>
      <c r="R19" s="29"/>
    </row>
    <row r="20" spans="1:18" ht="93" hidden="1" thickTop="1" thickBot="1" x14ac:dyDescent="0.25">
      <c r="A20" s="128" t="s">
        <v>624</v>
      </c>
      <c r="B20" s="128" t="s">
        <v>362</v>
      </c>
      <c r="C20" s="128" t="s">
        <v>625</v>
      </c>
      <c r="D20" s="128" t="s">
        <v>626</v>
      </c>
      <c r="E20" s="127">
        <f t="shared" ref="E20" si="8">F20</f>
        <v>0</v>
      </c>
      <c r="F20" s="129">
        <v>0</v>
      </c>
      <c r="G20" s="129"/>
      <c r="H20" s="129"/>
      <c r="I20" s="129"/>
      <c r="J20" s="127">
        <f t="shared" ref="J20" si="9">L20+O20</f>
        <v>0</v>
      </c>
      <c r="K20" s="129"/>
      <c r="L20" s="130"/>
      <c r="M20" s="131"/>
      <c r="N20" s="131"/>
      <c r="O20" s="132">
        <f t="shared" si="5"/>
        <v>0</v>
      </c>
      <c r="P20" s="127">
        <f>+J20+E20</f>
        <v>0</v>
      </c>
      <c r="Q20" s="133"/>
      <c r="R20" s="30"/>
    </row>
    <row r="21" spans="1:18" ht="48" thickTop="1" thickBot="1" x14ac:dyDescent="0.25">
      <c r="A21" s="103" t="s">
        <v>247</v>
      </c>
      <c r="B21" s="103" t="s">
        <v>43</v>
      </c>
      <c r="C21" s="103" t="s">
        <v>42</v>
      </c>
      <c r="D21" s="103" t="s">
        <v>248</v>
      </c>
      <c r="E21" s="328">
        <f t="shared" si="3"/>
        <v>48691400</v>
      </c>
      <c r="F21" s="462">
        <f>((105141400+20000000-10000000+32000000-67690000+1000000-2000000+30000000)-23310000)-36450000</f>
        <v>48691400</v>
      </c>
      <c r="G21" s="462"/>
      <c r="H21" s="462"/>
      <c r="I21" s="462"/>
      <c r="J21" s="328">
        <f t="shared" si="4"/>
        <v>0</v>
      </c>
      <c r="K21" s="462"/>
      <c r="L21" s="462"/>
      <c r="M21" s="462"/>
      <c r="N21" s="462"/>
      <c r="O21" s="459">
        <f t="shared" si="5"/>
        <v>0</v>
      </c>
      <c r="P21" s="328">
        <f>E21+J21</f>
        <v>48691400</v>
      </c>
      <c r="Q21" s="133"/>
      <c r="R21" s="30"/>
    </row>
    <row r="22" spans="1:18" ht="47.25" thickTop="1" thickBot="1" x14ac:dyDescent="0.25">
      <c r="A22" s="311" t="s">
        <v>1626</v>
      </c>
      <c r="B22" s="311" t="s">
        <v>711</v>
      </c>
      <c r="C22" s="311"/>
      <c r="D22" s="311" t="s">
        <v>712</v>
      </c>
      <c r="E22" s="328">
        <f>E23</f>
        <v>1000000</v>
      </c>
      <c r="F22" s="328">
        <f t="shared" ref="F22:P22" si="10">F23</f>
        <v>1000000</v>
      </c>
      <c r="G22" s="328">
        <f t="shared" si="10"/>
        <v>0</v>
      </c>
      <c r="H22" s="328">
        <f t="shared" si="10"/>
        <v>0</v>
      </c>
      <c r="I22" s="328">
        <f t="shared" si="10"/>
        <v>0</v>
      </c>
      <c r="J22" s="328">
        <f t="shared" si="10"/>
        <v>0</v>
      </c>
      <c r="K22" s="328">
        <f t="shared" si="10"/>
        <v>0</v>
      </c>
      <c r="L22" s="328">
        <f t="shared" si="10"/>
        <v>0</v>
      </c>
      <c r="M22" s="328">
        <f t="shared" si="10"/>
        <v>0</v>
      </c>
      <c r="N22" s="328">
        <f t="shared" si="10"/>
        <v>0</v>
      </c>
      <c r="O22" s="328">
        <f t="shared" si="10"/>
        <v>0</v>
      </c>
      <c r="P22" s="328">
        <f t="shared" si="10"/>
        <v>1000000</v>
      </c>
      <c r="Q22" s="133"/>
      <c r="R22" s="30"/>
    </row>
    <row r="23" spans="1:18" ht="48" thickTop="1" thickBot="1" x14ac:dyDescent="0.25">
      <c r="A23" s="329" t="s">
        <v>1627</v>
      </c>
      <c r="B23" s="329" t="s">
        <v>739</v>
      </c>
      <c r="C23" s="329"/>
      <c r="D23" s="329" t="s">
        <v>740</v>
      </c>
      <c r="E23" s="325">
        <f>E24</f>
        <v>1000000</v>
      </c>
      <c r="F23" s="325">
        <f t="shared" ref="F23:P23" si="11">F24</f>
        <v>1000000</v>
      </c>
      <c r="G23" s="325">
        <f t="shared" si="11"/>
        <v>0</v>
      </c>
      <c r="H23" s="325">
        <f t="shared" si="11"/>
        <v>0</v>
      </c>
      <c r="I23" s="325">
        <f t="shared" si="11"/>
        <v>0</v>
      </c>
      <c r="J23" s="325">
        <f t="shared" si="11"/>
        <v>0</v>
      </c>
      <c r="K23" s="325">
        <f t="shared" si="11"/>
        <v>0</v>
      </c>
      <c r="L23" s="325">
        <f t="shared" si="11"/>
        <v>0</v>
      </c>
      <c r="M23" s="325">
        <f t="shared" si="11"/>
        <v>0</v>
      </c>
      <c r="N23" s="325">
        <f t="shared" si="11"/>
        <v>0</v>
      </c>
      <c r="O23" s="325">
        <f t="shared" si="11"/>
        <v>0</v>
      </c>
      <c r="P23" s="325">
        <f t="shared" si="11"/>
        <v>1000000</v>
      </c>
      <c r="Q23" s="133"/>
      <c r="R23" s="30"/>
    </row>
    <row r="24" spans="1:18" ht="93" thickTop="1" thickBot="1" x14ac:dyDescent="0.25">
      <c r="A24" s="103" t="s">
        <v>1628</v>
      </c>
      <c r="B24" s="103" t="s">
        <v>329</v>
      </c>
      <c r="C24" s="103" t="s">
        <v>191</v>
      </c>
      <c r="D24" s="470" t="s">
        <v>331</v>
      </c>
      <c r="E24" s="328">
        <f t="shared" ref="E24" si="12">F24</f>
        <v>1000000</v>
      </c>
      <c r="F24" s="462">
        <v>1000000</v>
      </c>
      <c r="G24" s="326"/>
      <c r="H24" s="326"/>
      <c r="I24" s="462"/>
      <c r="J24" s="328">
        <f t="shared" ref="J24" si="13">L24+O24</f>
        <v>0</v>
      </c>
      <c r="K24" s="462"/>
      <c r="L24" s="462"/>
      <c r="M24" s="462"/>
      <c r="N24" s="462"/>
      <c r="O24" s="459">
        <f>(K24)</f>
        <v>0</v>
      </c>
      <c r="P24" s="328">
        <f t="shared" ref="P24" si="14">E24+J24</f>
        <v>1000000</v>
      </c>
      <c r="Q24" s="133"/>
      <c r="R24" s="30"/>
    </row>
    <row r="25" spans="1:18" s="28" customFormat="1" ht="47.25" thickTop="1" thickBot="1" x14ac:dyDescent="0.3">
      <c r="A25" s="311" t="s">
        <v>747</v>
      </c>
      <c r="B25" s="311" t="s">
        <v>748</v>
      </c>
      <c r="C25" s="311"/>
      <c r="D25" s="311" t="s">
        <v>749</v>
      </c>
      <c r="E25" s="328">
        <f t="shared" ref="E25:P25" si="15">SUM(E26:E35)-E26-E29-E32</f>
        <v>8074335</v>
      </c>
      <c r="F25" s="328">
        <f t="shared" si="15"/>
        <v>8074335</v>
      </c>
      <c r="G25" s="328">
        <f t="shared" si="15"/>
        <v>0</v>
      </c>
      <c r="H25" s="328">
        <f t="shared" si="15"/>
        <v>0</v>
      </c>
      <c r="I25" s="328">
        <f t="shared" si="15"/>
        <v>0</v>
      </c>
      <c r="J25" s="328">
        <f t="shared" si="15"/>
        <v>5215800</v>
      </c>
      <c r="K25" s="328">
        <f t="shared" si="15"/>
        <v>0</v>
      </c>
      <c r="L25" s="328">
        <f t="shared" si="15"/>
        <v>4350400</v>
      </c>
      <c r="M25" s="328">
        <f t="shared" si="15"/>
        <v>0</v>
      </c>
      <c r="N25" s="328">
        <f t="shared" si="15"/>
        <v>0</v>
      </c>
      <c r="O25" s="328">
        <f t="shared" si="15"/>
        <v>865400</v>
      </c>
      <c r="P25" s="328">
        <f t="shared" si="15"/>
        <v>13290135</v>
      </c>
      <c r="Q25" s="135"/>
      <c r="R25" s="31"/>
    </row>
    <row r="26" spans="1:18" s="33" customFormat="1" ht="47.25" thickTop="1" thickBot="1" x14ac:dyDescent="0.25">
      <c r="A26" s="313" t="s">
        <v>686</v>
      </c>
      <c r="B26" s="313" t="s">
        <v>687</v>
      </c>
      <c r="C26" s="313"/>
      <c r="D26" s="313" t="s">
        <v>688</v>
      </c>
      <c r="E26" s="315">
        <f t="shared" ref="E26:P26" si="16">SUM(E27:E28)</f>
        <v>5383000</v>
      </c>
      <c r="F26" s="315">
        <f t="shared" si="16"/>
        <v>5383000</v>
      </c>
      <c r="G26" s="315">
        <f t="shared" si="16"/>
        <v>0</v>
      </c>
      <c r="H26" s="315">
        <f t="shared" si="16"/>
        <v>0</v>
      </c>
      <c r="I26" s="315">
        <f t="shared" si="16"/>
        <v>0</v>
      </c>
      <c r="J26" s="315">
        <f t="shared" si="16"/>
        <v>0</v>
      </c>
      <c r="K26" s="315">
        <f t="shared" si="16"/>
        <v>0</v>
      </c>
      <c r="L26" s="315">
        <f t="shared" si="16"/>
        <v>0</v>
      </c>
      <c r="M26" s="315">
        <f t="shared" si="16"/>
        <v>0</v>
      </c>
      <c r="N26" s="315">
        <f t="shared" si="16"/>
        <v>0</v>
      </c>
      <c r="O26" s="315">
        <f t="shared" si="16"/>
        <v>0</v>
      </c>
      <c r="P26" s="315">
        <f t="shared" si="16"/>
        <v>5383000</v>
      </c>
      <c r="Q26" s="138"/>
      <c r="R26" s="32"/>
    </row>
    <row r="27" spans="1:18" ht="48" thickTop="1" thickBot="1" x14ac:dyDescent="0.25">
      <c r="A27" s="103" t="s">
        <v>238</v>
      </c>
      <c r="B27" s="103" t="s">
        <v>239</v>
      </c>
      <c r="C27" s="103" t="s">
        <v>240</v>
      </c>
      <c r="D27" s="103" t="s">
        <v>237</v>
      </c>
      <c r="E27" s="328">
        <f t="shared" si="3"/>
        <v>5383000</v>
      </c>
      <c r="F27" s="462">
        <f>(4883000)+500000</f>
        <v>5383000</v>
      </c>
      <c r="G27" s="462"/>
      <c r="H27" s="462"/>
      <c r="I27" s="462"/>
      <c r="J27" s="328">
        <f t="shared" si="4"/>
        <v>0</v>
      </c>
      <c r="K27" s="462"/>
      <c r="L27" s="462"/>
      <c r="M27" s="462"/>
      <c r="N27" s="462"/>
      <c r="O27" s="459">
        <f t="shared" si="5"/>
        <v>0</v>
      </c>
      <c r="P27" s="328">
        <f>+J27+E27</f>
        <v>5383000</v>
      </c>
      <c r="Q27" s="133"/>
      <c r="R27" s="29"/>
    </row>
    <row r="28" spans="1:18" ht="93" hidden="1" thickTop="1" thickBot="1" x14ac:dyDescent="0.25">
      <c r="A28" s="41" t="s">
        <v>976</v>
      </c>
      <c r="B28" s="41" t="s">
        <v>977</v>
      </c>
      <c r="C28" s="41" t="s">
        <v>240</v>
      </c>
      <c r="D28" s="41" t="s">
        <v>978</v>
      </c>
      <c r="E28" s="127">
        <f t="shared" si="3"/>
        <v>0</v>
      </c>
      <c r="F28" s="134">
        <v>0</v>
      </c>
      <c r="G28" s="134"/>
      <c r="H28" s="134"/>
      <c r="I28" s="134"/>
      <c r="J28" s="127">
        <f t="shared" si="4"/>
        <v>0</v>
      </c>
      <c r="K28" s="43"/>
      <c r="L28" s="43"/>
      <c r="M28" s="43"/>
      <c r="N28" s="43"/>
      <c r="O28" s="44"/>
      <c r="P28" s="42">
        <f>+J28+E28</f>
        <v>0</v>
      </c>
      <c r="Q28" s="133"/>
      <c r="R28" s="29"/>
    </row>
    <row r="29" spans="1:18" ht="47.25" thickTop="1" thickBot="1" x14ac:dyDescent="0.25">
      <c r="A29" s="313" t="s">
        <v>690</v>
      </c>
      <c r="B29" s="313" t="s">
        <v>691</v>
      </c>
      <c r="C29" s="313"/>
      <c r="D29" s="313" t="s">
        <v>689</v>
      </c>
      <c r="E29" s="315">
        <f>SUM(E31)+E32+E30</f>
        <v>2691335</v>
      </c>
      <c r="F29" s="315">
        <f t="shared" ref="F29:P29" si="17">SUM(F31)+F32+F30</f>
        <v>2691335</v>
      </c>
      <c r="G29" s="315">
        <f t="shared" si="17"/>
        <v>0</v>
      </c>
      <c r="H29" s="315">
        <f t="shared" si="17"/>
        <v>0</v>
      </c>
      <c r="I29" s="315">
        <f t="shared" si="17"/>
        <v>0</v>
      </c>
      <c r="J29" s="315">
        <f t="shared" si="17"/>
        <v>5215800</v>
      </c>
      <c r="K29" s="315">
        <f t="shared" si="17"/>
        <v>0</v>
      </c>
      <c r="L29" s="315">
        <f t="shared" si="17"/>
        <v>4350400</v>
      </c>
      <c r="M29" s="315">
        <f t="shared" si="17"/>
        <v>0</v>
      </c>
      <c r="N29" s="315">
        <f t="shared" si="17"/>
        <v>0</v>
      </c>
      <c r="O29" s="315">
        <f t="shared" si="17"/>
        <v>865400</v>
      </c>
      <c r="P29" s="315">
        <f t="shared" si="17"/>
        <v>7907135</v>
      </c>
      <c r="Q29" s="139"/>
      <c r="R29" s="34"/>
    </row>
    <row r="30" spans="1:18" ht="48" hidden="1" thickTop="1" thickBot="1" x14ac:dyDescent="0.25">
      <c r="A30" s="103" t="s">
        <v>1404</v>
      </c>
      <c r="B30" s="103" t="s">
        <v>212</v>
      </c>
      <c r="C30" s="103" t="s">
        <v>213</v>
      </c>
      <c r="D30" s="103" t="s">
        <v>41</v>
      </c>
      <c r="E30" s="328">
        <f t="shared" si="3"/>
        <v>0</v>
      </c>
      <c r="F30" s="462"/>
      <c r="G30" s="462"/>
      <c r="H30" s="462"/>
      <c r="I30" s="462"/>
      <c r="J30" s="328">
        <f t="shared" si="4"/>
        <v>0</v>
      </c>
      <c r="K30" s="462"/>
      <c r="L30" s="462"/>
      <c r="M30" s="462"/>
      <c r="N30" s="462"/>
      <c r="O30" s="459">
        <f t="shared" si="5"/>
        <v>0</v>
      </c>
      <c r="P30" s="328">
        <f>+J30+E30</f>
        <v>0</v>
      </c>
      <c r="Q30" s="139"/>
      <c r="R30" s="34"/>
    </row>
    <row r="31" spans="1:18" ht="48" thickTop="1" thickBot="1" x14ac:dyDescent="0.25">
      <c r="A31" s="103" t="s">
        <v>299</v>
      </c>
      <c r="B31" s="103" t="s">
        <v>300</v>
      </c>
      <c r="C31" s="103" t="s">
        <v>170</v>
      </c>
      <c r="D31" s="103" t="s">
        <v>442</v>
      </c>
      <c r="E31" s="328">
        <f t="shared" si="3"/>
        <v>329335</v>
      </c>
      <c r="F31" s="462">
        <v>329335</v>
      </c>
      <c r="G31" s="462"/>
      <c r="H31" s="462"/>
      <c r="I31" s="462"/>
      <c r="J31" s="328">
        <f t="shared" si="4"/>
        <v>0</v>
      </c>
      <c r="K31" s="462"/>
      <c r="L31" s="462"/>
      <c r="M31" s="462"/>
      <c r="N31" s="462"/>
      <c r="O31" s="459">
        <f t="shared" si="5"/>
        <v>0</v>
      </c>
      <c r="P31" s="328">
        <f>+J31+E31</f>
        <v>329335</v>
      </c>
      <c r="Q31" s="133"/>
      <c r="R31" s="30"/>
    </row>
    <row r="32" spans="1:18" ht="48" thickTop="1" thickBot="1" x14ac:dyDescent="0.25">
      <c r="A32" s="329" t="s">
        <v>693</v>
      </c>
      <c r="B32" s="329" t="s">
        <v>694</v>
      </c>
      <c r="C32" s="329"/>
      <c r="D32" s="566" t="s">
        <v>692</v>
      </c>
      <c r="E32" s="325">
        <f>SUM(E33:E35)</f>
        <v>2362000</v>
      </c>
      <c r="F32" s="325">
        <f t="shared" ref="F32:O32" si="18">SUM(F33:F35)</f>
        <v>2362000</v>
      </c>
      <c r="G32" s="325">
        <f t="shared" si="18"/>
        <v>0</v>
      </c>
      <c r="H32" s="325">
        <f t="shared" si="18"/>
        <v>0</v>
      </c>
      <c r="I32" s="325">
        <f t="shared" si="18"/>
        <v>0</v>
      </c>
      <c r="J32" s="325">
        <f t="shared" si="18"/>
        <v>5215800</v>
      </c>
      <c r="K32" s="325">
        <f t="shared" si="18"/>
        <v>0</v>
      </c>
      <c r="L32" s="325">
        <f t="shared" si="18"/>
        <v>4350400</v>
      </c>
      <c r="M32" s="325">
        <f t="shared" si="18"/>
        <v>0</v>
      </c>
      <c r="N32" s="325">
        <f t="shared" si="18"/>
        <v>0</v>
      </c>
      <c r="O32" s="325">
        <f t="shared" si="18"/>
        <v>865400</v>
      </c>
      <c r="P32" s="325">
        <f>E32+J32</f>
        <v>7577800</v>
      </c>
      <c r="Q32" s="139"/>
      <c r="R32" s="35"/>
    </row>
    <row r="33" spans="1:18" s="33" customFormat="1" ht="156.75" customHeight="1" thickTop="1" thickBot="1" x14ac:dyDescent="0.7">
      <c r="A33" s="796" t="s">
        <v>339</v>
      </c>
      <c r="B33" s="796" t="s">
        <v>338</v>
      </c>
      <c r="C33" s="796" t="s">
        <v>170</v>
      </c>
      <c r="D33" s="567" t="s">
        <v>440</v>
      </c>
      <c r="E33" s="826">
        <f t="shared" si="3"/>
        <v>0</v>
      </c>
      <c r="F33" s="801"/>
      <c r="G33" s="801"/>
      <c r="H33" s="801"/>
      <c r="I33" s="801"/>
      <c r="J33" s="827">
        <f>L33+O33</f>
        <v>5215800</v>
      </c>
      <c r="K33" s="801"/>
      <c r="L33" s="801">
        <f>2604400+176000+570000+1000000</f>
        <v>4350400</v>
      </c>
      <c r="M33" s="801"/>
      <c r="N33" s="801"/>
      <c r="O33" s="822">
        <v>865400</v>
      </c>
      <c r="P33" s="824">
        <f>E33+J33</f>
        <v>5215800</v>
      </c>
      <c r="Q33" s="142"/>
      <c r="R33" s="36"/>
    </row>
    <row r="34" spans="1:18" s="33" customFormat="1" ht="120.75" customHeight="1" thickTop="1" thickBot="1" x14ac:dyDescent="0.25">
      <c r="A34" s="804"/>
      <c r="B34" s="803"/>
      <c r="C34" s="804"/>
      <c r="D34" s="568" t="s">
        <v>441</v>
      </c>
      <c r="E34" s="804"/>
      <c r="F34" s="802"/>
      <c r="G34" s="802"/>
      <c r="H34" s="802"/>
      <c r="I34" s="802"/>
      <c r="J34" s="828"/>
      <c r="K34" s="802"/>
      <c r="L34" s="802"/>
      <c r="M34" s="802"/>
      <c r="N34" s="802"/>
      <c r="O34" s="823"/>
      <c r="P34" s="825"/>
      <c r="Q34" s="36"/>
      <c r="R34" s="36"/>
    </row>
    <row r="35" spans="1:18" s="33" customFormat="1" ht="48" thickTop="1" thickBot="1" x14ac:dyDescent="0.25">
      <c r="A35" s="103" t="s">
        <v>914</v>
      </c>
      <c r="B35" s="103" t="s">
        <v>257</v>
      </c>
      <c r="C35" s="103" t="s">
        <v>170</v>
      </c>
      <c r="D35" s="103" t="s">
        <v>255</v>
      </c>
      <c r="E35" s="328">
        <f>F35</f>
        <v>2362000</v>
      </c>
      <c r="F35" s="462">
        <v>2362000</v>
      </c>
      <c r="G35" s="462"/>
      <c r="H35" s="462"/>
      <c r="I35" s="462"/>
      <c r="J35" s="328">
        <f>L35+O35</f>
        <v>0</v>
      </c>
      <c r="K35" s="462"/>
      <c r="L35" s="462"/>
      <c r="M35" s="462"/>
      <c r="N35" s="462"/>
      <c r="O35" s="459"/>
      <c r="P35" s="328">
        <f>E35+J35</f>
        <v>2362000</v>
      </c>
      <c r="Q35" s="36"/>
      <c r="R35" s="36"/>
    </row>
    <row r="36" spans="1:18" s="33" customFormat="1" ht="46.5" customHeight="1" thickTop="1" thickBot="1" x14ac:dyDescent="0.25">
      <c r="A36" s="311" t="s">
        <v>695</v>
      </c>
      <c r="B36" s="311" t="s">
        <v>696</v>
      </c>
      <c r="C36" s="311"/>
      <c r="D36" s="311" t="s">
        <v>697</v>
      </c>
      <c r="E36" s="328">
        <f t="shared" ref="E36:P36" si="19">E40+E37</f>
        <v>52917999</v>
      </c>
      <c r="F36" s="328">
        <f t="shared" si="19"/>
        <v>52917999</v>
      </c>
      <c r="G36" s="328">
        <f t="shared" si="19"/>
        <v>0</v>
      </c>
      <c r="H36" s="328">
        <f t="shared" si="19"/>
        <v>0</v>
      </c>
      <c r="I36" s="328">
        <f t="shared" si="19"/>
        <v>0</v>
      </c>
      <c r="J36" s="328">
        <f t="shared" si="19"/>
        <v>129389406.34</v>
      </c>
      <c r="K36" s="328">
        <f t="shared" si="19"/>
        <v>129389406.34</v>
      </c>
      <c r="L36" s="328">
        <f t="shared" si="19"/>
        <v>0</v>
      </c>
      <c r="M36" s="328">
        <f t="shared" si="19"/>
        <v>0</v>
      </c>
      <c r="N36" s="328">
        <f t="shared" si="19"/>
        <v>0</v>
      </c>
      <c r="O36" s="328">
        <f t="shared" si="19"/>
        <v>129389406.34</v>
      </c>
      <c r="P36" s="328">
        <f t="shared" si="19"/>
        <v>182307405.34</v>
      </c>
      <c r="Q36" s="36"/>
      <c r="R36" s="36"/>
    </row>
    <row r="37" spans="1:18" s="33" customFormat="1" ht="47.25" thickTop="1" thickBot="1" x14ac:dyDescent="0.25">
      <c r="A37" s="313" t="s">
        <v>1185</v>
      </c>
      <c r="B37" s="313" t="s">
        <v>1186</v>
      </c>
      <c r="C37" s="313"/>
      <c r="D37" s="313" t="s">
        <v>1184</v>
      </c>
      <c r="E37" s="315">
        <f t="shared" ref="E37:P37" si="20">SUM(E38:E39)</f>
        <v>42717999</v>
      </c>
      <c r="F37" s="315">
        <f t="shared" si="20"/>
        <v>42717999</v>
      </c>
      <c r="G37" s="315">
        <f t="shared" si="20"/>
        <v>0</v>
      </c>
      <c r="H37" s="315">
        <f t="shared" si="20"/>
        <v>0</v>
      </c>
      <c r="I37" s="315">
        <f t="shared" si="20"/>
        <v>0</v>
      </c>
      <c r="J37" s="315">
        <f t="shared" si="20"/>
        <v>129389406.34</v>
      </c>
      <c r="K37" s="315">
        <f t="shared" si="20"/>
        <v>129389406.34</v>
      </c>
      <c r="L37" s="315">
        <f t="shared" si="20"/>
        <v>0</v>
      </c>
      <c r="M37" s="315">
        <f t="shared" si="20"/>
        <v>0</v>
      </c>
      <c r="N37" s="315">
        <f t="shared" si="20"/>
        <v>0</v>
      </c>
      <c r="O37" s="315">
        <f t="shared" si="20"/>
        <v>129389406.34</v>
      </c>
      <c r="P37" s="315">
        <f t="shared" si="20"/>
        <v>172107405.34</v>
      </c>
      <c r="Q37" s="36"/>
      <c r="R37" s="36"/>
    </row>
    <row r="38" spans="1:18" s="33" customFormat="1" ht="48" thickTop="1" thickBot="1" x14ac:dyDescent="0.25">
      <c r="A38" s="103" t="s">
        <v>1212</v>
      </c>
      <c r="B38" s="103" t="s">
        <v>1213</v>
      </c>
      <c r="C38" s="103" t="s">
        <v>1188</v>
      </c>
      <c r="D38" s="103" t="s">
        <v>1214</v>
      </c>
      <c r="E38" s="328">
        <f>F38</f>
        <v>32000000</v>
      </c>
      <c r="F38" s="462">
        <f>(5000000+3000000+8000000+10000000)+6000000</f>
        <v>32000000</v>
      </c>
      <c r="G38" s="462"/>
      <c r="H38" s="462"/>
      <c r="I38" s="462"/>
      <c r="J38" s="328">
        <f>L38+O38</f>
        <v>125500000</v>
      </c>
      <c r="K38" s="462">
        <f>((25000000+15000000)+60500000)+25000000</f>
        <v>125500000</v>
      </c>
      <c r="L38" s="462"/>
      <c r="M38" s="462"/>
      <c r="N38" s="462"/>
      <c r="O38" s="459">
        <f>K38</f>
        <v>125500000</v>
      </c>
      <c r="P38" s="328">
        <f>E38+J38</f>
        <v>157500000</v>
      </c>
      <c r="Q38" s="36"/>
      <c r="R38" s="36"/>
    </row>
    <row r="39" spans="1:18" s="33" customFormat="1" ht="48" thickTop="1" thickBot="1" x14ac:dyDescent="0.25">
      <c r="A39" s="103" t="s">
        <v>1189</v>
      </c>
      <c r="B39" s="103" t="s">
        <v>1190</v>
      </c>
      <c r="C39" s="103" t="s">
        <v>1188</v>
      </c>
      <c r="D39" s="103" t="s">
        <v>1187</v>
      </c>
      <c r="E39" s="328">
        <f>F39</f>
        <v>10717999</v>
      </c>
      <c r="F39" s="462">
        <f>(8862000)+760769+200000+370480+40000+435000+49750</f>
        <v>10717999</v>
      </c>
      <c r="G39" s="462"/>
      <c r="H39" s="462"/>
      <c r="I39" s="462"/>
      <c r="J39" s="328">
        <f>L39+O39</f>
        <v>3889406.34</v>
      </c>
      <c r="K39" s="462">
        <f>(0)+739231+1266175.34+1250000+124000+25000+485000</f>
        <v>3889406.34</v>
      </c>
      <c r="L39" s="462"/>
      <c r="M39" s="462"/>
      <c r="N39" s="462"/>
      <c r="O39" s="459">
        <f>K39</f>
        <v>3889406.34</v>
      </c>
      <c r="P39" s="328">
        <f>E39+J39</f>
        <v>14607405.34</v>
      </c>
      <c r="Q39" s="36"/>
      <c r="R39" s="36"/>
    </row>
    <row r="40" spans="1:18" s="33" customFormat="1" ht="47.25" thickTop="1" thickBot="1" x14ac:dyDescent="0.25">
      <c r="A40" s="313" t="s">
        <v>698</v>
      </c>
      <c r="B40" s="313" t="s">
        <v>699</v>
      </c>
      <c r="C40" s="313"/>
      <c r="D40" s="313" t="s">
        <v>700</v>
      </c>
      <c r="E40" s="315">
        <f>SUM(E41)</f>
        <v>10200000</v>
      </c>
      <c r="F40" s="315">
        <f t="shared" ref="F40:P40" si="21">SUM(F41)</f>
        <v>10200000</v>
      </c>
      <c r="G40" s="315">
        <f t="shared" si="21"/>
        <v>0</v>
      </c>
      <c r="H40" s="315">
        <f t="shared" si="21"/>
        <v>0</v>
      </c>
      <c r="I40" s="315">
        <f t="shared" si="21"/>
        <v>0</v>
      </c>
      <c r="J40" s="315">
        <f t="shared" si="21"/>
        <v>0</v>
      </c>
      <c r="K40" s="315">
        <f t="shared" si="21"/>
        <v>0</v>
      </c>
      <c r="L40" s="315">
        <f t="shared" si="21"/>
        <v>0</v>
      </c>
      <c r="M40" s="315">
        <f t="shared" si="21"/>
        <v>0</v>
      </c>
      <c r="N40" s="315">
        <f t="shared" si="21"/>
        <v>0</v>
      </c>
      <c r="O40" s="315">
        <f t="shared" si="21"/>
        <v>0</v>
      </c>
      <c r="P40" s="315">
        <f t="shared" si="21"/>
        <v>10200000</v>
      </c>
      <c r="Q40" s="36"/>
    </row>
    <row r="41" spans="1:18" ht="48" thickTop="1" thickBot="1" x14ac:dyDescent="0.25">
      <c r="A41" s="103" t="s">
        <v>241</v>
      </c>
      <c r="B41" s="103" t="s">
        <v>242</v>
      </c>
      <c r="C41" s="103" t="s">
        <v>243</v>
      </c>
      <c r="D41" s="103" t="s">
        <v>244</v>
      </c>
      <c r="E41" s="328">
        <f>F41</f>
        <v>10200000</v>
      </c>
      <c r="F41" s="462">
        <v>10200000</v>
      </c>
      <c r="G41" s="462"/>
      <c r="H41" s="462"/>
      <c r="I41" s="462"/>
      <c r="J41" s="328">
        <f>L41+O41</f>
        <v>0</v>
      </c>
      <c r="K41" s="462">
        <v>0</v>
      </c>
      <c r="L41" s="462"/>
      <c r="M41" s="462"/>
      <c r="N41" s="462"/>
      <c r="O41" s="459">
        <f>K41</f>
        <v>0</v>
      </c>
      <c r="P41" s="328">
        <f>E41+J41</f>
        <v>10200000</v>
      </c>
      <c r="Q41" s="20"/>
    </row>
    <row r="42" spans="1:18" ht="47.25" thickTop="1" thickBot="1" x14ac:dyDescent="0.25">
      <c r="A42" s="311" t="s">
        <v>701</v>
      </c>
      <c r="B42" s="311" t="s">
        <v>702</v>
      </c>
      <c r="C42" s="311"/>
      <c r="D42" s="311" t="s">
        <v>703</v>
      </c>
      <c r="E42" s="328">
        <f>E43+E46</f>
        <v>107707736.14</v>
      </c>
      <c r="F42" s="328">
        <f t="shared" ref="F42:P42" si="22">F43+F46</f>
        <v>107707736.14</v>
      </c>
      <c r="G42" s="328">
        <f t="shared" si="22"/>
        <v>0</v>
      </c>
      <c r="H42" s="328">
        <f t="shared" si="22"/>
        <v>0</v>
      </c>
      <c r="I42" s="328">
        <f t="shared" si="22"/>
        <v>0</v>
      </c>
      <c r="J42" s="328">
        <f t="shared" si="22"/>
        <v>154248831.86000001</v>
      </c>
      <c r="K42" s="328">
        <f t="shared" si="22"/>
        <v>154248831.86000001</v>
      </c>
      <c r="L42" s="328">
        <f t="shared" si="22"/>
        <v>0</v>
      </c>
      <c r="M42" s="328">
        <f t="shared" si="22"/>
        <v>0</v>
      </c>
      <c r="N42" s="328">
        <f t="shared" si="22"/>
        <v>0</v>
      </c>
      <c r="O42" s="328">
        <f t="shared" si="22"/>
        <v>154248831.86000001</v>
      </c>
      <c r="P42" s="328">
        <f t="shared" si="22"/>
        <v>261956568</v>
      </c>
      <c r="Q42" s="20"/>
    </row>
    <row r="43" spans="1:18" s="33" customFormat="1" ht="136.5" thickTop="1" thickBot="1" x14ac:dyDescent="0.25">
      <c r="A43" s="313" t="s">
        <v>704</v>
      </c>
      <c r="B43" s="313" t="s">
        <v>705</v>
      </c>
      <c r="C43" s="313"/>
      <c r="D43" s="313" t="s">
        <v>706</v>
      </c>
      <c r="E43" s="315">
        <f>SUM(E44:E45)</f>
        <v>1333600</v>
      </c>
      <c r="F43" s="315">
        <f t="shared" ref="F43:P43" si="23">SUM(F44:F45)</f>
        <v>1333600</v>
      </c>
      <c r="G43" s="315">
        <f t="shared" si="23"/>
        <v>0</v>
      </c>
      <c r="H43" s="315">
        <f t="shared" si="23"/>
        <v>0</v>
      </c>
      <c r="I43" s="315">
        <f t="shared" si="23"/>
        <v>0</v>
      </c>
      <c r="J43" s="315">
        <f t="shared" si="23"/>
        <v>0</v>
      </c>
      <c r="K43" s="315">
        <f t="shared" si="23"/>
        <v>0</v>
      </c>
      <c r="L43" s="315">
        <f t="shared" si="23"/>
        <v>0</v>
      </c>
      <c r="M43" s="315">
        <f t="shared" si="23"/>
        <v>0</v>
      </c>
      <c r="N43" s="315">
        <f t="shared" si="23"/>
        <v>0</v>
      </c>
      <c r="O43" s="315">
        <f t="shared" si="23"/>
        <v>0</v>
      </c>
      <c r="P43" s="315">
        <f t="shared" si="23"/>
        <v>1333600</v>
      </c>
      <c r="Q43" s="36"/>
      <c r="R43" s="36"/>
    </row>
    <row r="44" spans="1:18" ht="138.75" thickTop="1" thickBot="1" x14ac:dyDescent="0.25">
      <c r="A44" s="103" t="s">
        <v>245</v>
      </c>
      <c r="B44" s="103" t="s">
        <v>246</v>
      </c>
      <c r="C44" s="103" t="s">
        <v>43</v>
      </c>
      <c r="D44" s="103" t="s">
        <v>443</v>
      </c>
      <c r="E44" s="328">
        <f t="shared" si="3"/>
        <v>1178000</v>
      </c>
      <c r="F44" s="462">
        <v>1178000</v>
      </c>
      <c r="G44" s="462"/>
      <c r="H44" s="462"/>
      <c r="I44" s="462"/>
      <c r="J44" s="328">
        <f>L44+O44</f>
        <v>0</v>
      </c>
      <c r="K44" s="462"/>
      <c r="L44" s="462"/>
      <c r="M44" s="462"/>
      <c r="N44" s="462"/>
      <c r="O44" s="459">
        <f>K44</f>
        <v>0</v>
      </c>
      <c r="P44" s="328">
        <f>E44+J44</f>
        <v>1178000</v>
      </c>
      <c r="Q44" s="20"/>
    </row>
    <row r="45" spans="1:18" ht="48" thickTop="1" thickBot="1" x14ac:dyDescent="0.25">
      <c r="A45" s="103" t="s">
        <v>575</v>
      </c>
      <c r="B45" s="103" t="s">
        <v>363</v>
      </c>
      <c r="C45" s="103" t="s">
        <v>43</v>
      </c>
      <c r="D45" s="103" t="s">
        <v>364</v>
      </c>
      <c r="E45" s="328">
        <f t="shared" ref="E45:E46" si="24">F45</f>
        <v>155600</v>
      </c>
      <c r="F45" s="462">
        <v>155600</v>
      </c>
      <c r="G45" s="462"/>
      <c r="H45" s="462"/>
      <c r="I45" s="462"/>
      <c r="J45" s="328">
        <f>L45+O45</f>
        <v>0</v>
      </c>
      <c r="K45" s="462">
        <f>(1000000)-1000000</f>
        <v>0</v>
      </c>
      <c r="L45" s="462"/>
      <c r="M45" s="462"/>
      <c r="N45" s="462"/>
      <c r="O45" s="459">
        <f>K45</f>
        <v>0</v>
      </c>
      <c r="P45" s="328">
        <f>E45+J45</f>
        <v>155600</v>
      </c>
      <c r="Q45" s="20"/>
    </row>
    <row r="46" spans="1:18" ht="91.5" thickTop="1" thickBot="1" x14ac:dyDescent="0.25">
      <c r="A46" s="313" t="s">
        <v>513</v>
      </c>
      <c r="B46" s="313" t="s">
        <v>514</v>
      </c>
      <c r="C46" s="313" t="s">
        <v>43</v>
      </c>
      <c r="D46" s="313" t="s">
        <v>515</v>
      </c>
      <c r="E46" s="315">
        <f t="shared" si="24"/>
        <v>106374136.14</v>
      </c>
      <c r="F46" s="315">
        <f>((40873318.14-300000+2000000)+58713600)+5262218-400000+225000</f>
        <v>106374136.14</v>
      </c>
      <c r="G46" s="137"/>
      <c r="H46" s="137"/>
      <c r="I46" s="137"/>
      <c r="J46" s="315">
        <f>L46+O46</f>
        <v>154248831.86000001</v>
      </c>
      <c r="K46" s="462">
        <f>((26816681.86-700000)+100285900)+28871250-800000-10025000+9800000</f>
        <v>154248831.86000001</v>
      </c>
      <c r="L46" s="315"/>
      <c r="M46" s="315"/>
      <c r="N46" s="315"/>
      <c r="O46" s="315">
        <f>K46</f>
        <v>154248831.86000001</v>
      </c>
      <c r="P46" s="315">
        <f>E46+J46</f>
        <v>260622968</v>
      </c>
      <c r="Q46" s="20"/>
      <c r="R46" s="26"/>
    </row>
    <row r="47" spans="1:18" ht="120" customHeight="1" thickTop="1" thickBot="1" x14ac:dyDescent="0.25">
      <c r="A47" s="661" t="s">
        <v>152</v>
      </c>
      <c r="B47" s="661"/>
      <c r="C47" s="661"/>
      <c r="D47" s="662" t="s">
        <v>0</v>
      </c>
      <c r="E47" s="663">
        <f>E48</f>
        <v>2211534097.8899999</v>
      </c>
      <c r="F47" s="664">
        <f t="shared" ref="F47" si="25">F48</f>
        <v>2211534097.8899999</v>
      </c>
      <c r="G47" s="664">
        <f>G48</f>
        <v>1496710581.3899999</v>
      </c>
      <c r="H47" s="664">
        <f>H48</f>
        <v>170779075.50999999</v>
      </c>
      <c r="I47" s="664">
        <f t="shared" ref="I47" si="26">I48</f>
        <v>0</v>
      </c>
      <c r="J47" s="663">
        <f>J48</f>
        <v>349743544.94</v>
      </c>
      <c r="K47" s="664">
        <f>K48</f>
        <v>131568144.78999999</v>
      </c>
      <c r="L47" s="664">
        <f>L48</f>
        <v>206199448.15000001</v>
      </c>
      <c r="M47" s="664">
        <f t="shared" ref="M47" si="27">M48</f>
        <v>53811110</v>
      </c>
      <c r="N47" s="664">
        <f>N48</f>
        <v>17336870</v>
      </c>
      <c r="O47" s="663">
        <f>O48</f>
        <v>143544096.78999999</v>
      </c>
      <c r="P47" s="664">
        <f t="shared" ref="P47" si="28">P48</f>
        <v>2561277642.8299999</v>
      </c>
      <c r="Q47" s="20"/>
    </row>
    <row r="48" spans="1:18" ht="120" customHeight="1" thickTop="1" thickBot="1" x14ac:dyDescent="0.25">
      <c r="A48" s="658" t="s">
        <v>153</v>
      </c>
      <c r="B48" s="658"/>
      <c r="C48" s="658"/>
      <c r="D48" s="659" t="s">
        <v>1</v>
      </c>
      <c r="E48" s="660">
        <f>E49+E92+E104+E95+E101</f>
        <v>2211534097.8899999</v>
      </c>
      <c r="F48" s="660">
        <f>F49+F92+F104+F95+F101</f>
        <v>2211534097.8899999</v>
      </c>
      <c r="G48" s="660">
        <f>G49+G92+G104+G95+G101</f>
        <v>1496710581.3899999</v>
      </c>
      <c r="H48" s="660">
        <f>H49+H92+H104+H95+H101</f>
        <v>170779075.50999999</v>
      </c>
      <c r="I48" s="660">
        <f>I49+I92+I104+I95+I101</f>
        <v>0</v>
      </c>
      <c r="J48" s="660">
        <f>L48+O48</f>
        <v>349743544.94</v>
      </c>
      <c r="K48" s="660">
        <f>K49+K92+K104+K95+K101</f>
        <v>131568144.78999999</v>
      </c>
      <c r="L48" s="660">
        <f>L49+L92+L104+L95+L101</f>
        <v>206199448.15000001</v>
      </c>
      <c r="M48" s="660">
        <f>M49+M92+M104+M95+M101</f>
        <v>53811110</v>
      </c>
      <c r="N48" s="660">
        <f>N49+N92+N104+N95+N101</f>
        <v>17336870</v>
      </c>
      <c r="O48" s="660">
        <f>O49+O92+O104+O95+O101</f>
        <v>143544096.78999999</v>
      </c>
      <c r="P48" s="660">
        <f>E48+J48</f>
        <v>2561277642.8299999</v>
      </c>
      <c r="Q48" s="565" t="b">
        <f>P48=P50+P52+P53+P54+P56+P57+P60+P62+P63+P65+P66+P68+P69+P70+P84+P93+P94+P98+P100+P59+P90+P91+P78+P79+P81+P82</f>
        <v>1</v>
      </c>
      <c r="R48" s="26"/>
    </row>
    <row r="49" spans="1:20" ht="47.25" thickTop="1" thickBot="1" x14ac:dyDescent="0.25">
      <c r="A49" s="311" t="s">
        <v>707</v>
      </c>
      <c r="B49" s="311" t="s">
        <v>708</v>
      </c>
      <c r="C49" s="311"/>
      <c r="D49" s="311" t="s">
        <v>709</v>
      </c>
      <c r="E49" s="328">
        <f>E50+E51+E55+E60+E61+E64+E67+E70+E71+E78+E58+E79+E74+E80+E83+E86+E89</f>
        <v>2209059497.8899999</v>
      </c>
      <c r="F49" s="328">
        <f t="shared" ref="F49:I49" si="29">F50+F51+F55+F60+F61+F64+F67+F70+F71+F78+F58+F79+F74+F80+F83+F86+F89</f>
        <v>2209059497.8899999</v>
      </c>
      <c r="G49" s="328">
        <f t="shared" si="29"/>
        <v>1496710581.3899999</v>
      </c>
      <c r="H49" s="328">
        <f t="shared" si="29"/>
        <v>170188475.50999999</v>
      </c>
      <c r="I49" s="328">
        <f t="shared" si="29"/>
        <v>0</v>
      </c>
      <c r="J49" s="328">
        <f t="shared" ref="J49:P49" si="30">J50+J51+J55+J60+J61+J64+J67+J70+J71+J78+J58+J79+J74+J80+J83+J86+J89</f>
        <v>290228061.77999997</v>
      </c>
      <c r="K49" s="328">
        <f t="shared" si="30"/>
        <v>72052661.629999995</v>
      </c>
      <c r="L49" s="328">
        <f t="shared" si="30"/>
        <v>206199448.15000001</v>
      </c>
      <c r="M49" s="328">
        <f t="shared" si="30"/>
        <v>53811110</v>
      </c>
      <c r="N49" s="328">
        <f t="shared" si="30"/>
        <v>17336870</v>
      </c>
      <c r="O49" s="328">
        <f t="shared" si="30"/>
        <v>84028613.629999995</v>
      </c>
      <c r="P49" s="328">
        <f t="shared" si="30"/>
        <v>2499287559.6699996</v>
      </c>
      <c r="Q49" s="30"/>
      <c r="R49" s="26"/>
    </row>
    <row r="50" spans="1:20" ht="48" thickTop="1" thickBot="1" x14ac:dyDescent="0.6">
      <c r="A50" s="103" t="s">
        <v>198</v>
      </c>
      <c r="B50" s="103" t="s">
        <v>199</v>
      </c>
      <c r="C50" s="103" t="s">
        <v>201</v>
      </c>
      <c r="D50" s="103" t="s">
        <v>202</v>
      </c>
      <c r="E50" s="328">
        <f>F50</f>
        <v>597454653</v>
      </c>
      <c r="F50" s="462">
        <f>(518100000+6834000+121810+46482400+5516000+34247960+1883491+20029153+1410722+1453964+1539752+121850+3930+500000+95000+100000+300000-5000000-45500000-36876000)+44459370+694434-60000+199000+190036+107781+500000</f>
        <v>597454653</v>
      </c>
      <c r="G50" s="462">
        <f>(424700000-45500000)+20333842</f>
        <v>399533842</v>
      </c>
      <c r="H50" s="462">
        <f>34247960+1883491+20029153+1410722+1453964+1539752</f>
        <v>60565042</v>
      </c>
      <c r="I50" s="462"/>
      <c r="J50" s="328">
        <f t="shared" ref="J50:J73" si="31">L50+O50</f>
        <v>96246670</v>
      </c>
      <c r="K50" s="462">
        <f>(500000)+60000</f>
        <v>560000</v>
      </c>
      <c r="L50" s="462">
        <f>(94139890)+89700+22385+83361-7100-626500+413055-1000-4500-500</f>
        <v>94108791</v>
      </c>
      <c r="M50" s="462">
        <f>(17927390)+89700</f>
        <v>18017090</v>
      </c>
      <c r="N50" s="462">
        <v>4628330</v>
      </c>
      <c r="O50" s="459">
        <f>(K50+1546780)+31099</f>
        <v>2137879</v>
      </c>
      <c r="P50" s="328">
        <f t="shared" ref="P50:P62" si="32">E50+J50</f>
        <v>693701323</v>
      </c>
      <c r="Q50" s="143"/>
      <c r="R50" s="26"/>
    </row>
    <row r="51" spans="1:20" ht="93" thickTop="1" thickBot="1" x14ac:dyDescent="0.6">
      <c r="A51" s="329" t="s">
        <v>203</v>
      </c>
      <c r="B51" s="329" t="s">
        <v>200</v>
      </c>
      <c r="C51" s="329"/>
      <c r="D51" s="329" t="s">
        <v>643</v>
      </c>
      <c r="E51" s="325">
        <f>E52+E53+E54</f>
        <v>604414723.75999999</v>
      </c>
      <c r="F51" s="325">
        <f>F52+F53+F54</f>
        <v>604414723.75999999</v>
      </c>
      <c r="G51" s="325">
        <f t="shared" ref="G51:I51" si="33">G52+G53+G54</f>
        <v>338080042.62</v>
      </c>
      <c r="H51" s="325">
        <f t="shared" si="33"/>
        <v>81514646</v>
      </c>
      <c r="I51" s="325">
        <f t="shared" si="33"/>
        <v>0</v>
      </c>
      <c r="J51" s="325">
        <f t="shared" ref="J51" si="34">J52+J53+J54</f>
        <v>102691777.63</v>
      </c>
      <c r="K51" s="325">
        <f t="shared" ref="K51" si="35">K52+K53+K54</f>
        <v>24897407.629999999</v>
      </c>
      <c r="L51" s="325">
        <f t="shared" ref="L51" si="36">L52+L53+L54</f>
        <v>76440360</v>
      </c>
      <c r="M51" s="325">
        <f t="shared" ref="M51" si="37">M52+M53+M54</f>
        <v>24429440</v>
      </c>
      <c r="N51" s="325">
        <f t="shared" ref="N51" si="38">N52+N53+N54</f>
        <v>1851620</v>
      </c>
      <c r="O51" s="325">
        <f t="shared" ref="O51" si="39">O52+O53+O54</f>
        <v>26251417.629999999</v>
      </c>
      <c r="P51" s="325">
        <f>E51+J51</f>
        <v>707106501.38999999</v>
      </c>
      <c r="Q51" s="143"/>
      <c r="R51" s="37"/>
    </row>
    <row r="52" spans="1:20" ht="93" thickTop="1" thickBot="1" x14ac:dyDescent="0.6">
      <c r="A52" s="103" t="s">
        <v>641</v>
      </c>
      <c r="B52" s="103" t="s">
        <v>642</v>
      </c>
      <c r="C52" s="103" t="s">
        <v>204</v>
      </c>
      <c r="D52" s="103" t="s">
        <v>1276</v>
      </c>
      <c r="E52" s="328">
        <f t="shared" ref="E52:E62" si="40">F52</f>
        <v>551630951.75999999</v>
      </c>
      <c r="F52" s="462">
        <f>((291024550+15000600+229878+80712500+7004000+45443420+1405040+21980904+4836961+2727144+242950+6050+666880+10740+500000+90000+200000+500000-5000000+100000000-36500000-29674000)+45137822.62+6050+1224752-95530-50000+5596)+835955.14+133640+257600+353974+405200+600000+150000+120000+150000-11725+1000000</f>
        <v>551630951.75999999</v>
      </c>
      <c r="G52" s="462">
        <f>(238511902+82000000-36500000)+23163291.62</f>
        <v>307175193.62</v>
      </c>
      <c r="H52" s="462">
        <f>45443420+1405040+21980904+4836961+2727144</f>
        <v>76393469</v>
      </c>
      <c r="I52" s="462"/>
      <c r="J52" s="328">
        <f t="shared" si="31"/>
        <v>101669627.63</v>
      </c>
      <c r="K52" s="462">
        <f>((500000+500000+500000+483297.98+449851.94+260000+1158336+669262+663111+879754+412299+5700000+1750000+3800000)+873801.16-100000-500000-483297.98+1249446.24+95530+50000)+236960-353974+1000000+1371885.29+900000+11725+400000+69420+1500000</f>
        <v>24047407.629999999</v>
      </c>
      <c r="L52" s="462">
        <f>(76269610)+42800+11040-238120-4000-200000+354442+5000+2198+25240</f>
        <v>76268210</v>
      </c>
      <c r="M52" s="462">
        <f>(24386640)+42800</f>
        <v>24429440</v>
      </c>
      <c r="N52" s="462">
        <v>1771070</v>
      </c>
      <c r="O52" s="459">
        <f>(K52+1352610)+7400-6000</f>
        <v>25401417.629999999</v>
      </c>
      <c r="P52" s="328">
        <f t="shared" si="32"/>
        <v>653300579.38999999</v>
      </c>
      <c r="Q52" s="143"/>
      <c r="R52" s="26"/>
      <c r="T52" s="38"/>
    </row>
    <row r="53" spans="1:20" ht="184.5" thickTop="1" thickBot="1" x14ac:dyDescent="0.25">
      <c r="A53" s="103" t="s">
        <v>650</v>
      </c>
      <c r="B53" s="103" t="s">
        <v>651</v>
      </c>
      <c r="C53" s="103" t="s">
        <v>207</v>
      </c>
      <c r="D53" s="103" t="s">
        <v>1277</v>
      </c>
      <c r="E53" s="328">
        <f t="shared" si="40"/>
        <v>32235281</v>
      </c>
      <c r="F53" s="462">
        <f>(28544020+292110+8100+1142200+237500+2100+1338370+19817+268500+10435+41600+5920+200000+10000+10660)+103949</f>
        <v>32235281</v>
      </c>
      <c r="G53" s="462">
        <v>23779110</v>
      </c>
      <c r="H53" s="462">
        <f>1338370+19817+268500+10435</f>
        <v>1637122</v>
      </c>
      <c r="I53" s="462"/>
      <c r="J53" s="328">
        <f t="shared" si="31"/>
        <v>272150</v>
      </c>
      <c r="K53" s="462">
        <f>(0)+100000</f>
        <v>100000</v>
      </c>
      <c r="L53" s="462">
        <v>172150</v>
      </c>
      <c r="M53" s="462"/>
      <c r="N53" s="462">
        <v>80550</v>
      </c>
      <c r="O53" s="459">
        <f>K53</f>
        <v>100000</v>
      </c>
      <c r="P53" s="328">
        <f t="shared" si="32"/>
        <v>32507431</v>
      </c>
      <c r="Q53" s="20"/>
      <c r="R53" s="27"/>
    </row>
    <row r="54" spans="1:20" ht="93" thickTop="1" thickBot="1" x14ac:dyDescent="0.25">
      <c r="A54" s="103" t="s">
        <v>996</v>
      </c>
      <c r="B54" s="103" t="s">
        <v>997</v>
      </c>
      <c r="C54" s="103" t="s">
        <v>207</v>
      </c>
      <c r="D54" s="103" t="s">
        <v>1278</v>
      </c>
      <c r="E54" s="328">
        <f t="shared" ref="E54" si="41">F54</f>
        <v>20548491</v>
      </c>
      <c r="F54" s="462">
        <f>(8569752+424160+12728+6393800+359900+300000+2400640+93745+970870+18800+9450+2960+200000+5000+35000)+751686</f>
        <v>20548491</v>
      </c>
      <c r="G54" s="462">
        <v>7125739</v>
      </c>
      <c r="H54" s="462">
        <f>2400640+93745+970870+18800</f>
        <v>3484055</v>
      </c>
      <c r="I54" s="462"/>
      <c r="J54" s="328">
        <f t="shared" ref="J54" si="42">L54+O54</f>
        <v>750000</v>
      </c>
      <c r="K54" s="462">
        <f>300000+250000+200000</f>
        <v>750000</v>
      </c>
      <c r="L54" s="462"/>
      <c r="M54" s="462"/>
      <c r="N54" s="462"/>
      <c r="O54" s="459">
        <f>K54</f>
        <v>750000</v>
      </c>
      <c r="P54" s="328">
        <f t="shared" ref="P54" si="43">E54+J54</f>
        <v>21298491</v>
      </c>
      <c r="Q54" s="20"/>
      <c r="R54" s="27"/>
    </row>
    <row r="55" spans="1:20" ht="48" thickTop="1" thickBot="1" x14ac:dyDescent="0.25">
      <c r="A55" s="329" t="s">
        <v>498</v>
      </c>
      <c r="B55" s="329" t="s">
        <v>205</v>
      </c>
      <c r="C55" s="329"/>
      <c r="D55" s="329" t="s">
        <v>658</v>
      </c>
      <c r="E55" s="325">
        <f>SUM(E56:E57)</f>
        <v>734225903</v>
      </c>
      <c r="F55" s="325">
        <f>SUM(F56:F57)</f>
        <v>734225903</v>
      </c>
      <c r="G55" s="325">
        <f>SUM(G56:G57)</f>
        <v>596742650</v>
      </c>
      <c r="H55" s="325">
        <f>SUM(H56:H57)</f>
        <v>0</v>
      </c>
      <c r="I55" s="325">
        <f>SUM(I56:I57)</f>
        <v>0</v>
      </c>
      <c r="J55" s="325">
        <f t="shared" ref="J55:P55" si="44">SUM(J56:J57)</f>
        <v>0</v>
      </c>
      <c r="K55" s="325">
        <f t="shared" si="44"/>
        <v>0</v>
      </c>
      <c r="L55" s="325">
        <f t="shared" si="44"/>
        <v>0</v>
      </c>
      <c r="M55" s="325">
        <f t="shared" si="44"/>
        <v>0</v>
      </c>
      <c r="N55" s="325">
        <f t="shared" si="44"/>
        <v>0</v>
      </c>
      <c r="O55" s="325">
        <f t="shared" si="44"/>
        <v>0</v>
      </c>
      <c r="P55" s="325">
        <f t="shared" si="44"/>
        <v>734225903</v>
      </c>
      <c r="Q55" s="20"/>
      <c r="R55" s="35"/>
    </row>
    <row r="56" spans="1:20" ht="93" thickTop="1" thickBot="1" x14ac:dyDescent="0.25">
      <c r="A56" s="103" t="s">
        <v>659</v>
      </c>
      <c r="B56" s="103" t="s">
        <v>660</v>
      </c>
      <c r="C56" s="103" t="s">
        <v>204</v>
      </c>
      <c r="D56" s="103" t="s">
        <v>1279</v>
      </c>
      <c r="E56" s="328">
        <f t="shared" ref="E56:E57" si="45">F56</f>
        <v>723235253</v>
      </c>
      <c r="F56" s="462">
        <v>723235253</v>
      </c>
      <c r="G56" s="462">
        <v>587733920</v>
      </c>
      <c r="H56" s="462"/>
      <c r="I56" s="462"/>
      <c r="J56" s="328">
        <f t="shared" ref="J56:J57" si="46">L56+O56</f>
        <v>0</v>
      </c>
      <c r="K56" s="462"/>
      <c r="L56" s="462"/>
      <c r="M56" s="462"/>
      <c r="N56" s="462"/>
      <c r="O56" s="459">
        <f>K56</f>
        <v>0</v>
      </c>
      <c r="P56" s="328">
        <f t="shared" ref="P56:P59" si="47">E56+J56</f>
        <v>723235253</v>
      </c>
      <c r="Q56" s="20"/>
      <c r="R56" s="30"/>
    </row>
    <row r="57" spans="1:20" ht="93" thickTop="1" thickBot="1" x14ac:dyDescent="0.25">
      <c r="A57" s="103" t="s">
        <v>1130</v>
      </c>
      <c r="B57" s="343" t="s">
        <v>1131</v>
      </c>
      <c r="C57" s="103" t="s">
        <v>207</v>
      </c>
      <c r="D57" s="103" t="s">
        <v>1280</v>
      </c>
      <c r="E57" s="328">
        <f t="shared" si="45"/>
        <v>10990650</v>
      </c>
      <c r="F57" s="554">
        <f>10990650</f>
        <v>10990650</v>
      </c>
      <c r="G57" s="554">
        <v>9008730</v>
      </c>
      <c r="H57" s="554"/>
      <c r="I57" s="554"/>
      <c r="J57" s="328">
        <f t="shared" si="46"/>
        <v>0</v>
      </c>
      <c r="K57" s="554"/>
      <c r="L57" s="554"/>
      <c r="M57" s="554"/>
      <c r="N57" s="554"/>
      <c r="O57" s="555"/>
      <c r="P57" s="328">
        <f t="shared" si="47"/>
        <v>10990650</v>
      </c>
      <c r="Q57" s="20"/>
      <c r="R57" s="30"/>
    </row>
    <row r="58" spans="1:20" ht="276" thickTop="1" thickBot="1" x14ac:dyDescent="0.25">
      <c r="A58" s="566" t="s">
        <v>930</v>
      </c>
      <c r="B58" s="566" t="s">
        <v>50</v>
      </c>
      <c r="C58" s="566"/>
      <c r="D58" s="656" t="s">
        <v>1565</v>
      </c>
      <c r="E58" s="657">
        <f t="shared" ref="E58:O58" si="48">E59</f>
        <v>128512.77</v>
      </c>
      <c r="F58" s="657">
        <f t="shared" si="48"/>
        <v>128512.77</v>
      </c>
      <c r="G58" s="657">
        <f t="shared" si="48"/>
        <v>105342.77</v>
      </c>
      <c r="H58" s="657">
        <f t="shared" si="48"/>
        <v>0</v>
      </c>
      <c r="I58" s="657">
        <f t="shared" si="48"/>
        <v>0</v>
      </c>
      <c r="J58" s="657">
        <f t="shared" si="48"/>
        <v>0</v>
      </c>
      <c r="K58" s="657">
        <f t="shared" si="48"/>
        <v>0</v>
      </c>
      <c r="L58" s="657">
        <f t="shared" si="48"/>
        <v>0</v>
      </c>
      <c r="M58" s="657">
        <f t="shared" si="48"/>
        <v>0</v>
      </c>
      <c r="N58" s="657">
        <f t="shared" si="48"/>
        <v>0</v>
      </c>
      <c r="O58" s="657">
        <f t="shared" si="48"/>
        <v>0</v>
      </c>
      <c r="P58" s="657">
        <f>E58+J58</f>
        <v>128512.77</v>
      </c>
      <c r="Q58" s="20"/>
      <c r="R58" s="30"/>
    </row>
    <row r="59" spans="1:20" ht="310.5" customHeight="1" thickTop="1" thickBot="1" x14ac:dyDescent="0.25">
      <c r="A59" s="103" t="s">
        <v>931</v>
      </c>
      <c r="B59" s="103" t="s">
        <v>932</v>
      </c>
      <c r="C59" s="103" t="s">
        <v>204</v>
      </c>
      <c r="D59" s="103" t="s">
        <v>1566</v>
      </c>
      <c r="E59" s="328">
        <f t="shared" ref="E59" si="49">F59</f>
        <v>128512.77</v>
      </c>
      <c r="F59" s="462">
        <v>128512.77</v>
      </c>
      <c r="G59" s="462">
        <v>105342.77</v>
      </c>
      <c r="H59" s="462"/>
      <c r="I59" s="462"/>
      <c r="J59" s="328">
        <f t="shared" ref="J59" si="50">L59+O59</f>
        <v>0</v>
      </c>
      <c r="K59" s="462"/>
      <c r="L59" s="462"/>
      <c r="M59" s="462"/>
      <c r="N59" s="462"/>
      <c r="O59" s="459">
        <f>K59</f>
        <v>0</v>
      </c>
      <c r="P59" s="328">
        <f t="shared" si="47"/>
        <v>128512.77</v>
      </c>
      <c r="Q59" s="20"/>
      <c r="R59" s="26"/>
    </row>
    <row r="60" spans="1:20" ht="93" thickTop="1" thickBot="1" x14ac:dyDescent="0.25">
      <c r="A60" s="103" t="s">
        <v>661</v>
      </c>
      <c r="B60" s="103" t="s">
        <v>206</v>
      </c>
      <c r="C60" s="103" t="s">
        <v>181</v>
      </c>
      <c r="D60" s="103" t="s">
        <v>499</v>
      </c>
      <c r="E60" s="328">
        <f t="shared" si="40"/>
        <v>38379360</v>
      </c>
      <c r="F60" s="462">
        <f>33713454+543690+17600+529000+174450+2166040+44713+824782+82818+13383+5450+213660+320+50000</f>
        <v>38379360</v>
      </c>
      <c r="G60" s="462">
        <v>27858536</v>
      </c>
      <c r="H60" s="462">
        <f>2166040+44713+824782+82818+13383</f>
        <v>3131736</v>
      </c>
      <c r="I60" s="462"/>
      <c r="J60" s="328">
        <f t="shared" si="31"/>
        <v>2103660</v>
      </c>
      <c r="K60" s="462">
        <f>(0)+1000000</f>
        <v>1000000</v>
      </c>
      <c r="L60" s="462">
        <v>745660</v>
      </c>
      <c r="M60" s="462">
        <v>38710</v>
      </c>
      <c r="N60" s="462">
        <v>117220</v>
      </c>
      <c r="O60" s="459">
        <f>(K60+358000)</f>
        <v>1358000</v>
      </c>
      <c r="P60" s="328">
        <f t="shared" si="32"/>
        <v>40483020</v>
      </c>
      <c r="Q60" s="20"/>
      <c r="R60" s="26"/>
    </row>
    <row r="61" spans="1:20" ht="93" thickTop="1" thickBot="1" x14ac:dyDescent="0.25">
      <c r="A61" s="329" t="s">
        <v>208</v>
      </c>
      <c r="B61" s="329" t="s">
        <v>191</v>
      </c>
      <c r="C61" s="329"/>
      <c r="D61" s="329" t="s">
        <v>500</v>
      </c>
      <c r="E61" s="325">
        <f>E62+E63</f>
        <v>192049825.50999999</v>
      </c>
      <c r="F61" s="325">
        <f t="shared" ref="F61:O61" si="51">F62+F63</f>
        <v>192049825.50999999</v>
      </c>
      <c r="G61" s="325">
        <f t="shared" si="51"/>
        <v>104778899</v>
      </c>
      <c r="H61" s="325">
        <f t="shared" si="51"/>
        <v>22961117.510000002</v>
      </c>
      <c r="I61" s="325">
        <f t="shared" si="51"/>
        <v>0</v>
      </c>
      <c r="J61" s="325">
        <f t="shared" si="51"/>
        <v>35338060</v>
      </c>
      <c r="K61" s="325">
        <f t="shared" si="51"/>
        <v>300000</v>
      </c>
      <c r="L61" s="325">
        <f t="shared" si="51"/>
        <v>34688060</v>
      </c>
      <c r="M61" s="325">
        <f t="shared" si="51"/>
        <v>11325870</v>
      </c>
      <c r="N61" s="325">
        <f t="shared" si="51"/>
        <v>10739700</v>
      </c>
      <c r="O61" s="325">
        <f t="shared" si="51"/>
        <v>650000</v>
      </c>
      <c r="P61" s="325">
        <f t="shared" si="32"/>
        <v>227387885.50999999</v>
      </c>
      <c r="Q61" s="20"/>
      <c r="R61" s="35"/>
    </row>
    <row r="62" spans="1:20" ht="138.75" thickTop="1" thickBot="1" x14ac:dyDescent="0.25">
      <c r="A62" s="103" t="s">
        <v>662</v>
      </c>
      <c r="B62" s="103" t="s">
        <v>663</v>
      </c>
      <c r="C62" s="103" t="s">
        <v>209</v>
      </c>
      <c r="D62" s="103" t="s">
        <v>664</v>
      </c>
      <c r="E62" s="328">
        <f t="shared" si="40"/>
        <v>166319425.50999999</v>
      </c>
      <c r="F62" s="462">
        <v>166319425.50999999</v>
      </c>
      <c r="G62" s="462">
        <v>83514099</v>
      </c>
      <c r="H62" s="462">
        <v>22961117.510000002</v>
      </c>
      <c r="I62" s="462"/>
      <c r="J62" s="328">
        <f>L62+O62</f>
        <v>35338060</v>
      </c>
      <c r="K62" s="462">
        <f>300000</f>
        <v>300000</v>
      </c>
      <c r="L62" s="462">
        <f>(34808060)-266000-58520+200000+22600-5000-13080-5000-2000+15000-8000</f>
        <v>34688060</v>
      </c>
      <c r="M62" s="462">
        <f>(11591870)-266000</f>
        <v>11325870</v>
      </c>
      <c r="N62" s="462">
        <v>10739700</v>
      </c>
      <c r="O62" s="459">
        <f>(K62+230000)+120000</f>
        <v>650000</v>
      </c>
      <c r="P62" s="328">
        <f t="shared" si="32"/>
        <v>201657485.50999999</v>
      </c>
      <c r="Q62" s="20"/>
      <c r="R62" s="26"/>
    </row>
    <row r="63" spans="1:20" ht="93" thickTop="1" thickBot="1" x14ac:dyDescent="0.25">
      <c r="A63" s="103" t="s">
        <v>666</v>
      </c>
      <c r="B63" s="103" t="s">
        <v>665</v>
      </c>
      <c r="C63" s="103" t="s">
        <v>209</v>
      </c>
      <c r="D63" s="103" t="s">
        <v>667</v>
      </c>
      <c r="E63" s="328">
        <f t="shared" ref="E63" si="52">F63</f>
        <v>25730400</v>
      </c>
      <c r="F63" s="462">
        <f>25730400</f>
        <v>25730400</v>
      </c>
      <c r="G63" s="462">
        <v>21264800</v>
      </c>
      <c r="H63" s="462"/>
      <c r="I63" s="462"/>
      <c r="J63" s="328">
        <f>L63+O63</f>
        <v>0</v>
      </c>
      <c r="K63" s="462"/>
      <c r="L63" s="462"/>
      <c r="M63" s="462"/>
      <c r="N63" s="462"/>
      <c r="O63" s="459"/>
      <c r="P63" s="328">
        <f t="shared" ref="P63" si="53">E63+J63</f>
        <v>25730400</v>
      </c>
      <c r="Q63" s="20"/>
      <c r="R63" s="30"/>
    </row>
    <row r="64" spans="1:20" ht="48" thickTop="1" thickBot="1" x14ac:dyDescent="0.25">
      <c r="A64" s="329" t="s">
        <v>669</v>
      </c>
      <c r="B64" s="329" t="s">
        <v>668</v>
      </c>
      <c r="C64" s="329"/>
      <c r="D64" s="329" t="s">
        <v>670</v>
      </c>
      <c r="E64" s="325">
        <f>E65+E66</f>
        <v>28140254</v>
      </c>
      <c r="F64" s="325">
        <f t="shared" ref="F64:O64" si="54">F65+F66</f>
        <v>28140254</v>
      </c>
      <c r="G64" s="325">
        <f t="shared" si="54"/>
        <v>18564976</v>
      </c>
      <c r="H64" s="325">
        <f t="shared" si="54"/>
        <v>1790626</v>
      </c>
      <c r="I64" s="325">
        <f t="shared" si="54"/>
        <v>0</v>
      </c>
      <c r="J64" s="325">
        <f t="shared" si="54"/>
        <v>651840.00000000012</v>
      </c>
      <c r="K64" s="325">
        <f t="shared" si="54"/>
        <v>440000.00000000012</v>
      </c>
      <c r="L64" s="325">
        <f t="shared" si="54"/>
        <v>211840</v>
      </c>
      <c r="M64" s="325">
        <f t="shared" si="54"/>
        <v>0</v>
      </c>
      <c r="N64" s="325">
        <f t="shared" si="54"/>
        <v>0</v>
      </c>
      <c r="O64" s="325">
        <f t="shared" si="54"/>
        <v>440000.00000000012</v>
      </c>
      <c r="P64" s="325">
        <f>E64+J64</f>
        <v>28792094</v>
      </c>
      <c r="Q64" s="20"/>
      <c r="R64" s="35"/>
    </row>
    <row r="65" spans="1:18" ht="48" thickTop="1" thickBot="1" x14ac:dyDescent="0.25">
      <c r="A65" s="103" t="s">
        <v>671</v>
      </c>
      <c r="B65" s="103" t="s">
        <v>672</v>
      </c>
      <c r="C65" s="103" t="s">
        <v>210</v>
      </c>
      <c r="D65" s="103" t="s">
        <v>501</v>
      </c>
      <c r="E65" s="328">
        <f>F65</f>
        <v>27605954</v>
      </c>
      <c r="F65" s="462">
        <f>((19846132+754290+2035+1354150+1028432+15761+726715+19718+1550+100000)+2560000+98632+1042739)+55800</f>
        <v>27605954</v>
      </c>
      <c r="G65" s="462">
        <f>(16464976)+2100000</f>
        <v>18564976</v>
      </c>
      <c r="H65" s="462">
        <f>1028432+15761+726715+19718</f>
        <v>1790626</v>
      </c>
      <c r="I65" s="462"/>
      <c r="J65" s="328">
        <f>L65+O65</f>
        <v>651840.00000000012</v>
      </c>
      <c r="K65" s="462">
        <f>(300000)+1133704.59-993704.59</f>
        <v>440000.00000000012</v>
      </c>
      <c r="L65" s="462">
        <v>211840</v>
      </c>
      <c r="M65" s="462"/>
      <c r="N65" s="462"/>
      <c r="O65" s="459">
        <f>K65</f>
        <v>440000.00000000012</v>
      </c>
      <c r="P65" s="328">
        <f>E65+J65</f>
        <v>28257794</v>
      </c>
      <c r="Q65" s="20"/>
      <c r="R65" s="30"/>
    </row>
    <row r="66" spans="1:18" ht="48" thickTop="1" thickBot="1" x14ac:dyDescent="0.25">
      <c r="A66" s="103" t="s">
        <v>673</v>
      </c>
      <c r="B66" s="103" t="s">
        <v>674</v>
      </c>
      <c r="C66" s="103" t="s">
        <v>210</v>
      </c>
      <c r="D66" s="103" t="s">
        <v>337</v>
      </c>
      <c r="E66" s="328">
        <f>F66</f>
        <v>534300</v>
      </c>
      <c r="F66" s="462">
        <v>534300</v>
      </c>
      <c r="G66" s="462"/>
      <c r="H66" s="462"/>
      <c r="I66" s="462"/>
      <c r="J66" s="328">
        <f>L66+O66</f>
        <v>0</v>
      </c>
      <c r="K66" s="462"/>
      <c r="L66" s="462"/>
      <c r="M66" s="462"/>
      <c r="N66" s="462"/>
      <c r="O66" s="459">
        <f>K66</f>
        <v>0</v>
      </c>
      <c r="P66" s="328">
        <f>E66+J66</f>
        <v>534300</v>
      </c>
      <c r="Q66" s="20"/>
      <c r="R66" s="30"/>
    </row>
    <row r="67" spans="1:18" ht="48" thickTop="1" thickBot="1" x14ac:dyDescent="0.25">
      <c r="A67" s="329" t="s">
        <v>675</v>
      </c>
      <c r="B67" s="329" t="s">
        <v>676</v>
      </c>
      <c r="C67" s="329"/>
      <c r="D67" s="329" t="s">
        <v>429</v>
      </c>
      <c r="E67" s="325">
        <f>E68+E69</f>
        <v>6041423</v>
      </c>
      <c r="F67" s="325">
        <f>F68+F69</f>
        <v>6041423</v>
      </c>
      <c r="G67" s="325">
        <f t="shared" ref="G67:O67" si="55">G68+G69</f>
        <v>4611970</v>
      </c>
      <c r="H67" s="325">
        <f t="shared" si="55"/>
        <v>156942</v>
      </c>
      <c r="I67" s="325">
        <f t="shared" si="55"/>
        <v>0</v>
      </c>
      <c r="J67" s="325">
        <f t="shared" si="55"/>
        <v>0</v>
      </c>
      <c r="K67" s="325">
        <f t="shared" si="55"/>
        <v>0</v>
      </c>
      <c r="L67" s="325">
        <f t="shared" si="55"/>
        <v>0</v>
      </c>
      <c r="M67" s="325">
        <f t="shared" si="55"/>
        <v>0</v>
      </c>
      <c r="N67" s="325">
        <f t="shared" si="55"/>
        <v>0</v>
      </c>
      <c r="O67" s="325">
        <f t="shared" si="55"/>
        <v>0</v>
      </c>
      <c r="P67" s="325">
        <f>E67+J67</f>
        <v>6041423</v>
      </c>
      <c r="Q67" s="20"/>
      <c r="R67" s="35"/>
    </row>
    <row r="68" spans="1:18" ht="93" thickTop="1" thickBot="1" x14ac:dyDescent="0.25">
      <c r="A68" s="103" t="s">
        <v>677</v>
      </c>
      <c r="B68" s="103" t="s">
        <v>678</v>
      </c>
      <c r="C68" s="103" t="s">
        <v>210</v>
      </c>
      <c r="D68" s="103" t="s">
        <v>679</v>
      </c>
      <c r="E68" s="328">
        <f>F68</f>
        <v>1114123</v>
      </c>
      <c r="F68" s="462">
        <f>694997+184000+3254+67900+5480+126800+3835+24307+2000+1550</f>
        <v>1114123</v>
      </c>
      <c r="G68" s="462">
        <v>573200</v>
      </c>
      <c r="H68" s="462">
        <f>126800+3835+24307+2000</f>
        <v>156942</v>
      </c>
      <c r="I68" s="462"/>
      <c r="J68" s="328">
        <f>L68+O68</f>
        <v>0</v>
      </c>
      <c r="K68" s="462"/>
      <c r="L68" s="462"/>
      <c r="M68" s="462"/>
      <c r="N68" s="462"/>
      <c r="O68" s="459">
        <f>K68</f>
        <v>0</v>
      </c>
      <c r="P68" s="328">
        <f>E68+J68</f>
        <v>1114123</v>
      </c>
      <c r="Q68" s="20"/>
      <c r="R68" s="26"/>
    </row>
    <row r="69" spans="1:18" ht="93" thickTop="1" thickBot="1" x14ac:dyDescent="0.25">
      <c r="A69" s="103" t="s">
        <v>680</v>
      </c>
      <c r="B69" s="103" t="s">
        <v>681</v>
      </c>
      <c r="C69" s="103" t="s">
        <v>210</v>
      </c>
      <c r="D69" s="103" t="s">
        <v>682</v>
      </c>
      <c r="E69" s="328">
        <f>F69</f>
        <v>4927300</v>
      </c>
      <c r="F69" s="462">
        <f>4927300</f>
        <v>4927300</v>
      </c>
      <c r="G69" s="462">
        <v>4038770</v>
      </c>
      <c r="H69" s="462"/>
      <c r="I69" s="462"/>
      <c r="J69" s="328">
        <f t="shared" ref="J69" si="56">L69+O69</f>
        <v>0</v>
      </c>
      <c r="K69" s="462"/>
      <c r="L69" s="462"/>
      <c r="M69" s="462"/>
      <c r="N69" s="462"/>
      <c r="O69" s="459">
        <f t="shared" ref="O69" si="57">K69</f>
        <v>0</v>
      </c>
      <c r="P69" s="328">
        <f t="shared" ref="P69" si="58">E69+J69</f>
        <v>4927300</v>
      </c>
      <c r="Q69" s="20"/>
      <c r="R69" s="30"/>
    </row>
    <row r="70" spans="1:18" ht="93" thickTop="1" thickBot="1" x14ac:dyDescent="0.25">
      <c r="A70" s="103" t="s">
        <v>647</v>
      </c>
      <c r="B70" s="103" t="s">
        <v>648</v>
      </c>
      <c r="C70" s="103" t="s">
        <v>210</v>
      </c>
      <c r="D70" s="103" t="s">
        <v>649</v>
      </c>
      <c r="E70" s="328">
        <f t="shared" ref="E70" si="59">F70</f>
        <v>4021213</v>
      </c>
      <c r="F70" s="462">
        <f>3648277+246000+47200+10970+37890+5200+24476+800+400</f>
        <v>4021213</v>
      </c>
      <c r="G70" s="462">
        <v>2990391</v>
      </c>
      <c r="H70" s="462">
        <f>37890+5200+24476+800</f>
        <v>68366</v>
      </c>
      <c r="I70" s="462"/>
      <c r="J70" s="328">
        <f t="shared" ref="J70" si="60">L70+O70</f>
        <v>0</v>
      </c>
      <c r="K70" s="462"/>
      <c r="L70" s="462"/>
      <c r="M70" s="462"/>
      <c r="N70" s="462"/>
      <c r="O70" s="459">
        <f t="shared" ref="O70" si="61">K70</f>
        <v>0</v>
      </c>
      <c r="P70" s="328">
        <f t="shared" ref="P70" si="62">E70+J70</f>
        <v>4021213</v>
      </c>
      <c r="Q70" s="20"/>
      <c r="R70" s="26"/>
    </row>
    <row r="71" spans="1:18" s="33" customFormat="1" ht="93" hidden="1" thickTop="1" thickBot="1" x14ac:dyDescent="0.25">
      <c r="A71" s="144" t="s">
        <v>652</v>
      </c>
      <c r="B71" s="144" t="s">
        <v>653</v>
      </c>
      <c r="C71" s="144"/>
      <c r="D71" s="144" t="s">
        <v>654</v>
      </c>
      <c r="E71" s="145">
        <f t="shared" ref="E71:E94" si="63">F71</f>
        <v>0</v>
      </c>
      <c r="F71" s="145">
        <f>SUM(F72:F73)</f>
        <v>0</v>
      </c>
      <c r="G71" s="145">
        <f t="shared" ref="G71:I71" si="64">SUM(G72:G73)</f>
        <v>0</v>
      </c>
      <c r="H71" s="145">
        <f t="shared" si="64"/>
        <v>0</v>
      </c>
      <c r="I71" s="145">
        <f t="shared" si="64"/>
        <v>0</v>
      </c>
      <c r="J71" s="145">
        <f t="shared" si="31"/>
        <v>0</v>
      </c>
      <c r="K71" s="141">
        <f>SUM(K72:K73)</f>
        <v>0</v>
      </c>
      <c r="L71" s="145">
        <f t="shared" ref="L71:N71" si="65">SUM(L72:L73)</f>
        <v>0</v>
      </c>
      <c r="M71" s="145">
        <f t="shared" si="65"/>
        <v>0</v>
      </c>
      <c r="N71" s="145">
        <f t="shared" si="65"/>
        <v>0</v>
      </c>
      <c r="O71" s="145">
        <f>SUM(O72:O73)</f>
        <v>0</v>
      </c>
      <c r="P71" s="145">
        <f t="shared" ref="P71:P76" si="66">E71+J71</f>
        <v>0</v>
      </c>
      <c r="Q71" s="36"/>
      <c r="R71" s="37"/>
    </row>
    <row r="72" spans="1:18" s="33" customFormat="1" ht="184.5" hidden="1" thickTop="1" thickBot="1" x14ac:dyDescent="0.25">
      <c r="A72" s="41" t="s">
        <v>655</v>
      </c>
      <c r="B72" s="41" t="s">
        <v>656</v>
      </c>
      <c r="C72" s="41" t="s">
        <v>210</v>
      </c>
      <c r="D72" s="41" t="s">
        <v>657</v>
      </c>
      <c r="E72" s="42">
        <f t="shared" si="63"/>
        <v>0</v>
      </c>
      <c r="F72" s="43"/>
      <c r="G72" s="43"/>
      <c r="H72" s="43"/>
      <c r="I72" s="43"/>
      <c r="J72" s="42">
        <f t="shared" si="31"/>
        <v>0</v>
      </c>
      <c r="K72" s="134"/>
      <c r="L72" s="43"/>
      <c r="M72" s="43"/>
      <c r="N72" s="43"/>
      <c r="O72" s="44">
        <f t="shared" ref="O72:O73" si="67">K72</f>
        <v>0</v>
      </c>
      <c r="P72" s="42">
        <f t="shared" si="66"/>
        <v>0</v>
      </c>
      <c r="Q72" s="36"/>
      <c r="R72" s="26"/>
    </row>
    <row r="73" spans="1:18" s="33" customFormat="1" ht="138.75" hidden="1" thickTop="1" thickBot="1" x14ac:dyDescent="0.25">
      <c r="A73" s="41" t="s">
        <v>979</v>
      </c>
      <c r="B73" s="41" t="s">
        <v>980</v>
      </c>
      <c r="C73" s="41" t="s">
        <v>210</v>
      </c>
      <c r="D73" s="41" t="s">
        <v>981</v>
      </c>
      <c r="E73" s="42">
        <f t="shared" si="63"/>
        <v>0</v>
      </c>
      <c r="F73" s="43"/>
      <c r="G73" s="43"/>
      <c r="H73" s="43"/>
      <c r="I73" s="43"/>
      <c r="J73" s="42">
        <f t="shared" si="31"/>
        <v>0</v>
      </c>
      <c r="K73" s="134"/>
      <c r="L73" s="43"/>
      <c r="M73" s="43"/>
      <c r="N73" s="43"/>
      <c r="O73" s="44">
        <f t="shared" si="67"/>
        <v>0</v>
      </c>
      <c r="P73" s="42">
        <f t="shared" si="66"/>
        <v>0</v>
      </c>
      <c r="Q73" s="36"/>
      <c r="R73" s="26"/>
    </row>
    <row r="74" spans="1:18" s="33" customFormat="1" ht="184.5" hidden="1" thickTop="1" thickBot="1" x14ac:dyDescent="0.25">
      <c r="A74" s="144" t="s">
        <v>998</v>
      </c>
      <c r="B74" s="144" t="s">
        <v>1000</v>
      </c>
      <c r="C74" s="144"/>
      <c r="D74" s="144" t="s">
        <v>1002</v>
      </c>
      <c r="E74" s="145">
        <f>E75+E76</f>
        <v>0</v>
      </c>
      <c r="F74" s="145">
        <f>F75+F76</f>
        <v>0</v>
      </c>
      <c r="G74" s="145">
        <f t="shared" ref="G74:I74" si="68">G75+G76</f>
        <v>0</v>
      </c>
      <c r="H74" s="145">
        <f t="shared" si="68"/>
        <v>0</v>
      </c>
      <c r="I74" s="145">
        <f t="shared" si="68"/>
        <v>0</v>
      </c>
      <c r="J74" s="145">
        <f>L74+O74</f>
        <v>0</v>
      </c>
      <c r="K74" s="141">
        <f t="shared" ref="K74:O74" si="69">K75+K76</f>
        <v>0</v>
      </c>
      <c r="L74" s="145">
        <f t="shared" si="69"/>
        <v>0</v>
      </c>
      <c r="M74" s="145">
        <f t="shared" si="69"/>
        <v>0</v>
      </c>
      <c r="N74" s="145">
        <f t="shared" si="69"/>
        <v>0</v>
      </c>
      <c r="O74" s="145">
        <f t="shared" si="69"/>
        <v>0</v>
      </c>
      <c r="P74" s="145">
        <f t="shared" si="66"/>
        <v>0</v>
      </c>
      <c r="Q74" s="36"/>
      <c r="R74" s="26"/>
    </row>
    <row r="75" spans="1:18" s="33" customFormat="1" ht="230.25" hidden="1" thickTop="1" thickBot="1" x14ac:dyDescent="0.25">
      <c r="A75" s="41" t="s">
        <v>999</v>
      </c>
      <c r="B75" s="41" t="s">
        <v>1001</v>
      </c>
      <c r="C75" s="41" t="s">
        <v>210</v>
      </c>
      <c r="D75" s="41" t="s">
        <v>1003</v>
      </c>
      <c r="E75" s="42">
        <f t="shared" ref="E75" si="70">F75</f>
        <v>0</v>
      </c>
      <c r="F75" s="43"/>
      <c r="G75" s="43"/>
      <c r="H75" s="43"/>
      <c r="I75" s="43"/>
      <c r="J75" s="42">
        <f t="shared" ref="J75" si="71">L75+O75</f>
        <v>0</v>
      </c>
      <c r="K75" s="134">
        <f>4547046.18-4547046.18</f>
        <v>0</v>
      </c>
      <c r="L75" s="43"/>
      <c r="M75" s="43"/>
      <c r="N75" s="43"/>
      <c r="O75" s="44">
        <f t="shared" ref="O75" si="72">K75</f>
        <v>0</v>
      </c>
      <c r="P75" s="42">
        <f t="shared" si="66"/>
        <v>0</v>
      </c>
      <c r="Q75" s="36"/>
      <c r="R75" s="26"/>
    </row>
    <row r="76" spans="1:18" s="33" customFormat="1" ht="45.75" hidden="1" thickTop="1" x14ac:dyDescent="0.2">
      <c r="A76" s="777" t="s">
        <v>1017</v>
      </c>
      <c r="B76" s="777" t="s">
        <v>1018</v>
      </c>
      <c r="C76" s="777" t="s">
        <v>210</v>
      </c>
      <c r="D76" s="777" t="s">
        <v>1019</v>
      </c>
      <c r="E76" s="771">
        <f t="shared" ref="E76" si="73">F76</f>
        <v>0</v>
      </c>
      <c r="F76" s="771"/>
      <c r="G76" s="771"/>
      <c r="H76" s="771"/>
      <c r="I76" s="771"/>
      <c r="J76" s="771">
        <f t="shared" ref="J76" si="74">L76+O76</f>
        <v>0</v>
      </c>
      <c r="K76" s="788">
        <f>10623233.82-10623233.82</f>
        <v>0</v>
      </c>
      <c r="L76" s="771"/>
      <c r="M76" s="771"/>
      <c r="N76" s="771"/>
      <c r="O76" s="774">
        <f t="shared" ref="O76" si="75">K76</f>
        <v>0</v>
      </c>
      <c r="P76" s="771">
        <f t="shared" si="66"/>
        <v>0</v>
      </c>
      <c r="Q76" s="36"/>
      <c r="R76" s="26"/>
    </row>
    <row r="77" spans="1:18" s="33" customFormat="1" ht="45.75" hidden="1" thickBot="1" x14ac:dyDescent="0.25">
      <c r="A77" s="773"/>
      <c r="B77" s="773"/>
      <c r="C77" s="773"/>
      <c r="D77" s="773"/>
      <c r="E77" s="773"/>
      <c r="F77" s="773"/>
      <c r="G77" s="773"/>
      <c r="H77" s="773"/>
      <c r="I77" s="773"/>
      <c r="J77" s="773"/>
      <c r="K77" s="780"/>
      <c r="L77" s="773"/>
      <c r="M77" s="773"/>
      <c r="N77" s="773"/>
      <c r="O77" s="773"/>
      <c r="P77" s="773"/>
      <c r="Q77" s="36"/>
      <c r="R77" s="26"/>
    </row>
    <row r="78" spans="1:18" s="33" customFormat="1" ht="138.75" thickTop="1" thickBot="1" x14ac:dyDescent="0.25">
      <c r="A78" s="735" t="s">
        <v>644</v>
      </c>
      <c r="B78" s="735" t="s">
        <v>645</v>
      </c>
      <c r="C78" s="735" t="s">
        <v>210</v>
      </c>
      <c r="D78" s="735" t="s">
        <v>646</v>
      </c>
      <c r="E78" s="736">
        <f t="shared" si="63"/>
        <v>3668858</v>
      </c>
      <c r="F78" s="737">
        <v>3668858</v>
      </c>
      <c r="G78" s="737">
        <v>3007261</v>
      </c>
      <c r="H78" s="737"/>
      <c r="I78" s="737"/>
      <c r="J78" s="736">
        <f t="shared" ref="J78" si="76">L78+O78</f>
        <v>0</v>
      </c>
      <c r="K78" s="737"/>
      <c r="L78" s="737"/>
      <c r="M78" s="737"/>
      <c r="N78" s="737"/>
      <c r="O78" s="739">
        <f t="shared" ref="O78" si="77">K78</f>
        <v>0</v>
      </c>
      <c r="P78" s="736">
        <f t="shared" ref="P78" si="78">E78+J78</f>
        <v>3668858</v>
      </c>
      <c r="Q78" s="36"/>
      <c r="R78" s="26"/>
    </row>
    <row r="79" spans="1:18" s="33" customFormat="1" ht="160.5" customHeight="1" thickTop="1" thickBot="1" x14ac:dyDescent="0.25">
      <c r="A79" s="735" t="s">
        <v>941</v>
      </c>
      <c r="B79" s="735" t="s">
        <v>942</v>
      </c>
      <c r="C79" s="735" t="s">
        <v>210</v>
      </c>
      <c r="D79" s="735" t="s">
        <v>1449</v>
      </c>
      <c r="E79" s="736">
        <f t="shared" ref="E79" si="79">F79</f>
        <v>532739</v>
      </c>
      <c r="F79" s="737">
        <v>532739</v>
      </c>
      <c r="G79" s="737">
        <v>436671</v>
      </c>
      <c r="H79" s="737"/>
      <c r="I79" s="737"/>
      <c r="J79" s="736">
        <f t="shared" ref="J79" si="80">L79+O79</f>
        <v>0</v>
      </c>
      <c r="K79" s="737">
        <v>0</v>
      </c>
      <c r="L79" s="737"/>
      <c r="M79" s="737"/>
      <c r="N79" s="737"/>
      <c r="O79" s="739">
        <f t="shared" ref="O79" si="81">K79</f>
        <v>0</v>
      </c>
      <c r="P79" s="736">
        <f t="shared" ref="P79" si="82">E79+J79</f>
        <v>532739</v>
      </c>
      <c r="Q79" s="36"/>
      <c r="R79" s="26"/>
    </row>
    <row r="80" spans="1:18" s="33" customFormat="1" ht="93" thickTop="1" thickBot="1" x14ac:dyDescent="0.25">
      <c r="A80" s="744" t="s">
        <v>1004</v>
      </c>
      <c r="B80" s="744" t="s">
        <v>1006</v>
      </c>
      <c r="C80" s="744"/>
      <c r="D80" s="744" t="s">
        <v>1441</v>
      </c>
      <c r="E80" s="746">
        <f>F80</f>
        <v>0</v>
      </c>
      <c r="F80" s="746">
        <f>SUM(F81:F82)</f>
        <v>0</v>
      </c>
      <c r="G80" s="746">
        <f>SUM(G81:G82)</f>
        <v>0</v>
      </c>
      <c r="H80" s="746">
        <f>SUM(H81:H82)</f>
        <v>0</v>
      </c>
      <c r="I80" s="746">
        <f>SUM(I81:I82)</f>
        <v>0</v>
      </c>
      <c r="J80" s="746">
        <f>L80+O80</f>
        <v>14416500</v>
      </c>
      <c r="K80" s="746">
        <f>SUM(K81:K82)</f>
        <v>14416500</v>
      </c>
      <c r="L80" s="746">
        <f>SUM(L81:L82)</f>
        <v>0</v>
      </c>
      <c r="M80" s="746">
        <f>SUM(M81:M82)</f>
        <v>0</v>
      </c>
      <c r="N80" s="746">
        <f>SUM(N81:N82)</f>
        <v>0</v>
      </c>
      <c r="O80" s="746">
        <f>SUM(O81:O82)</f>
        <v>14416500</v>
      </c>
      <c r="P80" s="746">
        <f>E80+J80</f>
        <v>14416500</v>
      </c>
      <c r="Q80" s="36"/>
      <c r="R80" s="26"/>
    </row>
    <row r="81" spans="1:18" s="33" customFormat="1" ht="189" customHeight="1" thickTop="1" thickBot="1" x14ac:dyDescent="0.25">
      <c r="A81" s="735" t="s">
        <v>1005</v>
      </c>
      <c r="B81" s="735" t="s">
        <v>1007</v>
      </c>
      <c r="C81" s="735" t="s">
        <v>210</v>
      </c>
      <c r="D81" s="735" t="s">
        <v>1251</v>
      </c>
      <c r="E81" s="736">
        <f>F81</f>
        <v>0</v>
      </c>
      <c r="F81" s="737"/>
      <c r="G81" s="737"/>
      <c r="H81" s="737"/>
      <c r="I81" s="737"/>
      <c r="J81" s="736">
        <f t="shared" ref="J81:J82" si="83">L81+O81</f>
        <v>5766600</v>
      </c>
      <c r="K81" s="737">
        <v>5766600</v>
      </c>
      <c r="L81" s="737"/>
      <c r="M81" s="737"/>
      <c r="N81" s="737"/>
      <c r="O81" s="739">
        <f t="shared" ref="O81:O82" si="84">K81</f>
        <v>5766600</v>
      </c>
      <c r="P81" s="736">
        <f>E81+J81</f>
        <v>5766600</v>
      </c>
      <c r="Q81" s="36"/>
      <c r="R81" s="26"/>
    </row>
    <row r="82" spans="1:18" s="33" customFormat="1" ht="176.25" customHeight="1" thickTop="1" thickBot="1" x14ac:dyDescent="0.25">
      <c r="A82" s="735" t="s">
        <v>1049</v>
      </c>
      <c r="B82" s="735" t="s">
        <v>1050</v>
      </c>
      <c r="C82" s="735" t="s">
        <v>210</v>
      </c>
      <c r="D82" s="735" t="s">
        <v>1596</v>
      </c>
      <c r="E82" s="736">
        <f>F82</f>
        <v>0</v>
      </c>
      <c r="F82" s="737">
        <f>(553900)-553900</f>
        <v>0</v>
      </c>
      <c r="G82" s="737"/>
      <c r="H82" s="737"/>
      <c r="I82" s="737"/>
      <c r="J82" s="736">
        <f t="shared" si="83"/>
        <v>8649900</v>
      </c>
      <c r="K82" s="737">
        <v>8649900</v>
      </c>
      <c r="L82" s="737"/>
      <c r="M82" s="737"/>
      <c r="N82" s="737"/>
      <c r="O82" s="739">
        <f t="shared" si="84"/>
        <v>8649900</v>
      </c>
      <c r="P82" s="736">
        <f>E82+J82</f>
        <v>8649900</v>
      </c>
      <c r="Q82" s="36"/>
      <c r="R82" s="26"/>
    </row>
    <row r="83" spans="1:18" s="33" customFormat="1" ht="114.75" customHeight="1" thickTop="1" thickBot="1" x14ac:dyDescent="0.25">
      <c r="A83" s="329" t="s">
        <v>1391</v>
      </c>
      <c r="B83" s="329" t="s">
        <v>1392</v>
      </c>
      <c r="C83" s="329"/>
      <c r="D83" s="329" t="s">
        <v>1552</v>
      </c>
      <c r="E83" s="325">
        <f>SUM(E84:E85)</f>
        <v>0</v>
      </c>
      <c r="F83" s="325">
        <f t="shared" ref="F83:P83" si="85">SUM(F84:F85)</f>
        <v>0</v>
      </c>
      <c r="G83" s="325">
        <f t="shared" si="85"/>
        <v>0</v>
      </c>
      <c r="H83" s="325">
        <f t="shared" si="85"/>
        <v>0</v>
      </c>
      <c r="I83" s="325">
        <f t="shared" si="85"/>
        <v>0</v>
      </c>
      <c r="J83" s="325">
        <f t="shared" si="85"/>
        <v>27000000</v>
      </c>
      <c r="K83" s="325">
        <f t="shared" si="85"/>
        <v>27000000</v>
      </c>
      <c r="L83" s="325">
        <f t="shared" si="85"/>
        <v>0</v>
      </c>
      <c r="M83" s="325">
        <f t="shared" si="85"/>
        <v>0</v>
      </c>
      <c r="N83" s="325">
        <f t="shared" si="85"/>
        <v>0</v>
      </c>
      <c r="O83" s="325">
        <f t="shared" si="85"/>
        <v>27000000</v>
      </c>
      <c r="P83" s="325">
        <f t="shared" si="85"/>
        <v>27000000</v>
      </c>
      <c r="Q83" s="36"/>
      <c r="R83" s="26"/>
    </row>
    <row r="84" spans="1:18" s="33" customFormat="1" ht="163.5" customHeight="1" thickTop="1" thickBot="1" x14ac:dyDescent="0.25">
      <c r="A84" s="103" t="s">
        <v>1393</v>
      </c>
      <c r="B84" s="103" t="s">
        <v>1394</v>
      </c>
      <c r="C84" s="103" t="s">
        <v>210</v>
      </c>
      <c r="D84" s="103" t="s">
        <v>1553</v>
      </c>
      <c r="E84" s="328">
        <f>F84</f>
        <v>0</v>
      </c>
      <c r="F84" s="462"/>
      <c r="G84" s="462"/>
      <c r="H84" s="462"/>
      <c r="I84" s="462"/>
      <c r="J84" s="328">
        <f t="shared" ref="J84:J85" si="86">L84+O84</f>
        <v>27000000</v>
      </c>
      <c r="K84" s="462">
        <f>((5000000)+10000000)+12000000</f>
        <v>27000000</v>
      </c>
      <c r="L84" s="462"/>
      <c r="M84" s="462"/>
      <c r="N84" s="462"/>
      <c r="O84" s="459">
        <f t="shared" ref="O84:O85" si="87">K84</f>
        <v>27000000</v>
      </c>
      <c r="P84" s="328">
        <f>E84+J84</f>
        <v>27000000</v>
      </c>
      <c r="Q84" s="36"/>
      <c r="R84" s="26"/>
    </row>
    <row r="85" spans="1:18" s="33" customFormat="1" ht="138.75" hidden="1" thickTop="1" thickBot="1" x14ac:dyDescent="0.25">
      <c r="A85" s="128" t="s">
        <v>1395</v>
      </c>
      <c r="B85" s="128" t="s">
        <v>1396</v>
      </c>
      <c r="C85" s="128" t="s">
        <v>210</v>
      </c>
      <c r="D85" s="128" t="s">
        <v>1397</v>
      </c>
      <c r="E85" s="127">
        <f>F85</f>
        <v>0</v>
      </c>
      <c r="F85" s="134"/>
      <c r="G85" s="134"/>
      <c r="H85" s="134"/>
      <c r="I85" s="134"/>
      <c r="J85" s="127">
        <f t="shared" si="86"/>
        <v>0</v>
      </c>
      <c r="K85" s="134"/>
      <c r="L85" s="134"/>
      <c r="M85" s="134"/>
      <c r="N85" s="134"/>
      <c r="O85" s="132">
        <f t="shared" si="87"/>
        <v>0</v>
      </c>
      <c r="P85" s="127">
        <f>E85+J85</f>
        <v>0</v>
      </c>
      <c r="Q85" s="36"/>
      <c r="R85" s="26"/>
    </row>
    <row r="86" spans="1:18" s="33" customFormat="1" ht="138.75" hidden="1" thickTop="1" thickBot="1" x14ac:dyDescent="0.25">
      <c r="A86" s="140" t="s">
        <v>1462</v>
      </c>
      <c r="B86" s="140" t="s">
        <v>1461</v>
      </c>
      <c r="C86" s="140"/>
      <c r="D86" s="140" t="s">
        <v>1463</v>
      </c>
      <c r="E86" s="141">
        <f>SUM(E87:E88)</f>
        <v>0</v>
      </c>
      <c r="F86" s="141">
        <f t="shared" ref="F86:O86" si="88">SUM(F87:F88)</f>
        <v>0</v>
      </c>
      <c r="G86" s="141">
        <f t="shared" si="88"/>
        <v>0</v>
      </c>
      <c r="H86" s="141">
        <f t="shared" si="88"/>
        <v>0</v>
      </c>
      <c r="I86" s="141">
        <f t="shared" si="88"/>
        <v>0</v>
      </c>
      <c r="J86" s="141">
        <f t="shared" si="88"/>
        <v>0</v>
      </c>
      <c r="K86" s="141">
        <f t="shared" si="88"/>
        <v>0</v>
      </c>
      <c r="L86" s="141">
        <f t="shared" si="88"/>
        <v>0</v>
      </c>
      <c r="M86" s="141">
        <f t="shared" si="88"/>
        <v>0</v>
      </c>
      <c r="N86" s="141">
        <f t="shared" si="88"/>
        <v>0</v>
      </c>
      <c r="O86" s="141">
        <f t="shared" si="88"/>
        <v>0</v>
      </c>
      <c r="P86" s="141">
        <f>SUM(P87:P88)</f>
        <v>0</v>
      </c>
      <c r="Q86" s="36"/>
      <c r="R86" s="26"/>
    </row>
    <row r="87" spans="1:18" s="33" customFormat="1" ht="138.75" hidden="1" thickTop="1" thickBot="1" x14ac:dyDescent="0.25">
      <c r="A87" s="128" t="s">
        <v>1464</v>
      </c>
      <c r="B87" s="128" t="s">
        <v>1465</v>
      </c>
      <c r="C87" s="128" t="s">
        <v>210</v>
      </c>
      <c r="D87" s="128" t="s">
        <v>1469</v>
      </c>
      <c r="E87" s="127">
        <f t="shared" ref="E87:E88" si="89">F87</f>
        <v>0</v>
      </c>
      <c r="F87" s="134">
        <v>0</v>
      </c>
      <c r="G87" s="134"/>
      <c r="H87" s="134"/>
      <c r="I87" s="134"/>
      <c r="J87" s="127">
        <f t="shared" ref="J87:J88" si="90">L87+O87</f>
        <v>0</v>
      </c>
      <c r="K87" s="134"/>
      <c r="L87" s="134"/>
      <c r="M87" s="134"/>
      <c r="N87" s="134"/>
      <c r="O87" s="132">
        <f t="shared" ref="O87" si="91">K87</f>
        <v>0</v>
      </c>
      <c r="P87" s="127">
        <f t="shared" ref="P87:P88" si="92">E87+J87</f>
        <v>0</v>
      </c>
      <c r="Q87" s="36"/>
      <c r="R87" s="26"/>
    </row>
    <row r="88" spans="1:18" s="33" customFormat="1" ht="138.75" hidden="1" thickTop="1" thickBot="1" x14ac:dyDescent="0.25">
      <c r="A88" s="128" t="s">
        <v>1466</v>
      </c>
      <c r="B88" s="128" t="s">
        <v>1467</v>
      </c>
      <c r="C88" s="128" t="s">
        <v>210</v>
      </c>
      <c r="D88" s="128" t="s">
        <v>1468</v>
      </c>
      <c r="E88" s="127">
        <f t="shared" si="89"/>
        <v>0</v>
      </c>
      <c r="F88" s="134"/>
      <c r="G88" s="134"/>
      <c r="H88" s="134"/>
      <c r="I88" s="134"/>
      <c r="J88" s="127">
        <f t="shared" si="90"/>
        <v>0</v>
      </c>
      <c r="K88" s="134"/>
      <c r="L88" s="134"/>
      <c r="M88" s="134"/>
      <c r="N88" s="134"/>
      <c r="O88" s="132">
        <f>K88</f>
        <v>0</v>
      </c>
      <c r="P88" s="127">
        <f t="shared" si="92"/>
        <v>0</v>
      </c>
      <c r="Q88" s="36"/>
      <c r="R88" s="26"/>
    </row>
    <row r="89" spans="1:18" s="33" customFormat="1" ht="213" customHeight="1" thickTop="1" thickBot="1" x14ac:dyDescent="0.25">
      <c r="A89" s="329" t="s">
        <v>1568</v>
      </c>
      <c r="B89" s="329" t="s">
        <v>1570</v>
      </c>
      <c r="C89" s="128"/>
      <c r="D89" s="329" t="s">
        <v>1567</v>
      </c>
      <c r="E89" s="325">
        <f>SUM(E90:E91)</f>
        <v>2032.85</v>
      </c>
      <c r="F89" s="325">
        <f t="shared" ref="F89:P89" si="93">SUM(F90:F91)</f>
        <v>2032.85</v>
      </c>
      <c r="G89" s="325">
        <f t="shared" si="93"/>
        <v>0</v>
      </c>
      <c r="H89" s="325">
        <f t="shared" si="93"/>
        <v>0</v>
      </c>
      <c r="I89" s="325">
        <f t="shared" si="93"/>
        <v>0</v>
      </c>
      <c r="J89" s="325">
        <f t="shared" si="93"/>
        <v>11779554.15</v>
      </c>
      <c r="K89" s="325">
        <f t="shared" si="93"/>
        <v>3438754</v>
      </c>
      <c r="L89" s="325">
        <f t="shared" si="93"/>
        <v>4737.1499999999996</v>
      </c>
      <c r="M89" s="325">
        <f t="shared" si="93"/>
        <v>0</v>
      </c>
      <c r="N89" s="325">
        <f t="shared" si="93"/>
        <v>0</v>
      </c>
      <c r="O89" s="325">
        <f t="shared" si="93"/>
        <v>11774817</v>
      </c>
      <c r="P89" s="325">
        <f t="shared" si="93"/>
        <v>11781587</v>
      </c>
      <c r="Q89" s="36"/>
      <c r="R89" s="26"/>
    </row>
    <row r="90" spans="1:18" s="33" customFormat="1" ht="230.25" thickTop="1" thickBot="1" x14ac:dyDescent="0.25">
      <c r="A90" s="103" t="s">
        <v>1571</v>
      </c>
      <c r="B90" s="103" t="s">
        <v>1569</v>
      </c>
      <c r="C90" s="103" t="s">
        <v>210</v>
      </c>
      <c r="D90" s="103" t="s">
        <v>1572</v>
      </c>
      <c r="E90" s="328">
        <f>F90</f>
        <v>2032.85</v>
      </c>
      <c r="F90" s="462">
        <v>2032.85</v>
      </c>
      <c r="G90" s="462"/>
      <c r="H90" s="462"/>
      <c r="I90" s="462"/>
      <c r="J90" s="328">
        <f t="shared" ref="J90:J91" si="94">L90+O90</f>
        <v>3438754</v>
      </c>
      <c r="K90" s="462">
        <f>(150704)+3288050</f>
        <v>3438754</v>
      </c>
      <c r="L90" s="462"/>
      <c r="M90" s="462"/>
      <c r="N90" s="462"/>
      <c r="O90" s="459">
        <f t="shared" ref="O90" si="95">K90</f>
        <v>3438754</v>
      </c>
      <c r="P90" s="328">
        <f>E90+J90</f>
        <v>3440786.85</v>
      </c>
      <c r="Q90" s="36"/>
      <c r="R90" s="26"/>
    </row>
    <row r="91" spans="1:18" s="33" customFormat="1" ht="219" customHeight="1" thickTop="1" thickBot="1" x14ac:dyDescent="0.25">
      <c r="A91" s="103" t="s">
        <v>1573</v>
      </c>
      <c r="B91" s="103" t="s">
        <v>1574</v>
      </c>
      <c r="C91" s="103" t="s">
        <v>210</v>
      </c>
      <c r="D91" s="103" t="s">
        <v>1575</v>
      </c>
      <c r="E91" s="328">
        <f>F91</f>
        <v>0</v>
      </c>
      <c r="F91" s="462"/>
      <c r="G91" s="462"/>
      <c r="H91" s="462"/>
      <c r="I91" s="462"/>
      <c r="J91" s="328">
        <f t="shared" si="94"/>
        <v>8340800.1500000004</v>
      </c>
      <c r="K91" s="462"/>
      <c r="L91" s="462">
        <v>4737.1499999999996</v>
      </c>
      <c r="M91" s="462"/>
      <c r="N91" s="462"/>
      <c r="O91" s="459">
        <f>K91+8336063</f>
        <v>8336063</v>
      </c>
      <c r="P91" s="328">
        <f>E91+J91</f>
        <v>8340800.1500000004</v>
      </c>
      <c r="Q91" s="36"/>
      <c r="R91" s="26"/>
    </row>
    <row r="92" spans="1:18" s="33" customFormat="1" ht="47.25" thickTop="1" thickBot="1" x14ac:dyDescent="0.25">
      <c r="A92" s="311" t="s">
        <v>710</v>
      </c>
      <c r="B92" s="311" t="s">
        <v>711</v>
      </c>
      <c r="C92" s="311"/>
      <c r="D92" s="311" t="s">
        <v>712</v>
      </c>
      <c r="E92" s="328">
        <f>SUM(E93:E94)</f>
        <v>2474600</v>
      </c>
      <c r="F92" s="328">
        <f t="shared" ref="F92:P92" si="96">SUM(F93:F94)</f>
        <v>2474600</v>
      </c>
      <c r="G92" s="328">
        <f t="shared" si="96"/>
        <v>0</v>
      </c>
      <c r="H92" s="328">
        <f t="shared" si="96"/>
        <v>590600</v>
      </c>
      <c r="I92" s="328">
        <f t="shared" si="96"/>
        <v>0</v>
      </c>
      <c r="J92" s="328">
        <f t="shared" si="96"/>
        <v>0</v>
      </c>
      <c r="K92" s="328">
        <f t="shared" si="96"/>
        <v>0</v>
      </c>
      <c r="L92" s="328">
        <f t="shared" si="96"/>
        <v>0</v>
      </c>
      <c r="M92" s="328">
        <f t="shared" si="96"/>
        <v>0</v>
      </c>
      <c r="N92" s="328">
        <f t="shared" si="96"/>
        <v>0</v>
      </c>
      <c r="O92" s="328">
        <f t="shared" si="96"/>
        <v>0</v>
      </c>
      <c r="P92" s="328">
        <f t="shared" si="96"/>
        <v>2474600</v>
      </c>
      <c r="Q92" s="36"/>
      <c r="R92" s="26"/>
    </row>
    <row r="93" spans="1:18" s="33" customFormat="1" ht="167.25" customHeight="1" thickTop="1" thickBot="1" x14ac:dyDescent="0.25">
      <c r="A93" s="103" t="s">
        <v>431</v>
      </c>
      <c r="B93" s="103" t="s">
        <v>432</v>
      </c>
      <c r="C93" s="103" t="s">
        <v>185</v>
      </c>
      <c r="D93" s="103" t="s">
        <v>430</v>
      </c>
      <c r="E93" s="328">
        <f t="shared" si="63"/>
        <v>715000</v>
      </c>
      <c r="F93" s="462">
        <v>715000</v>
      </c>
      <c r="G93" s="462"/>
      <c r="H93" s="462"/>
      <c r="I93" s="462"/>
      <c r="J93" s="328">
        <f>L93+O93</f>
        <v>0</v>
      </c>
      <c r="K93" s="462"/>
      <c r="L93" s="462"/>
      <c r="M93" s="462"/>
      <c r="N93" s="462"/>
      <c r="O93" s="459">
        <f>K93</f>
        <v>0</v>
      </c>
      <c r="P93" s="328">
        <f>E93+J93</f>
        <v>715000</v>
      </c>
      <c r="Q93" s="36"/>
      <c r="R93" s="39"/>
    </row>
    <row r="94" spans="1:18" s="33" customFormat="1" ht="114.75" customHeight="1" thickTop="1" thickBot="1" x14ac:dyDescent="0.25">
      <c r="A94" s="103" t="s">
        <v>1233</v>
      </c>
      <c r="B94" s="103" t="s">
        <v>1200</v>
      </c>
      <c r="C94" s="103" t="s">
        <v>206</v>
      </c>
      <c r="D94" s="470" t="s">
        <v>1201</v>
      </c>
      <c r="E94" s="328">
        <f t="shared" si="63"/>
        <v>1759600</v>
      </c>
      <c r="F94" s="462">
        <v>1759600</v>
      </c>
      <c r="G94" s="462"/>
      <c r="H94" s="462">
        <v>590600</v>
      </c>
      <c r="I94" s="462"/>
      <c r="J94" s="328">
        <f>L94+O94</f>
        <v>0</v>
      </c>
      <c r="K94" s="462"/>
      <c r="L94" s="462"/>
      <c r="M94" s="462"/>
      <c r="N94" s="462"/>
      <c r="O94" s="459">
        <f>K94</f>
        <v>0</v>
      </c>
      <c r="P94" s="328">
        <f>E94+J94</f>
        <v>1759600</v>
      </c>
      <c r="Q94" s="36"/>
      <c r="R94" s="39"/>
    </row>
    <row r="95" spans="1:18" s="33" customFormat="1" ht="57" customHeight="1" thickTop="1" thickBot="1" x14ac:dyDescent="0.25">
      <c r="A95" s="311" t="s">
        <v>1089</v>
      </c>
      <c r="B95" s="311" t="s">
        <v>748</v>
      </c>
      <c r="C95" s="311"/>
      <c r="D95" s="311" t="s">
        <v>1088</v>
      </c>
      <c r="E95" s="328">
        <f>E96+E99</f>
        <v>0</v>
      </c>
      <c r="F95" s="328">
        <f t="shared" ref="F95:P95" si="97">F96+F99</f>
        <v>0</v>
      </c>
      <c r="G95" s="328">
        <f t="shared" si="97"/>
        <v>0</v>
      </c>
      <c r="H95" s="328">
        <f t="shared" si="97"/>
        <v>0</v>
      </c>
      <c r="I95" s="328">
        <f t="shared" si="97"/>
        <v>0</v>
      </c>
      <c r="J95" s="328">
        <f t="shared" si="97"/>
        <v>59515483.160000004</v>
      </c>
      <c r="K95" s="328">
        <f t="shared" si="97"/>
        <v>59515483.160000004</v>
      </c>
      <c r="L95" s="328">
        <f t="shared" si="97"/>
        <v>0</v>
      </c>
      <c r="M95" s="328">
        <f t="shared" si="97"/>
        <v>0</v>
      </c>
      <c r="N95" s="328">
        <f t="shared" si="97"/>
        <v>0</v>
      </c>
      <c r="O95" s="328">
        <f t="shared" si="97"/>
        <v>59515483.160000004</v>
      </c>
      <c r="P95" s="328">
        <f t="shared" si="97"/>
        <v>59515483.160000004</v>
      </c>
      <c r="Q95" s="36"/>
      <c r="R95" s="26"/>
    </row>
    <row r="96" spans="1:18" s="33" customFormat="1" ht="57" customHeight="1" thickTop="1" thickBot="1" x14ac:dyDescent="0.25">
      <c r="A96" s="313" t="s">
        <v>1087</v>
      </c>
      <c r="B96" s="313" t="s">
        <v>803</v>
      </c>
      <c r="C96" s="313"/>
      <c r="D96" s="313" t="s">
        <v>804</v>
      </c>
      <c r="E96" s="315">
        <f>E97</f>
        <v>0</v>
      </c>
      <c r="F96" s="315">
        <f t="shared" ref="F96:P97" si="98">F97</f>
        <v>0</v>
      </c>
      <c r="G96" s="315">
        <f t="shared" si="98"/>
        <v>0</v>
      </c>
      <c r="H96" s="315">
        <f t="shared" si="98"/>
        <v>0</v>
      </c>
      <c r="I96" s="315">
        <f t="shared" si="98"/>
        <v>0</v>
      </c>
      <c r="J96" s="315">
        <f t="shared" si="98"/>
        <v>30860227.260000002</v>
      </c>
      <c r="K96" s="315">
        <f t="shared" si="98"/>
        <v>30860227.260000002</v>
      </c>
      <c r="L96" s="315">
        <f t="shared" si="98"/>
        <v>0</v>
      </c>
      <c r="M96" s="315">
        <f t="shared" si="98"/>
        <v>0</v>
      </c>
      <c r="N96" s="315">
        <f t="shared" si="98"/>
        <v>0</v>
      </c>
      <c r="O96" s="315">
        <f t="shared" si="98"/>
        <v>30860227.260000002</v>
      </c>
      <c r="P96" s="315">
        <f t="shared" si="98"/>
        <v>30860227.260000002</v>
      </c>
      <c r="Q96" s="36"/>
      <c r="R96" s="26"/>
    </row>
    <row r="97" spans="1:18" s="33" customFormat="1" ht="54" thickTop="1" thickBot="1" x14ac:dyDescent="0.25">
      <c r="A97" s="329" t="s">
        <v>1090</v>
      </c>
      <c r="B97" s="329" t="s">
        <v>821</v>
      </c>
      <c r="C97" s="329"/>
      <c r="D97" s="329" t="s">
        <v>1524</v>
      </c>
      <c r="E97" s="325">
        <f>E98</f>
        <v>0</v>
      </c>
      <c r="F97" s="325">
        <f t="shared" si="98"/>
        <v>0</v>
      </c>
      <c r="G97" s="325">
        <f t="shared" si="98"/>
        <v>0</v>
      </c>
      <c r="H97" s="325">
        <f t="shared" si="98"/>
        <v>0</v>
      </c>
      <c r="I97" s="325">
        <f t="shared" si="98"/>
        <v>0</v>
      </c>
      <c r="J97" s="325">
        <f t="shared" si="98"/>
        <v>30860227.260000002</v>
      </c>
      <c r="K97" s="325">
        <f t="shared" si="98"/>
        <v>30860227.260000002</v>
      </c>
      <c r="L97" s="325">
        <f t="shared" si="98"/>
        <v>0</v>
      </c>
      <c r="M97" s="325">
        <f t="shared" si="98"/>
        <v>0</v>
      </c>
      <c r="N97" s="325">
        <f t="shared" si="98"/>
        <v>0</v>
      </c>
      <c r="O97" s="325">
        <f t="shared" si="98"/>
        <v>30860227.260000002</v>
      </c>
      <c r="P97" s="325">
        <f t="shared" si="98"/>
        <v>30860227.260000002</v>
      </c>
      <c r="Q97" s="36"/>
      <c r="R97" s="26"/>
    </row>
    <row r="98" spans="1:18" s="33" customFormat="1" ht="57" customHeight="1" thickTop="1" thickBot="1" x14ac:dyDescent="0.25">
      <c r="A98" s="103" t="s">
        <v>1102</v>
      </c>
      <c r="B98" s="103" t="s">
        <v>311</v>
      </c>
      <c r="C98" s="103" t="s">
        <v>304</v>
      </c>
      <c r="D98" s="103" t="s">
        <v>1504</v>
      </c>
      <c r="E98" s="328">
        <f t="shared" ref="E98" si="99">F98</f>
        <v>0</v>
      </c>
      <c r="F98" s="462"/>
      <c r="G98" s="462"/>
      <c r="H98" s="462"/>
      <c r="I98" s="462"/>
      <c r="J98" s="328">
        <f t="shared" ref="J98" si="100">L98+O98</f>
        <v>30860227.260000002</v>
      </c>
      <c r="K98" s="462">
        <f>((2000000+5000000+2000000+2000000)+20260227.26)-400000</f>
        <v>30860227.260000002</v>
      </c>
      <c r="L98" s="462"/>
      <c r="M98" s="462"/>
      <c r="N98" s="462"/>
      <c r="O98" s="459">
        <f t="shared" ref="O98" si="101">K98</f>
        <v>30860227.260000002</v>
      </c>
      <c r="P98" s="328">
        <f>E98+J98</f>
        <v>30860227.260000002</v>
      </c>
      <c r="Q98" s="30"/>
      <c r="R98" s="26"/>
    </row>
    <row r="99" spans="1:18" s="33" customFormat="1" ht="57" customHeight="1" thickTop="1" thickBot="1" x14ac:dyDescent="0.25">
      <c r="A99" s="313" t="s">
        <v>1091</v>
      </c>
      <c r="B99" s="313" t="s">
        <v>691</v>
      </c>
      <c r="C99" s="313"/>
      <c r="D99" s="313" t="s">
        <v>689</v>
      </c>
      <c r="E99" s="315">
        <f>E100</f>
        <v>0</v>
      </c>
      <c r="F99" s="315">
        <f t="shared" ref="F99:P99" si="102">F100</f>
        <v>0</v>
      </c>
      <c r="G99" s="315">
        <f t="shared" si="102"/>
        <v>0</v>
      </c>
      <c r="H99" s="315">
        <f t="shared" si="102"/>
        <v>0</v>
      </c>
      <c r="I99" s="315">
        <f t="shared" si="102"/>
        <v>0</v>
      </c>
      <c r="J99" s="315">
        <f t="shared" si="102"/>
        <v>28655255.900000002</v>
      </c>
      <c r="K99" s="315">
        <f t="shared" si="102"/>
        <v>28655255.900000002</v>
      </c>
      <c r="L99" s="315">
        <f t="shared" si="102"/>
        <v>0</v>
      </c>
      <c r="M99" s="315">
        <f t="shared" si="102"/>
        <v>0</v>
      </c>
      <c r="N99" s="315">
        <f t="shared" si="102"/>
        <v>0</v>
      </c>
      <c r="O99" s="315">
        <f t="shared" si="102"/>
        <v>28655255.900000002</v>
      </c>
      <c r="P99" s="315">
        <f t="shared" si="102"/>
        <v>28655255.900000002</v>
      </c>
      <c r="Q99" s="30"/>
      <c r="R99" s="26"/>
    </row>
    <row r="100" spans="1:18" s="33" customFormat="1" ht="57" customHeight="1" thickTop="1" thickBot="1" x14ac:dyDescent="0.25">
      <c r="A100" s="103" t="s">
        <v>1092</v>
      </c>
      <c r="B100" s="103" t="s">
        <v>212</v>
      </c>
      <c r="C100" s="103" t="s">
        <v>213</v>
      </c>
      <c r="D100" s="103" t="s">
        <v>41</v>
      </c>
      <c r="E100" s="328">
        <f t="shared" ref="E100" si="103">F100</f>
        <v>0</v>
      </c>
      <c r="F100" s="462"/>
      <c r="G100" s="462"/>
      <c r="H100" s="462"/>
      <c r="I100" s="462"/>
      <c r="J100" s="328">
        <f t="shared" ref="J100" si="104">L100+O100</f>
        <v>28655255.900000002</v>
      </c>
      <c r="K100" s="462">
        <f>((7500000+7500000)+3455977.12)+4000000+5000000+1199278.78</f>
        <v>28655255.900000002</v>
      </c>
      <c r="L100" s="462"/>
      <c r="M100" s="462"/>
      <c r="N100" s="462"/>
      <c r="O100" s="459">
        <f t="shared" ref="O100" si="105">K100</f>
        <v>28655255.900000002</v>
      </c>
      <c r="P100" s="328">
        <f>E100+J100</f>
        <v>28655255.900000002</v>
      </c>
      <c r="Q100" s="30"/>
      <c r="R100" s="26"/>
    </row>
    <row r="101" spans="1:18" s="33" customFormat="1" ht="47.25" hidden="1" thickTop="1" thickBot="1" x14ac:dyDescent="0.25">
      <c r="A101" s="125" t="s">
        <v>1224</v>
      </c>
      <c r="B101" s="125" t="s">
        <v>696</v>
      </c>
      <c r="C101" s="125"/>
      <c r="D101" s="125" t="s">
        <v>697</v>
      </c>
      <c r="E101" s="127">
        <f t="shared" ref="E101:P102" si="106">E102</f>
        <v>0</v>
      </c>
      <c r="F101" s="127">
        <f t="shared" si="106"/>
        <v>0</v>
      </c>
      <c r="G101" s="127">
        <f t="shared" si="106"/>
        <v>0</v>
      </c>
      <c r="H101" s="127">
        <f t="shared" si="106"/>
        <v>0</v>
      </c>
      <c r="I101" s="127">
        <f t="shared" si="106"/>
        <v>0</v>
      </c>
      <c r="J101" s="127">
        <f t="shared" si="106"/>
        <v>0</v>
      </c>
      <c r="K101" s="127">
        <f t="shared" si="106"/>
        <v>0</v>
      </c>
      <c r="L101" s="127">
        <f t="shared" si="106"/>
        <v>0</v>
      </c>
      <c r="M101" s="127">
        <f t="shared" si="106"/>
        <v>0</v>
      </c>
      <c r="N101" s="127">
        <f t="shared" si="106"/>
        <v>0</v>
      </c>
      <c r="O101" s="127">
        <f t="shared" si="106"/>
        <v>0</v>
      </c>
      <c r="P101" s="127">
        <f t="shared" si="106"/>
        <v>0</v>
      </c>
      <c r="Q101" s="30"/>
      <c r="R101" s="26"/>
    </row>
    <row r="102" spans="1:18" s="33" customFormat="1" ht="47.25" hidden="1" thickTop="1" thickBot="1" x14ac:dyDescent="0.25">
      <c r="A102" s="136" t="s">
        <v>1225</v>
      </c>
      <c r="B102" s="136" t="s">
        <v>1186</v>
      </c>
      <c r="C102" s="136"/>
      <c r="D102" s="136" t="s">
        <v>1184</v>
      </c>
      <c r="E102" s="137">
        <f t="shared" si="106"/>
        <v>0</v>
      </c>
      <c r="F102" s="137">
        <f t="shared" si="106"/>
        <v>0</v>
      </c>
      <c r="G102" s="137">
        <f t="shared" si="106"/>
        <v>0</v>
      </c>
      <c r="H102" s="137">
        <f t="shared" si="106"/>
        <v>0</v>
      </c>
      <c r="I102" s="137">
        <f t="shared" si="106"/>
        <v>0</v>
      </c>
      <c r="J102" s="137">
        <f t="shared" si="106"/>
        <v>0</v>
      </c>
      <c r="K102" s="137">
        <f t="shared" si="106"/>
        <v>0</v>
      </c>
      <c r="L102" s="137">
        <f t="shared" si="106"/>
        <v>0</v>
      </c>
      <c r="M102" s="137">
        <f t="shared" si="106"/>
        <v>0</v>
      </c>
      <c r="N102" s="137">
        <f t="shared" si="106"/>
        <v>0</v>
      </c>
      <c r="O102" s="137">
        <f t="shared" si="106"/>
        <v>0</v>
      </c>
      <c r="P102" s="137">
        <f t="shared" si="106"/>
        <v>0</v>
      </c>
      <c r="Q102" s="30"/>
      <c r="R102" s="26"/>
    </row>
    <row r="103" spans="1:18" s="33" customFormat="1" ht="48" hidden="1" thickTop="1" thickBot="1" x14ac:dyDescent="0.25">
      <c r="A103" s="128" t="s">
        <v>1226</v>
      </c>
      <c r="B103" s="128" t="s">
        <v>1190</v>
      </c>
      <c r="C103" s="128" t="s">
        <v>1188</v>
      </c>
      <c r="D103" s="128" t="s">
        <v>1187</v>
      </c>
      <c r="E103" s="127">
        <f>F103</f>
        <v>0</v>
      </c>
      <c r="F103" s="134"/>
      <c r="G103" s="134"/>
      <c r="H103" s="134"/>
      <c r="I103" s="134"/>
      <c r="J103" s="127">
        <f>L103+O103</f>
        <v>0</v>
      </c>
      <c r="K103" s="134">
        <v>0</v>
      </c>
      <c r="L103" s="134"/>
      <c r="M103" s="134"/>
      <c r="N103" s="134"/>
      <c r="O103" s="132">
        <f>K103</f>
        <v>0</v>
      </c>
      <c r="P103" s="127">
        <f>E103+J103</f>
        <v>0</v>
      </c>
      <c r="Q103" s="30"/>
      <c r="R103" s="26"/>
    </row>
    <row r="104" spans="1:18" s="33" customFormat="1" ht="47.25" hidden="1" customHeight="1" thickTop="1" thickBot="1" x14ac:dyDescent="0.25">
      <c r="A104" s="146" t="s">
        <v>1028</v>
      </c>
      <c r="B104" s="146" t="s">
        <v>702</v>
      </c>
      <c r="C104" s="146"/>
      <c r="D104" s="146" t="s">
        <v>703</v>
      </c>
      <c r="E104" s="42">
        <f>E105</f>
        <v>0</v>
      </c>
      <c r="F104" s="42">
        <f t="shared" ref="F104:P105" si="107">F105</f>
        <v>0</v>
      </c>
      <c r="G104" s="42">
        <f t="shared" si="107"/>
        <v>0</v>
      </c>
      <c r="H104" s="42">
        <f t="shared" si="107"/>
        <v>0</v>
      </c>
      <c r="I104" s="42">
        <f t="shared" si="107"/>
        <v>0</v>
      </c>
      <c r="J104" s="42">
        <f t="shared" si="107"/>
        <v>0</v>
      </c>
      <c r="K104" s="42">
        <f t="shared" si="107"/>
        <v>0</v>
      </c>
      <c r="L104" s="42">
        <f t="shared" si="107"/>
        <v>0</v>
      </c>
      <c r="M104" s="42">
        <f t="shared" si="107"/>
        <v>0</v>
      </c>
      <c r="N104" s="42">
        <f t="shared" si="107"/>
        <v>0</v>
      </c>
      <c r="O104" s="42">
        <f t="shared" si="107"/>
        <v>0</v>
      </c>
      <c r="P104" s="42">
        <f t="shared" si="107"/>
        <v>0</v>
      </c>
      <c r="Q104" s="36"/>
      <c r="R104" s="26"/>
    </row>
    <row r="105" spans="1:18" s="33" customFormat="1" ht="136.5" hidden="1" thickTop="1" thickBot="1" x14ac:dyDescent="0.25">
      <c r="A105" s="147" t="s">
        <v>1029</v>
      </c>
      <c r="B105" s="147" t="s">
        <v>705</v>
      </c>
      <c r="C105" s="147"/>
      <c r="D105" s="147" t="s">
        <v>706</v>
      </c>
      <c r="E105" s="148">
        <f>E106</f>
        <v>0</v>
      </c>
      <c r="F105" s="148">
        <f t="shared" si="107"/>
        <v>0</v>
      </c>
      <c r="G105" s="148">
        <f t="shared" si="107"/>
        <v>0</v>
      </c>
      <c r="H105" s="148">
        <f t="shared" si="107"/>
        <v>0</v>
      </c>
      <c r="I105" s="148">
        <f t="shared" si="107"/>
        <v>0</v>
      </c>
      <c r="J105" s="148">
        <f t="shared" si="107"/>
        <v>0</v>
      </c>
      <c r="K105" s="148">
        <f t="shared" si="107"/>
        <v>0</v>
      </c>
      <c r="L105" s="148">
        <f t="shared" si="107"/>
        <v>0</v>
      </c>
      <c r="M105" s="148">
        <f t="shared" si="107"/>
        <v>0</v>
      </c>
      <c r="N105" s="148">
        <f t="shared" si="107"/>
        <v>0</v>
      </c>
      <c r="O105" s="148">
        <f t="shared" si="107"/>
        <v>0</v>
      </c>
      <c r="P105" s="148">
        <f t="shared" si="107"/>
        <v>0</v>
      </c>
      <c r="Q105" s="36"/>
      <c r="R105" s="26"/>
    </row>
    <row r="106" spans="1:18" s="33" customFormat="1" ht="48" hidden="1" thickTop="1" thickBot="1" x14ac:dyDescent="0.25">
      <c r="A106" s="41" t="s">
        <v>1030</v>
      </c>
      <c r="B106" s="41" t="s">
        <v>363</v>
      </c>
      <c r="C106" s="41" t="s">
        <v>43</v>
      </c>
      <c r="D106" s="41" t="s">
        <v>364</v>
      </c>
      <c r="E106" s="42">
        <f t="shared" ref="E106" si="108">F106</f>
        <v>0</v>
      </c>
      <c r="F106" s="43"/>
      <c r="G106" s="43"/>
      <c r="H106" s="43"/>
      <c r="I106" s="43"/>
      <c r="J106" s="42">
        <f>L106+O106</f>
        <v>0</v>
      </c>
      <c r="K106" s="43"/>
      <c r="L106" s="43"/>
      <c r="M106" s="43"/>
      <c r="N106" s="43"/>
      <c r="O106" s="44">
        <f>K106</f>
        <v>0</v>
      </c>
      <c r="P106" s="42">
        <f>E106+J106</f>
        <v>0</v>
      </c>
      <c r="Q106" s="36"/>
      <c r="R106" s="26"/>
    </row>
    <row r="107" spans="1:18" ht="120" customHeight="1" thickTop="1" thickBot="1" x14ac:dyDescent="0.25">
      <c r="A107" s="661" t="s">
        <v>154</v>
      </c>
      <c r="B107" s="661"/>
      <c r="C107" s="661"/>
      <c r="D107" s="662" t="s">
        <v>18</v>
      </c>
      <c r="E107" s="663">
        <f>E108</f>
        <v>95562866</v>
      </c>
      <c r="F107" s="664">
        <f t="shared" ref="F107:G107" si="109">F108</f>
        <v>95562866</v>
      </c>
      <c r="G107" s="664">
        <f t="shared" si="109"/>
        <v>5749881</v>
      </c>
      <c r="H107" s="664">
        <f>H108</f>
        <v>399960</v>
      </c>
      <c r="I107" s="664">
        <f t="shared" ref="I107" si="110">I108</f>
        <v>0</v>
      </c>
      <c r="J107" s="663">
        <f>J108</f>
        <v>34298705.990000002</v>
      </c>
      <c r="K107" s="664">
        <f>K108</f>
        <v>34298705.990000002</v>
      </c>
      <c r="L107" s="664">
        <f>L108</f>
        <v>0</v>
      </c>
      <c r="M107" s="664">
        <f t="shared" ref="M107" si="111">M108</f>
        <v>0</v>
      </c>
      <c r="N107" s="664">
        <f>N108</f>
        <v>0</v>
      </c>
      <c r="O107" s="663">
        <f>O108</f>
        <v>34298705.990000002</v>
      </c>
      <c r="P107" s="664">
        <f>P108</f>
        <v>129861571.98999999</v>
      </c>
      <c r="Q107" s="20"/>
    </row>
    <row r="108" spans="1:18" ht="120" customHeight="1" thickTop="1" thickBot="1" x14ac:dyDescent="0.25">
      <c r="A108" s="658" t="s">
        <v>155</v>
      </c>
      <c r="B108" s="658"/>
      <c r="C108" s="658"/>
      <c r="D108" s="659" t="s">
        <v>36</v>
      </c>
      <c r="E108" s="660">
        <f>E109+E112+E129+E127</f>
        <v>95562866</v>
      </c>
      <c r="F108" s="660">
        <f t="shared" ref="F108:P108" si="112">F109+F112+F129+F127</f>
        <v>95562866</v>
      </c>
      <c r="G108" s="660">
        <f t="shared" si="112"/>
        <v>5749881</v>
      </c>
      <c r="H108" s="660">
        <f t="shared" si="112"/>
        <v>399960</v>
      </c>
      <c r="I108" s="660">
        <f t="shared" si="112"/>
        <v>0</v>
      </c>
      <c r="J108" s="660">
        <f t="shared" si="112"/>
        <v>34298705.990000002</v>
      </c>
      <c r="K108" s="660">
        <f t="shared" si="112"/>
        <v>34298705.990000002</v>
      </c>
      <c r="L108" s="660">
        <f t="shared" si="112"/>
        <v>0</v>
      </c>
      <c r="M108" s="660">
        <f t="shared" si="112"/>
        <v>0</v>
      </c>
      <c r="N108" s="660">
        <f t="shared" si="112"/>
        <v>0</v>
      </c>
      <c r="O108" s="660">
        <f t="shared" si="112"/>
        <v>34298705.990000002</v>
      </c>
      <c r="P108" s="660">
        <f t="shared" si="112"/>
        <v>129861571.98999999</v>
      </c>
      <c r="Q108" s="565" t="b">
        <f>P108=P110+P113+P114+P115+P116+P119+P123+P124+P128+P132+P126+P136</f>
        <v>1</v>
      </c>
      <c r="R108" s="26"/>
    </row>
    <row r="109" spans="1:18" ht="47.25" thickTop="1" thickBot="1" x14ac:dyDescent="0.25">
      <c r="A109" s="311" t="s">
        <v>713</v>
      </c>
      <c r="B109" s="311" t="s">
        <v>684</v>
      </c>
      <c r="C109" s="311"/>
      <c r="D109" s="311" t="s">
        <v>685</v>
      </c>
      <c r="E109" s="328">
        <f>SUM(E110:E111)</f>
        <v>3390311</v>
      </c>
      <c r="F109" s="328">
        <f t="shared" ref="F109:P109" si="113">SUM(F110:F111)</f>
        <v>3390311</v>
      </c>
      <c r="G109" s="328">
        <f t="shared" si="113"/>
        <v>2480000</v>
      </c>
      <c r="H109" s="328">
        <f t="shared" si="113"/>
        <v>191160</v>
      </c>
      <c r="I109" s="328">
        <f t="shared" si="113"/>
        <v>0</v>
      </c>
      <c r="J109" s="328">
        <f t="shared" si="113"/>
        <v>0</v>
      </c>
      <c r="K109" s="328">
        <f t="shared" si="113"/>
        <v>0</v>
      </c>
      <c r="L109" s="328">
        <f t="shared" si="113"/>
        <v>0</v>
      </c>
      <c r="M109" s="328">
        <f t="shared" si="113"/>
        <v>0</v>
      </c>
      <c r="N109" s="328">
        <f t="shared" si="113"/>
        <v>0</v>
      </c>
      <c r="O109" s="328">
        <f t="shared" si="113"/>
        <v>0</v>
      </c>
      <c r="P109" s="328">
        <f t="shared" si="113"/>
        <v>3390311</v>
      </c>
      <c r="Q109" s="30"/>
      <c r="R109" s="26"/>
    </row>
    <row r="110" spans="1:18" ht="93" thickTop="1" thickBot="1" x14ac:dyDescent="0.25">
      <c r="A110" s="103" t="s">
        <v>416</v>
      </c>
      <c r="B110" s="103" t="s">
        <v>236</v>
      </c>
      <c r="C110" s="103" t="s">
        <v>234</v>
      </c>
      <c r="D110" s="103" t="s">
        <v>235</v>
      </c>
      <c r="E110" s="328">
        <f>F110</f>
        <v>3390311</v>
      </c>
      <c r="F110" s="462">
        <v>3390311</v>
      </c>
      <c r="G110" s="462">
        <v>2480000</v>
      </c>
      <c r="H110" s="462">
        <v>191160</v>
      </c>
      <c r="I110" s="462"/>
      <c r="J110" s="328">
        <f t="shared" ref="J110:J138" si="114">L110+O110</f>
        <v>0</v>
      </c>
      <c r="K110" s="462">
        <v>0</v>
      </c>
      <c r="L110" s="462"/>
      <c r="M110" s="462"/>
      <c r="N110" s="462"/>
      <c r="O110" s="459">
        <f>K110</f>
        <v>0</v>
      </c>
      <c r="P110" s="328">
        <f t="shared" ref="P110:P138" si="115">E110+J110</f>
        <v>3390311</v>
      </c>
      <c r="Q110" s="39"/>
      <c r="R110" s="26"/>
    </row>
    <row r="111" spans="1:18" ht="93" hidden="1" thickTop="1" thickBot="1" x14ac:dyDescent="0.25">
      <c r="A111" s="128" t="s">
        <v>1257</v>
      </c>
      <c r="B111" s="128" t="s">
        <v>362</v>
      </c>
      <c r="C111" s="128" t="s">
        <v>625</v>
      </c>
      <c r="D111" s="128" t="s">
        <v>626</v>
      </c>
      <c r="E111" s="127">
        <f>F111</f>
        <v>0</v>
      </c>
      <c r="F111" s="134">
        <v>0</v>
      </c>
      <c r="G111" s="134"/>
      <c r="H111" s="134"/>
      <c r="I111" s="134"/>
      <c r="J111" s="127">
        <f t="shared" si="114"/>
        <v>0</v>
      </c>
      <c r="K111" s="134"/>
      <c r="L111" s="134"/>
      <c r="M111" s="134"/>
      <c r="N111" s="134"/>
      <c r="O111" s="132">
        <f>K111</f>
        <v>0</v>
      </c>
      <c r="P111" s="127">
        <f t="shared" si="115"/>
        <v>0</v>
      </c>
      <c r="Q111" s="39"/>
      <c r="R111" s="26"/>
    </row>
    <row r="112" spans="1:18" ht="47.25" thickTop="1" thickBot="1" x14ac:dyDescent="0.25">
      <c r="A112" s="311" t="s">
        <v>714</v>
      </c>
      <c r="B112" s="311" t="s">
        <v>715</v>
      </c>
      <c r="C112" s="311"/>
      <c r="D112" s="311" t="s">
        <v>716</v>
      </c>
      <c r="E112" s="328">
        <f>SUM(E113:E126)-E118-E120-E122-E125</f>
        <v>92072555</v>
      </c>
      <c r="F112" s="328">
        <f t="shared" ref="F112:P112" si="116">SUM(F113:F126)-F118-F120-F122-F125</f>
        <v>92072555</v>
      </c>
      <c r="G112" s="328">
        <f t="shared" si="116"/>
        <v>3269881</v>
      </c>
      <c r="H112" s="328">
        <f t="shared" si="116"/>
        <v>208800</v>
      </c>
      <c r="I112" s="328">
        <f t="shared" si="116"/>
        <v>0</v>
      </c>
      <c r="J112" s="328">
        <f t="shared" si="116"/>
        <v>29239781</v>
      </c>
      <c r="K112" s="328">
        <f t="shared" si="116"/>
        <v>29239781</v>
      </c>
      <c r="L112" s="328">
        <f t="shared" si="116"/>
        <v>0</v>
      </c>
      <c r="M112" s="328">
        <f t="shared" si="116"/>
        <v>0</v>
      </c>
      <c r="N112" s="328">
        <f t="shared" si="116"/>
        <v>0</v>
      </c>
      <c r="O112" s="328">
        <f t="shared" si="116"/>
        <v>29239781</v>
      </c>
      <c r="P112" s="328">
        <f t="shared" si="116"/>
        <v>121312336</v>
      </c>
      <c r="Q112" s="39"/>
      <c r="R112" s="39"/>
    </row>
    <row r="113" spans="1:18" ht="48" thickTop="1" thickBot="1" x14ac:dyDescent="0.25">
      <c r="A113" s="103" t="s">
        <v>214</v>
      </c>
      <c r="B113" s="103" t="s">
        <v>211</v>
      </c>
      <c r="C113" s="103" t="s">
        <v>215</v>
      </c>
      <c r="D113" s="103" t="s">
        <v>19</v>
      </c>
      <c r="E113" s="328">
        <f>F113</f>
        <v>19464100</v>
      </c>
      <c r="F113" s="462">
        <f>(24239100-5400000)+625000</f>
        <v>19464100</v>
      </c>
      <c r="G113" s="462"/>
      <c r="H113" s="462"/>
      <c r="I113" s="462"/>
      <c r="J113" s="328">
        <f t="shared" si="114"/>
        <v>13012000</v>
      </c>
      <c r="K113" s="462">
        <f>((6800000)+5212000)+1000000</f>
        <v>13012000</v>
      </c>
      <c r="L113" s="462"/>
      <c r="M113" s="462"/>
      <c r="N113" s="462"/>
      <c r="O113" s="459">
        <f>K113</f>
        <v>13012000</v>
      </c>
      <c r="P113" s="328">
        <f t="shared" si="115"/>
        <v>32476100</v>
      </c>
      <c r="Q113" s="20"/>
      <c r="R113" s="30"/>
    </row>
    <row r="114" spans="1:18" ht="48" thickTop="1" thickBot="1" x14ac:dyDescent="0.25">
      <c r="A114" s="103" t="s">
        <v>505</v>
      </c>
      <c r="B114" s="103" t="s">
        <v>508</v>
      </c>
      <c r="C114" s="103" t="s">
        <v>507</v>
      </c>
      <c r="D114" s="103" t="s">
        <v>506</v>
      </c>
      <c r="E114" s="328">
        <f>F114</f>
        <v>10536600</v>
      </c>
      <c r="F114" s="462">
        <f>(10860600-1200000)+450000+426000</f>
        <v>10536600</v>
      </c>
      <c r="G114" s="462"/>
      <c r="H114" s="462"/>
      <c r="I114" s="462"/>
      <c r="J114" s="328">
        <f t="shared" si="114"/>
        <v>0</v>
      </c>
      <c r="K114" s="462"/>
      <c r="L114" s="462"/>
      <c r="M114" s="462"/>
      <c r="N114" s="462"/>
      <c r="O114" s="459">
        <f>K114</f>
        <v>0</v>
      </c>
      <c r="P114" s="328">
        <f t="shared" si="115"/>
        <v>10536600</v>
      </c>
      <c r="Q114" s="20"/>
      <c r="R114" s="39"/>
    </row>
    <row r="115" spans="1:18" ht="93" thickTop="1" thickBot="1" x14ac:dyDescent="0.25">
      <c r="A115" s="103" t="s">
        <v>216</v>
      </c>
      <c r="B115" s="103" t="s">
        <v>217</v>
      </c>
      <c r="C115" s="103" t="s">
        <v>218</v>
      </c>
      <c r="D115" s="103" t="s">
        <v>219</v>
      </c>
      <c r="E115" s="328">
        <f t="shared" ref="E115:E138" si="117">F115</f>
        <v>8081900</v>
      </c>
      <c r="F115" s="462">
        <f>9381900-1300000</f>
        <v>8081900</v>
      </c>
      <c r="G115" s="462"/>
      <c r="H115" s="462"/>
      <c r="I115" s="462"/>
      <c r="J115" s="328">
        <f t="shared" si="114"/>
        <v>13233781</v>
      </c>
      <c r="K115" s="462">
        <f>((2400000)+4029711)+1089138+1606348+2108584+2000000</f>
        <v>13233781</v>
      </c>
      <c r="L115" s="462"/>
      <c r="M115" s="462"/>
      <c r="N115" s="462"/>
      <c r="O115" s="459">
        <f>K115</f>
        <v>13233781</v>
      </c>
      <c r="P115" s="328">
        <f t="shared" si="115"/>
        <v>21315681</v>
      </c>
      <c r="Q115" s="20"/>
      <c r="R115" s="39"/>
    </row>
    <row r="116" spans="1:18" ht="93" thickTop="1" thickBot="1" x14ac:dyDescent="0.25">
      <c r="A116" s="103" t="s">
        <v>220</v>
      </c>
      <c r="B116" s="103" t="s">
        <v>221</v>
      </c>
      <c r="C116" s="103" t="s">
        <v>222</v>
      </c>
      <c r="D116" s="103" t="s">
        <v>345</v>
      </c>
      <c r="E116" s="328">
        <f t="shared" si="117"/>
        <v>25012900</v>
      </c>
      <c r="F116" s="462">
        <f>26512900-1500000</f>
        <v>25012900</v>
      </c>
      <c r="G116" s="134"/>
      <c r="H116" s="134"/>
      <c r="I116" s="134"/>
      <c r="J116" s="328">
        <f t="shared" si="114"/>
        <v>0</v>
      </c>
      <c r="K116" s="462"/>
      <c r="L116" s="462"/>
      <c r="M116" s="462"/>
      <c r="N116" s="462"/>
      <c r="O116" s="459">
        <f>K116</f>
        <v>0</v>
      </c>
      <c r="P116" s="328">
        <f t="shared" si="115"/>
        <v>25012900</v>
      </c>
      <c r="Q116" s="20"/>
      <c r="R116" s="39"/>
    </row>
    <row r="117" spans="1:18" ht="48" hidden="1" thickTop="1" thickBot="1" x14ac:dyDescent="0.25">
      <c r="A117" s="128" t="s">
        <v>223</v>
      </c>
      <c r="B117" s="128" t="s">
        <v>224</v>
      </c>
      <c r="C117" s="128" t="s">
        <v>225</v>
      </c>
      <c r="D117" s="128" t="s">
        <v>226</v>
      </c>
      <c r="E117" s="127">
        <f t="shared" si="117"/>
        <v>0</v>
      </c>
      <c r="F117" s="134">
        <f>(7556300)-7556300</f>
        <v>0</v>
      </c>
      <c r="G117" s="134"/>
      <c r="H117" s="134"/>
      <c r="I117" s="134"/>
      <c r="J117" s="328">
        <f t="shared" si="114"/>
        <v>0</v>
      </c>
      <c r="K117" s="462">
        <f>(200000)-200000</f>
        <v>0</v>
      </c>
      <c r="L117" s="462"/>
      <c r="M117" s="462"/>
      <c r="N117" s="462"/>
      <c r="O117" s="459">
        <f>K117</f>
        <v>0</v>
      </c>
      <c r="P117" s="328">
        <f t="shared" si="115"/>
        <v>0</v>
      </c>
      <c r="Q117" s="20"/>
      <c r="R117" s="39"/>
    </row>
    <row r="118" spans="1:18" ht="48" thickTop="1" thickBot="1" x14ac:dyDescent="0.25">
      <c r="A118" s="329" t="s">
        <v>717</v>
      </c>
      <c r="B118" s="329" t="s">
        <v>718</v>
      </c>
      <c r="C118" s="329"/>
      <c r="D118" s="329" t="s">
        <v>719</v>
      </c>
      <c r="E118" s="325">
        <f>E119</f>
        <v>19127800</v>
      </c>
      <c r="F118" s="325">
        <f t="shared" ref="F118:P118" si="118">F119</f>
        <v>19127800</v>
      </c>
      <c r="G118" s="325">
        <f t="shared" si="118"/>
        <v>0</v>
      </c>
      <c r="H118" s="325">
        <f t="shared" si="118"/>
        <v>0</v>
      </c>
      <c r="I118" s="325">
        <f t="shared" si="118"/>
        <v>0</v>
      </c>
      <c r="J118" s="325">
        <f t="shared" si="118"/>
        <v>0</v>
      </c>
      <c r="K118" s="325">
        <f t="shared" si="118"/>
        <v>0</v>
      </c>
      <c r="L118" s="325">
        <f t="shared" si="118"/>
        <v>0</v>
      </c>
      <c r="M118" s="325">
        <f t="shared" si="118"/>
        <v>0</v>
      </c>
      <c r="N118" s="325">
        <f t="shared" si="118"/>
        <v>0</v>
      </c>
      <c r="O118" s="325">
        <f t="shared" si="118"/>
        <v>0</v>
      </c>
      <c r="P118" s="325">
        <f t="shared" si="118"/>
        <v>19127800</v>
      </c>
      <c r="Q118" s="20"/>
      <c r="R118" s="39"/>
    </row>
    <row r="119" spans="1:18" ht="93" thickTop="1" thickBot="1" x14ac:dyDescent="0.25">
      <c r="A119" s="103" t="s">
        <v>227</v>
      </c>
      <c r="B119" s="103" t="s">
        <v>228</v>
      </c>
      <c r="C119" s="103" t="s">
        <v>346</v>
      </c>
      <c r="D119" s="103" t="s">
        <v>229</v>
      </c>
      <c r="E119" s="328">
        <f t="shared" si="117"/>
        <v>19127800</v>
      </c>
      <c r="F119" s="462">
        <f>19727800-600000</f>
        <v>19127800</v>
      </c>
      <c r="G119" s="462"/>
      <c r="H119" s="462"/>
      <c r="I119" s="462"/>
      <c r="J119" s="328">
        <f t="shared" si="114"/>
        <v>0</v>
      </c>
      <c r="K119" s="462"/>
      <c r="L119" s="462"/>
      <c r="M119" s="462"/>
      <c r="N119" s="462"/>
      <c r="O119" s="459">
        <f t="shared" ref="O119:O138" si="119">K119</f>
        <v>0</v>
      </c>
      <c r="P119" s="328">
        <f t="shared" si="115"/>
        <v>19127800</v>
      </c>
      <c r="Q119" s="20"/>
      <c r="R119" s="39"/>
    </row>
    <row r="120" spans="1:18" ht="48" hidden="1" thickTop="1" thickBot="1" x14ac:dyDescent="0.25">
      <c r="A120" s="140" t="s">
        <v>720</v>
      </c>
      <c r="B120" s="140" t="s">
        <v>721</v>
      </c>
      <c r="C120" s="140"/>
      <c r="D120" s="140" t="s">
        <v>722</v>
      </c>
      <c r="E120" s="141">
        <f>E121</f>
        <v>0</v>
      </c>
      <c r="F120" s="141">
        <f t="shared" ref="F120:P120" si="120">F121</f>
        <v>0</v>
      </c>
      <c r="G120" s="141">
        <f t="shared" si="120"/>
        <v>0</v>
      </c>
      <c r="H120" s="141">
        <f t="shared" si="120"/>
        <v>0</v>
      </c>
      <c r="I120" s="141">
        <f t="shared" si="120"/>
        <v>0</v>
      </c>
      <c r="J120" s="591">
        <f t="shared" si="120"/>
        <v>0</v>
      </c>
      <c r="K120" s="591">
        <f t="shared" si="120"/>
        <v>0</v>
      </c>
      <c r="L120" s="591">
        <f t="shared" si="120"/>
        <v>0</v>
      </c>
      <c r="M120" s="591">
        <f t="shared" si="120"/>
        <v>0</v>
      </c>
      <c r="N120" s="591">
        <f t="shared" si="120"/>
        <v>0</v>
      </c>
      <c r="O120" s="591">
        <f t="shared" si="120"/>
        <v>0</v>
      </c>
      <c r="P120" s="591">
        <f t="shared" si="120"/>
        <v>0</v>
      </c>
      <c r="Q120" s="20"/>
      <c r="R120" s="39"/>
    </row>
    <row r="121" spans="1:18" ht="93" hidden="1" thickTop="1" thickBot="1" x14ac:dyDescent="0.25">
      <c r="A121" s="128" t="s">
        <v>475</v>
      </c>
      <c r="B121" s="128" t="s">
        <v>476</v>
      </c>
      <c r="C121" s="128" t="s">
        <v>230</v>
      </c>
      <c r="D121" s="128" t="s">
        <v>477</v>
      </c>
      <c r="E121" s="127">
        <f t="shared" si="117"/>
        <v>0</v>
      </c>
      <c r="F121" s="134">
        <v>0</v>
      </c>
      <c r="G121" s="134"/>
      <c r="H121" s="134"/>
      <c r="I121" s="134"/>
      <c r="J121" s="592">
        <f t="shared" si="114"/>
        <v>0</v>
      </c>
      <c r="K121" s="593"/>
      <c r="L121" s="593"/>
      <c r="M121" s="593"/>
      <c r="N121" s="593"/>
      <c r="O121" s="594">
        <f t="shared" si="119"/>
        <v>0</v>
      </c>
      <c r="P121" s="592">
        <f t="shared" si="115"/>
        <v>0</v>
      </c>
      <c r="Q121" s="20"/>
      <c r="R121" s="39"/>
    </row>
    <row r="122" spans="1:18" ht="48" thickTop="1" thickBot="1" x14ac:dyDescent="0.25">
      <c r="A122" s="329" t="s">
        <v>723</v>
      </c>
      <c r="B122" s="329" t="s">
        <v>724</v>
      </c>
      <c r="C122" s="329"/>
      <c r="D122" s="329" t="s">
        <v>725</v>
      </c>
      <c r="E122" s="325">
        <f>SUM(E123:E124)</f>
        <v>9849255</v>
      </c>
      <c r="F122" s="325">
        <f t="shared" ref="F122:P122" si="121">SUM(F123:F124)</f>
        <v>9849255</v>
      </c>
      <c r="G122" s="325">
        <f t="shared" si="121"/>
        <v>3269881</v>
      </c>
      <c r="H122" s="325">
        <f t="shared" si="121"/>
        <v>208800</v>
      </c>
      <c r="I122" s="325">
        <f t="shared" si="121"/>
        <v>0</v>
      </c>
      <c r="J122" s="325">
        <f t="shared" si="121"/>
        <v>0</v>
      </c>
      <c r="K122" s="325">
        <f t="shared" si="121"/>
        <v>0</v>
      </c>
      <c r="L122" s="325">
        <f t="shared" si="121"/>
        <v>0</v>
      </c>
      <c r="M122" s="325">
        <f t="shared" si="121"/>
        <v>0</v>
      </c>
      <c r="N122" s="325">
        <f t="shared" si="121"/>
        <v>0</v>
      </c>
      <c r="O122" s="325">
        <f t="shared" si="121"/>
        <v>0</v>
      </c>
      <c r="P122" s="325">
        <f t="shared" si="121"/>
        <v>9849255</v>
      </c>
      <c r="Q122" s="20"/>
      <c r="R122" s="39"/>
    </row>
    <row r="123" spans="1:18" s="33" customFormat="1" ht="48" thickTop="1" thickBot="1" x14ac:dyDescent="0.25">
      <c r="A123" s="103" t="s">
        <v>321</v>
      </c>
      <c r="B123" s="103" t="s">
        <v>323</v>
      </c>
      <c r="C123" s="103" t="s">
        <v>230</v>
      </c>
      <c r="D123" s="470" t="s">
        <v>319</v>
      </c>
      <c r="E123" s="328">
        <f t="shared" si="117"/>
        <v>4423055</v>
      </c>
      <c r="F123" s="462">
        <v>4423055</v>
      </c>
      <c r="G123" s="462">
        <v>3269881</v>
      </c>
      <c r="H123" s="462">
        <v>208800</v>
      </c>
      <c r="I123" s="462"/>
      <c r="J123" s="328">
        <f t="shared" si="114"/>
        <v>0</v>
      </c>
      <c r="K123" s="462"/>
      <c r="L123" s="462"/>
      <c r="M123" s="462"/>
      <c r="N123" s="462"/>
      <c r="O123" s="459">
        <f t="shared" si="119"/>
        <v>0</v>
      </c>
      <c r="P123" s="328">
        <f t="shared" si="115"/>
        <v>4423055</v>
      </c>
      <c r="Q123" s="36"/>
      <c r="R123" s="26"/>
    </row>
    <row r="124" spans="1:18" s="33" customFormat="1" ht="48" thickTop="1" thickBot="1" x14ac:dyDescent="0.25">
      <c r="A124" s="103" t="s">
        <v>322</v>
      </c>
      <c r="B124" s="103" t="s">
        <v>324</v>
      </c>
      <c r="C124" s="103" t="s">
        <v>230</v>
      </c>
      <c r="D124" s="470" t="s">
        <v>320</v>
      </c>
      <c r="E124" s="328">
        <f t="shared" si="117"/>
        <v>5426200</v>
      </c>
      <c r="F124" s="462">
        <v>5426200</v>
      </c>
      <c r="G124" s="462"/>
      <c r="H124" s="462"/>
      <c r="I124" s="462"/>
      <c r="J124" s="328">
        <f t="shared" si="114"/>
        <v>0</v>
      </c>
      <c r="K124" s="462"/>
      <c r="L124" s="462"/>
      <c r="M124" s="462"/>
      <c r="N124" s="462"/>
      <c r="O124" s="459">
        <f t="shared" si="119"/>
        <v>0</v>
      </c>
      <c r="P124" s="328">
        <f t="shared" si="115"/>
        <v>5426200</v>
      </c>
      <c r="Q124" s="36"/>
      <c r="R124" s="39"/>
    </row>
    <row r="125" spans="1:18" s="33" customFormat="1" ht="127.5" customHeight="1" thickTop="1" thickBot="1" x14ac:dyDescent="0.25">
      <c r="A125" s="744" t="s">
        <v>1598</v>
      </c>
      <c r="B125" s="744" t="s">
        <v>1599</v>
      </c>
      <c r="C125" s="744"/>
      <c r="D125" s="744" t="s">
        <v>1597</v>
      </c>
      <c r="E125" s="746">
        <f>E126</f>
        <v>0</v>
      </c>
      <c r="F125" s="746">
        <f t="shared" ref="F125:P125" si="122">F126</f>
        <v>0</v>
      </c>
      <c r="G125" s="746">
        <f t="shared" si="122"/>
        <v>0</v>
      </c>
      <c r="H125" s="746">
        <f t="shared" si="122"/>
        <v>0</v>
      </c>
      <c r="I125" s="746">
        <f t="shared" si="122"/>
        <v>0</v>
      </c>
      <c r="J125" s="746">
        <f t="shared" si="122"/>
        <v>2994000</v>
      </c>
      <c r="K125" s="746">
        <f t="shared" si="122"/>
        <v>2994000</v>
      </c>
      <c r="L125" s="746">
        <f t="shared" si="122"/>
        <v>0</v>
      </c>
      <c r="M125" s="746">
        <f t="shared" si="122"/>
        <v>0</v>
      </c>
      <c r="N125" s="746">
        <f t="shared" si="122"/>
        <v>0</v>
      </c>
      <c r="O125" s="746">
        <f t="shared" si="122"/>
        <v>2994000</v>
      </c>
      <c r="P125" s="746">
        <f t="shared" si="122"/>
        <v>2994000</v>
      </c>
      <c r="Q125" s="36"/>
      <c r="R125" s="39"/>
    </row>
    <row r="126" spans="1:18" s="33" customFormat="1" ht="138.75" thickTop="1" thickBot="1" x14ac:dyDescent="0.25">
      <c r="A126" s="735" t="s">
        <v>1601</v>
      </c>
      <c r="B126" s="735" t="s">
        <v>1602</v>
      </c>
      <c r="C126" s="735" t="s">
        <v>230</v>
      </c>
      <c r="D126" s="470" t="s">
        <v>1600</v>
      </c>
      <c r="E126" s="736">
        <f t="shared" ref="E126" si="123">F126</f>
        <v>0</v>
      </c>
      <c r="F126" s="737"/>
      <c r="G126" s="737"/>
      <c r="H126" s="737"/>
      <c r="I126" s="737"/>
      <c r="J126" s="736">
        <f t="shared" ref="J126" si="124">L126+O126</f>
        <v>2994000</v>
      </c>
      <c r="K126" s="737">
        <v>2994000</v>
      </c>
      <c r="L126" s="737"/>
      <c r="M126" s="737"/>
      <c r="N126" s="737"/>
      <c r="O126" s="739">
        <f t="shared" ref="O126" si="125">K126</f>
        <v>2994000</v>
      </c>
      <c r="P126" s="736">
        <f t="shared" ref="P126" si="126">E126+J126</f>
        <v>2994000</v>
      </c>
      <c r="Q126" s="36"/>
      <c r="R126" s="39"/>
    </row>
    <row r="127" spans="1:18" s="33" customFormat="1" ht="47.25" thickTop="1" thickBot="1" x14ac:dyDescent="0.25">
      <c r="A127" s="311" t="s">
        <v>1198</v>
      </c>
      <c r="B127" s="311" t="s">
        <v>711</v>
      </c>
      <c r="C127" s="311"/>
      <c r="D127" s="311" t="s">
        <v>712</v>
      </c>
      <c r="E127" s="328">
        <f>E128</f>
        <v>100000</v>
      </c>
      <c r="F127" s="328">
        <f t="shared" ref="F127:P127" si="127">F128</f>
        <v>100000</v>
      </c>
      <c r="G127" s="328">
        <f t="shared" si="127"/>
        <v>0</v>
      </c>
      <c r="H127" s="328">
        <f t="shared" si="127"/>
        <v>0</v>
      </c>
      <c r="I127" s="328">
        <f t="shared" si="127"/>
        <v>0</v>
      </c>
      <c r="J127" s="328">
        <f t="shared" si="127"/>
        <v>0</v>
      </c>
      <c r="K127" s="328">
        <f t="shared" si="127"/>
        <v>0</v>
      </c>
      <c r="L127" s="328">
        <f t="shared" si="127"/>
        <v>0</v>
      </c>
      <c r="M127" s="328">
        <f t="shared" si="127"/>
        <v>0</v>
      </c>
      <c r="N127" s="328">
        <f t="shared" si="127"/>
        <v>0</v>
      </c>
      <c r="O127" s="328">
        <f t="shared" si="127"/>
        <v>0</v>
      </c>
      <c r="P127" s="328">
        <f t="shared" si="127"/>
        <v>100000</v>
      </c>
      <c r="Q127" s="36"/>
      <c r="R127" s="39"/>
    </row>
    <row r="128" spans="1:18" s="33" customFormat="1" ht="93" thickTop="1" thickBot="1" x14ac:dyDescent="0.25">
      <c r="A128" s="103" t="s">
        <v>1199</v>
      </c>
      <c r="B128" s="103" t="s">
        <v>1200</v>
      </c>
      <c r="C128" s="103" t="s">
        <v>206</v>
      </c>
      <c r="D128" s="470" t="s">
        <v>1201</v>
      </c>
      <c r="E128" s="328">
        <f t="shared" ref="E128" si="128">F128</f>
        <v>100000</v>
      </c>
      <c r="F128" s="462">
        <v>100000</v>
      </c>
      <c r="G128" s="462"/>
      <c r="H128" s="462"/>
      <c r="I128" s="462"/>
      <c r="J128" s="328">
        <f t="shared" ref="J128" si="129">L128+O128</f>
        <v>0</v>
      </c>
      <c r="K128" s="462"/>
      <c r="L128" s="462"/>
      <c r="M128" s="462"/>
      <c r="N128" s="462"/>
      <c r="O128" s="459">
        <f t="shared" ref="O128" si="130">K128</f>
        <v>0</v>
      </c>
      <c r="P128" s="328">
        <f t="shared" ref="P128" si="131">E128+J128</f>
        <v>100000</v>
      </c>
      <c r="Q128" s="36"/>
      <c r="R128" s="39"/>
    </row>
    <row r="129" spans="1:20" s="33" customFormat="1" ht="47.25" thickTop="1" thickBot="1" x14ac:dyDescent="0.25">
      <c r="A129" s="311" t="s">
        <v>750</v>
      </c>
      <c r="B129" s="311" t="s">
        <v>748</v>
      </c>
      <c r="C129" s="311"/>
      <c r="D129" s="311" t="s">
        <v>749</v>
      </c>
      <c r="E129" s="328">
        <f>SUM(E135)+E130</f>
        <v>0</v>
      </c>
      <c r="F129" s="328">
        <f t="shared" ref="F129:P129" si="132">SUM(F135)+F130</f>
        <v>0</v>
      </c>
      <c r="G129" s="328">
        <f t="shared" si="132"/>
        <v>0</v>
      </c>
      <c r="H129" s="328">
        <f t="shared" si="132"/>
        <v>0</v>
      </c>
      <c r="I129" s="328">
        <f t="shared" si="132"/>
        <v>0</v>
      </c>
      <c r="J129" s="328">
        <f t="shared" si="132"/>
        <v>5058924.99</v>
      </c>
      <c r="K129" s="328">
        <f t="shared" si="132"/>
        <v>5058924.99</v>
      </c>
      <c r="L129" s="328">
        <f t="shared" si="132"/>
        <v>0</v>
      </c>
      <c r="M129" s="328">
        <f t="shared" si="132"/>
        <v>0</v>
      </c>
      <c r="N129" s="328">
        <f t="shared" si="132"/>
        <v>0</v>
      </c>
      <c r="O129" s="328">
        <f t="shared" si="132"/>
        <v>5058924.99</v>
      </c>
      <c r="P129" s="328">
        <f t="shared" si="132"/>
        <v>5058924.99</v>
      </c>
      <c r="Q129" s="36"/>
      <c r="R129" s="39"/>
    </row>
    <row r="130" spans="1:20" s="33" customFormat="1" ht="47.25" thickTop="1" thickBot="1" x14ac:dyDescent="0.25">
      <c r="A130" s="313" t="s">
        <v>1053</v>
      </c>
      <c r="B130" s="313" t="s">
        <v>803</v>
      </c>
      <c r="C130" s="313"/>
      <c r="D130" s="313" t="s">
        <v>804</v>
      </c>
      <c r="E130" s="315">
        <f>E133+E131</f>
        <v>0</v>
      </c>
      <c r="F130" s="315">
        <f t="shared" ref="F130:P130" si="133">F133+F131</f>
        <v>0</v>
      </c>
      <c r="G130" s="315">
        <f t="shared" si="133"/>
        <v>0</v>
      </c>
      <c r="H130" s="315">
        <f t="shared" si="133"/>
        <v>0</v>
      </c>
      <c r="I130" s="315">
        <f t="shared" si="133"/>
        <v>0</v>
      </c>
      <c r="J130" s="315">
        <f t="shared" si="133"/>
        <v>3058924.99</v>
      </c>
      <c r="K130" s="315">
        <f t="shared" si="133"/>
        <v>3058924.99</v>
      </c>
      <c r="L130" s="315">
        <f t="shared" si="133"/>
        <v>0</v>
      </c>
      <c r="M130" s="315">
        <f t="shared" si="133"/>
        <v>0</v>
      </c>
      <c r="N130" s="315">
        <f t="shared" si="133"/>
        <v>0</v>
      </c>
      <c r="O130" s="315">
        <f t="shared" si="133"/>
        <v>3058924.99</v>
      </c>
      <c r="P130" s="315">
        <f t="shared" si="133"/>
        <v>3058924.99</v>
      </c>
      <c r="Q130" s="36"/>
      <c r="R130" s="39"/>
    </row>
    <row r="131" spans="1:20" s="33" customFormat="1" ht="54.75" thickTop="1" thickBot="1" x14ac:dyDescent="0.25">
      <c r="A131" s="329" t="s">
        <v>1180</v>
      </c>
      <c r="B131" s="329" t="s">
        <v>821</v>
      </c>
      <c r="C131" s="329"/>
      <c r="D131" s="329" t="s">
        <v>1508</v>
      </c>
      <c r="E131" s="325">
        <f>E132</f>
        <v>0</v>
      </c>
      <c r="F131" s="325">
        <f t="shared" ref="F131:P131" si="134">F132</f>
        <v>0</v>
      </c>
      <c r="G131" s="325">
        <f t="shared" si="134"/>
        <v>0</v>
      </c>
      <c r="H131" s="325">
        <f t="shared" si="134"/>
        <v>0</v>
      </c>
      <c r="I131" s="325">
        <f t="shared" si="134"/>
        <v>0</v>
      </c>
      <c r="J131" s="325">
        <f t="shared" si="134"/>
        <v>3058924.99</v>
      </c>
      <c r="K131" s="325">
        <f t="shared" si="134"/>
        <v>3058924.99</v>
      </c>
      <c r="L131" s="325">
        <f t="shared" si="134"/>
        <v>0</v>
      </c>
      <c r="M131" s="325">
        <f t="shared" si="134"/>
        <v>0</v>
      </c>
      <c r="N131" s="325">
        <f t="shared" si="134"/>
        <v>0</v>
      </c>
      <c r="O131" s="325">
        <f t="shared" si="134"/>
        <v>3058924.99</v>
      </c>
      <c r="P131" s="325">
        <f t="shared" si="134"/>
        <v>3058924.99</v>
      </c>
      <c r="Q131" s="36"/>
      <c r="R131" s="39"/>
    </row>
    <row r="132" spans="1:20" s="33" customFormat="1" ht="54" thickTop="1" thickBot="1" x14ac:dyDescent="0.25">
      <c r="A132" s="103" t="s">
        <v>1179</v>
      </c>
      <c r="B132" s="103" t="s">
        <v>1181</v>
      </c>
      <c r="C132" s="103" t="s">
        <v>304</v>
      </c>
      <c r="D132" s="103" t="s">
        <v>1530</v>
      </c>
      <c r="E132" s="328">
        <f t="shared" ref="E132" si="135">F132</f>
        <v>0</v>
      </c>
      <c r="F132" s="462"/>
      <c r="G132" s="462"/>
      <c r="H132" s="462"/>
      <c r="I132" s="462"/>
      <c r="J132" s="328">
        <f t="shared" ref="J132" si="136">L132+O132</f>
        <v>3058924.99</v>
      </c>
      <c r="K132" s="462">
        <f>(1000000)+2058924.99</f>
        <v>3058924.99</v>
      </c>
      <c r="L132" s="462"/>
      <c r="M132" s="462"/>
      <c r="N132" s="462"/>
      <c r="O132" s="459">
        <f>K132</f>
        <v>3058924.99</v>
      </c>
      <c r="P132" s="328">
        <f t="shared" ref="P132" si="137">E132+J132</f>
        <v>3058924.99</v>
      </c>
      <c r="Q132" s="36"/>
      <c r="R132" s="39"/>
    </row>
    <row r="133" spans="1:20" s="33" customFormat="1" ht="48" hidden="1" thickTop="1" thickBot="1" x14ac:dyDescent="0.25">
      <c r="A133" s="144" t="s">
        <v>1054</v>
      </c>
      <c r="B133" s="144" t="s">
        <v>1052</v>
      </c>
      <c r="C133" s="144"/>
      <c r="D133" s="144" t="s">
        <v>1051</v>
      </c>
      <c r="E133" s="145">
        <f>E134</f>
        <v>0</v>
      </c>
      <c r="F133" s="145">
        <f t="shared" ref="F133:P133" si="138">F134</f>
        <v>0</v>
      </c>
      <c r="G133" s="145">
        <f t="shared" si="138"/>
        <v>0</v>
      </c>
      <c r="H133" s="145">
        <f t="shared" si="138"/>
        <v>0</v>
      </c>
      <c r="I133" s="145">
        <f t="shared" si="138"/>
        <v>0</v>
      </c>
      <c r="J133" s="145">
        <f t="shared" si="138"/>
        <v>0</v>
      </c>
      <c r="K133" s="145">
        <f t="shared" si="138"/>
        <v>0</v>
      </c>
      <c r="L133" s="145">
        <f t="shared" si="138"/>
        <v>0</v>
      </c>
      <c r="M133" s="145">
        <f t="shared" si="138"/>
        <v>0</v>
      </c>
      <c r="N133" s="145">
        <f t="shared" si="138"/>
        <v>0</v>
      </c>
      <c r="O133" s="145">
        <f t="shared" si="138"/>
        <v>0</v>
      </c>
      <c r="P133" s="145">
        <f t="shared" si="138"/>
        <v>0</v>
      </c>
      <c r="Q133" s="36"/>
      <c r="R133" s="39"/>
    </row>
    <row r="134" spans="1:20" s="33" customFormat="1" ht="93" hidden="1" thickTop="1" thickBot="1" x14ac:dyDescent="0.25">
      <c r="A134" s="41" t="s">
        <v>1055</v>
      </c>
      <c r="B134" s="41" t="s">
        <v>1056</v>
      </c>
      <c r="C134" s="41" t="s">
        <v>170</v>
      </c>
      <c r="D134" s="41" t="s">
        <v>1057</v>
      </c>
      <c r="E134" s="42">
        <f t="shared" si="117"/>
        <v>0</v>
      </c>
      <c r="F134" s="43"/>
      <c r="G134" s="43"/>
      <c r="H134" s="43"/>
      <c r="I134" s="43"/>
      <c r="J134" s="42">
        <f t="shared" si="114"/>
        <v>0</v>
      </c>
      <c r="K134" s="43"/>
      <c r="L134" s="43"/>
      <c r="M134" s="43"/>
      <c r="N134" s="43"/>
      <c r="O134" s="44">
        <f>K134</f>
        <v>0</v>
      </c>
      <c r="P134" s="42">
        <f t="shared" si="115"/>
        <v>0</v>
      </c>
      <c r="Q134" s="36"/>
      <c r="R134" s="26"/>
    </row>
    <row r="135" spans="1:20" s="28" customFormat="1" ht="47.25" thickTop="1" thickBot="1" x14ac:dyDescent="0.25">
      <c r="A135" s="740" t="s">
        <v>726</v>
      </c>
      <c r="B135" s="740" t="s">
        <v>691</v>
      </c>
      <c r="C135" s="740"/>
      <c r="D135" s="740" t="s">
        <v>689</v>
      </c>
      <c r="E135" s="741">
        <f>E136</f>
        <v>0</v>
      </c>
      <c r="F135" s="741">
        <f t="shared" ref="F135:P135" si="139">F136</f>
        <v>0</v>
      </c>
      <c r="G135" s="741">
        <f t="shared" si="139"/>
        <v>0</v>
      </c>
      <c r="H135" s="741">
        <f t="shared" si="139"/>
        <v>0</v>
      </c>
      <c r="I135" s="741">
        <f t="shared" si="139"/>
        <v>0</v>
      </c>
      <c r="J135" s="741">
        <f t="shared" si="139"/>
        <v>2000000</v>
      </c>
      <c r="K135" s="741">
        <f t="shared" si="139"/>
        <v>2000000</v>
      </c>
      <c r="L135" s="741">
        <f t="shared" si="139"/>
        <v>0</v>
      </c>
      <c r="M135" s="741">
        <f t="shared" si="139"/>
        <v>0</v>
      </c>
      <c r="N135" s="741">
        <f t="shared" si="139"/>
        <v>0</v>
      </c>
      <c r="O135" s="741">
        <f t="shared" si="139"/>
        <v>2000000</v>
      </c>
      <c r="P135" s="741">
        <f t="shared" si="139"/>
        <v>2000000</v>
      </c>
      <c r="Q135" s="149"/>
      <c r="R135" s="40"/>
    </row>
    <row r="136" spans="1:20" s="28" customFormat="1" ht="48" thickTop="1" thickBot="1" x14ac:dyDescent="0.25">
      <c r="A136" s="735" t="s">
        <v>1255</v>
      </c>
      <c r="B136" s="735" t="s">
        <v>212</v>
      </c>
      <c r="C136" s="735" t="s">
        <v>213</v>
      </c>
      <c r="D136" s="735" t="s">
        <v>41</v>
      </c>
      <c r="E136" s="736">
        <f t="shared" si="117"/>
        <v>0</v>
      </c>
      <c r="F136" s="737"/>
      <c r="G136" s="737"/>
      <c r="H136" s="737"/>
      <c r="I136" s="737"/>
      <c r="J136" s="736">
        <f t="shared" ref="J136" si="140">L136+O136</f>
        <v>2000000</v>
      </c>
      <c r="K136" s="737">
        <f>(0)+2000000</f>
        <v>2000000</v>
      </c>
      <c r="L136" s="737"/>
      <c r="M136" s="737"/>
      <c r="N136" s="737"/>
      <c r="O136" s="739">
        <f t="shared" ref="O136" si="141">K136</f>
        <v>2000000</v>
      </c>
      <c r="P136" s="736">
        <f t="shared" si="115"/>
        <v>2000000</v>
      </c>
      <c r="Q136" s="149"/>
      <c r="R136" s="40"/>
    </row>
    <row r="137" spans="1:20" s="33" customFormat="1" ht="48" hidden="1" thickTop="1" thickBot="1" x14ac:dyDescent="0.25">
      <c r="A137" s="41" t="s">
        <v>435</v>
      </c>
      <c r="B137" s="41" t="s">
        <v>197</v>
      </c>
      <c r="C137" s="41" t="s">
        <v>170</v>
      </c>
      <c r="D137" s="41" t="s">
        <v>34</v>
      </c>
      <c r="E137" s="42">
        <f t="shared" si="117"/>
        <v>0</v>
      </c>
      <c r="F137" s="43"/>
      <c r="G137" s="43"/>
      <c r="H137" s="43"/>
      <c r="I137" s="43"/>
      <c r="J137" s="42">
        <f t="shared" si="114"/>
        <v>0</v>
      </c>
      <c r="K137" s="43"/>
      <c r="L137" s="43"/>
      <c r="M137" s="43"/>
      <c r="N137" s="43"/>
      <c r="O137" s="44">
        <f t="shared" si="119"/>
        <v>0</v>
      </c>
      <c r="P137" s="42">
        <f t="shared" si="115"/>
        <v>0</v>
      </c>
      <c r="Q137" s="36"/>
      <c r="R137" s="26"/>
    </row>
    <row r="138" spans="1:20" s="33" customFormat="1" ht="48" hidden="1" thickTop="1" thickBot="1" x14ac:dyDescent="0.25">
      <c r="A138" s="41" t="s">
        <v>509</v>
      </c>
      <c r="B138" s="41" t="s">
        <v>363</v>
      </c>
      <c r="C138" s="41" t="s">
        <v>43</v>
      </c>
      <c r="D138" s="41" t="s">
        <v>364</v>
      </c>
      <c r="E138" s="42">
        <f t="shared" si="117"/>
        <v>0</v>
      </c>
      <c r="F138" s="43"/>
      <c r="G138" s="43"/>
      <c r="H138" s="43"/>
      <c r="I138" s="43"/>
      <c r="J138" s="42">
        <f t="shared" si="114"/>
        <v>0</v>
      </c>
      <c r="K138" s="43"/>
      <c r="L138" s="43"/>
      <c r="M138" s="43"/>
      <c r="N138" s="43"/>
      <c r="O138" s="44">
        <f t="shared" si="119"/>
        <v>0</v>
      </c>
      <c r="P138" s="42">
        <f t="shared" si="115"/>
        <v>0</v>
      </c>
      <c r="Q138" s="36"/>
      <c r="R138" s="30"/>
    </row>
    <row r="139" spans="1:20" ht="120" customHeight="1" thickTop="1" thickBot="1" x14ac:dyDescent="0.25">
      <c r="A139" s="661" t="s">
        <v>156</v>
      </c>
      <c r="B139" s="661"/>
      <c r="C139" s="661"/>
      <c r="D139" s="662" t="s">
        <v>37</v>
      </c>
      <c r="E139" s="663">
        <f>E140</f>
        <v>337466423.73000002</v>
      </c>
      <c r="F139" s="664">
        <f t="shared" ref="F139:G139" si="142">F140</f>
        <v>337466423.73000002</v>
      </c>
      <c r="G139" s="664">
        <f t="shared" si="142"/>
        <v>100966833</v>
      </c>
      <c r="H139" s="664">
        <f>H140</f>
        <v>5265634.2800000012</v>
      </c>
      <c r="I139" s="664">
        <f t="shared" ref="I139" si="143">I140</f>
        <v>0</v>
      </c>
      <c r="J139" s="663">
        <f>J140</f>
        <v>108516883.53999999</v>
      </c>
      <c r="K139" s="664">
        <f>K140</f>
        <v>102253623.53999999</v>
      </c>
      <c r="L139" s="664">
        <f>L140</f>
        <v>6239260</v>
      </c>
      <c r="M139" s="664">
        <f t="shared" ref="M139" si="144">M140</f>
        <v>2604685</v>
      </c>
      <c r="N139" s="664">
        <f>N140</f>
        <v>705805</v>
      </c>
      <c r="O139" s="663">
        <f>O140</f>
        <v>102277623.53999999</v>
      </c>
      <c r="P139" s="664">
        <f>P140</f>
        <v>445983307.26999998</v>
      </c>
      <c r="Q139" s="20"/>
    </row>
    <row r="140" spans="1:20" ht="120" customHeight="1" thickTop="1" thickBot="1" x14ac:dyDescent="0.25">
      <c r="A140" s="658" t="s">
        <v>157</v>
      </c>
      <c r="B140" s="658"/>
      <c r="C140" s="658"/>
      <c r="D140" s="659" t="s">
        <v>38</v>
      </c>
      <c r="E140" s="660">
        <f>E141+E145+E186+E190</f>
        <v>337466423.73000002</v>
      </c>
      <c r="F140" s="660">
        <f>F141+F145+F186+F190</f>
        <v>337466423.73000002</v>
      </c>
      <c r="G140" s="660">
        <f>G141+G145+G186+G190</f>
        <v>100966833</v>
      </c>
      <c r="H140" s="660">
        <f>H141+H145+H186+H190</f>
        <v>5265634.2800000012</v>
      </c>
      <c r="I140" s="660">
        <f>I141+I145+I186+I190</f>
        <v>0</v>
      </c>
      <c r="J140" s="660">
        <f t="shared" ref="J140:J166" si="145">L140+O140</f>
        <v>108516883.53999999</v>
      </c>
      <c r="K140" s="660">
        <f>K141+K145+K186+K190</f>
        <v>102253623.53999999</v>
      </c>
      <c r="L140" s="660">
        <f>L141+L145+L186+L190</f>
        <v>6239260</v>
      </c>
      <c r="M140" s="660">
        <f>M141+M145+M186+M190</f>
        <v>2604685</v>
      </c>
      <c r="N140" s="660">
        <f>N141+N145+N186+N190</f>
        <v>705805</v>
      </c>
      <c r="O140" s="660">
        <f>O141+O145+O186+O190</f>
        <v>102277623.53999999</v>
      </c>
      <c r="P140" s="660">
        <f>E140+J140</f>
        <v>445983307.26999998</v>
      </c>
      <c r="Q140" s="503" t="b">
        <f>P140=P142+P144+P147+P148+P149+P150+P151+P152+P153+P154+P156+P157+P159+P160+P162+P163+P165+P166+P182+P184+P185+P188+P195+P193</f>
        <v>1</v>
      </c>
      <c r="R140" s="46"/>
      <c r="S140" s="46"/>
      <c r="T140" s="45"/>
    </row>
    <row r="141" spans="1:20" ht="47.25" thickTop="1" thickBot="1" x14ac:dyDescent="0.25">
      <c r="A141" s="311" t="s">
        <v>727</v>
      </c>
      <c r="B141" s="311" t="s">
        <v>684</v>
      </c>
      <c r="C141" s="311"/>
      <c r="D141" s="311" t="s">
        <v>685</v>
      </c>
      <c r="E141" s="328">
        <f t="shared" ref="E141:P141" si="146">SUM(E142:E144)</f>
        <v>58832582</v>
      </c>
      <c r="F141" s="328">
        <f t="shared" si="146"/>
        <v>58832582</v>
      </c>
      <c r="G141" s="328">
        <f t="shared" si="146"/>
        <v>43735000</v>
      </c>
      <c r="H141" s="328">
        <f t="shared" si="146"/>
        <v>2080882</v>
      </c>
      <c r="I141" s="328">
        <f t="shared" si="146"/>
        <v>0</v>
      </c>
      <c r="J141" s="328">
        <f t="shared" si="146"/>
        <v>700000</v>
      </c>
      <c r="K141" s="328">
        <f t="shared" si="146"/>
        <v>700000</v>
      </c>
      <c r="L141" s="328">
        <f t="shared" si="146"/>
        <v>0</v>
      </c>
      <c r="M141" s="328">
        <f t="shared" si="146"/>
        <v>0</v>
      </c>
      <c r="N141" s="328">
        <f t="shared" si="146"/>
        <v>0</v>
      </c>
      <c r="O141" s="328">
        <f t="shared" si="146"/>
        <v>700000</v>
      </c>
      <c r="P141" s="328">
        <f t="shared" si="146"/>
        <v>59532582</v>
      </c>
      <c r="Q141" s="47"/>
      <c r="R141" s="46"/>
      <c r="T141" s="45"/>
    </row>
    <row r="142" spans="1:20" ht="93" thickTop="1" thickBot="1" x14ac:dyDescent="0.25">
      <c r="A142" s="103" t="s">
        <v>415</v>
      </c>
      <c r="B142" s="103" t="s">
        <v>236</v>
      </c>
      <c r="C142" s="103" t="s">
        <v>234</v>
      </c>
      <c r="D142" s="103" t="s">
        <v>235</v>
      </c>
      <c r="E142" s="328">
        <f t="shared" ref="E142" si="147">F142</f>
        <v>58802582</v>
      </c>
      <c r="F142" s="462">
        <v>58802582</v>
      </c>
      <c r="G142" s="462">
        <v>43735000</v>
      </c>
      <c r="H142" s="462">
        <v>2080882</v>
      </c>
      <c r="I142" s="462"/>
      <c r="J142" s="328">
        <f t="shared" si="145"/>
        <v>700000</v>
      </c>
      <c r="K142" s="462">
        <v>700000</v>
      </c>
      <c r="L142" s="462"/>
      <c r="M142" s="462"/>
      <c r="N142" s="462"/>
      <c r="O142" s="459">
        <f>K142</f>
        <v>700000</v>
      </c>
      <c r="P142" s="328">
        <f t="shared" ref="P142:P157" si="148">E142+J142</f>
        <v>59502582</v>
      </c>
      <c r="Q142" s="47"/>
      <c r="R142" s="46"/>
      <c r="T142" s="45"/>
    </row>
    <row r="143" spans="1:20" ht="93" hidden="1" thickTop="1" thickBot="1" x14ac:dyDescent="0.25">
      <c r="A143" s="103" t="s">
        <v>628</v>
      </c>
      <c r="B143" s="103" t="s">
        <v>362</v>
      </c>
      <c r="C143" s="103" t="s">
        <v>625</v>
      </c>
      <c r="D143" s="103" t="s">
        <v>626</v>
      </c>
      <c r="E143" s="328">
        <f t="shared" ref="E143:E144" si="149">F143</f>
        <v>0</v>
      </c>
      <c r="F143" s="462">
        <v>0</v>
      </c>
      <c r="G143" s="462"/>
      <c r="H143" s="462"/>
      <c r="I143" s="462"/>
      <c r="J143" s="328">
        <f t="shared" ref="J143:J144" si="150">L143+O143</f>
        <v>0</v>
      </c>
      <c r="K143" s="462"/>
      <c r="L143" s="462"/>
      <c r="M143" s="462"/>
      <c r="N143" s="462"/>
      <c r="O143" s="459">
        <f>K143</f>
        <v>0</v>
      </c>
      <c r="P143" s="328">
        <f t="shared" ref="P143:P144" si="151">E143+J143</f>
        <v>0</v>
      </c>
      <c r="Q143" s="47"/>
      <c r="R143" s="46"/>
      <c r="T143" s="45"/>
    </row>
    <row r="144" spans="1:20" ht="48" thickTop="1" thickBot="1" x14ac:dyDescent="0.25">
      <c r="A144" s="103" t="s">
        <v>919</v>
      </c>
      <c r="B144" s="103" t="s">
        <v>43</v>
      </c>
      <c r="C144" s="103" t="s">
        <v>42</v>
      </c>
      <c r="D144" s="103" t="s">
        <v>248</v>
      </c>
      <c r="E144" s="328">
        <f t="shared" si="149"/>
        <v>30000</v>
      </c>
      <c r="F144" s="462">
        <v>30000</v>
      </c>
      <c r="G144" s="462"/>
      <c r="H144" s="462"/>
      <c r="I144" s="462"/>
      <c r="J144" s="328">
        <f t="shared" si="150"/>
        <v>0</v>
      </c>
      <c r="K144" s="462"/>
      <c r="L144" s="462"/>
      <c r="M144" s="462"/>
      <c r="N144" s="462"/>
      <c r="O144" s="459"/>
      <c r="P144" s="328">
        <f t="shared" si="151"/>
        <v>30000</v>
      </c>
      <c r="Q144" s="47"/>
      <c r="R144" s="46"/>
      <c r="T144" s="45"/>
    </row>
    <row r="145" spans="1:20" ht="47.25" thickTop="1" thickBot="1" x14ac:dyDescent="0.25">
      <c r="A145" s="311" t="s">
        <v>728</v>
      </c>
      <c r="B145" s="311" t="s">
        <v>711</v>
      </c>
      <c r="C145" s="311"/>
      <c r="D145" s="311" t="s">
        <v>712</v>
      </c>
      <c r="E145" s="328">
        <f t="shared" ref="E145:P145" si="152">SUM(E146:E185)-E146-E155-E164-E167-E183-E161-E158</f>
        <v>278633841.73000002</v>
      </c>
      <c r="F145" s="328">
        <f t="shared" si="152"/>
        <v>278633841.73000002</v>
      </c>
      <c r="G145" s="328">
        <f t="shared" si="152"/>
        <v>57231833</v>
      </c>
      <c r="H145" s="328">
        <f t="shared" si="152"/>
        <v>3184752.2800000007</v>
      </c>
      <c r="I145" s="328">
        <f t="shared" si="152"/>
        <v>0</v>
      </c>
      <c r="J145" s="328">
        <f t="shared" si="152"/>
        <v>79353223.539999992</v>
      </c>
      <c r="K145" s="328">
        <f t="shared" si="152"/>
        <v>73089963.539999992</v>
      </c>
      <c r="L145" s="328">
        <f t="shared" si="152"/>
        <v>6239260</v>
      </c>
      <c r="M145" s="328">
        <f t="shared" si="152"/>
        <v>2604685</v>
      </c>
      <c r="N145" s="328">
        <f t="shared" si="152"/>
        <v>705805</v>
      </c>
      <c r="O145" s="328">
        <f t="shared" si="152"/>
        <v>73113963.539999992</v>
      </c>
      <c r="P145" s="328">
        <f t="shared" si="152"/>
        <v>357987065.26999998</v>
      </c>
      <c r="Q145" s="47"/>
      <c r="R145" s="46"/>
      <c r="T145" s="45"/>
    </row>
    <row r="146" spans="1:20" ht="138.75" thickTop="1" thickBot="1" x14ac:dyDescent="0.25">
      <c r="A146" s="329" t="s">
        <v>729</v>
      </c>
      <c r="B146" s="329" t="s">
        <v>730</v>
      </c>
      <c r="C146" s="329"/>
      <c r="D146" s="329" t="s">
        <v>731</v>
      </c>
      <c r="E146" s="325">
        <f>SUM(E147:E151)</f>
        <v>79408000</v>
      </c>
      <c r="F146" s="325">
        <f t="shared" ref="F146:P146" si="153">SUM(F147:F151)</f>
        <v>79408000</v>
      </c>
      <c r="G146" s="325">
        <f t="shared" si="153"/>
        <v>0</v>
      </c>
      <c r="H146" s="325">
        <f t="shared" si="153"/>
        <v>0</v>
      </c>
      <c r="I146" s="325">
        <f t="shared" si="153"/>
        <v>0</v>
      </c>
      <c r="J146" s="325">
        <f t="shared" si="153"/>
        <v>50000</v>
      </c>
      <c r="K146" s="325">
        <f t="shared" si="153"/>
        <v>50000</v>
      </c>
      <c r="L146" s="325">
        <f t="shared" si="153"/>
        <v>0</v>
      </c>
      <c r="M146" s="325">
        <f t="shared" si="153"/>
        <v>0</v>
      </c>
      <c r="N146" s="325">
        <f t="shared" si="153"/>
        <v>0</v>
      </c>
      <c r="O146" s="325">
        <f t="shared" si="153"/>
        <v>50000</v>
      </c>
      <c r="P146" s="325">
        <f t="shared" si="153"/>
        <v>79458000</v>
      </c>
      <c r="Q146" s="150"/>
      <c r="R146" s="48"/>
      <c r="T146" s="49"/>
    </row>
    <row r="147" spans="1:20" s="33" customFormat="1" ht="93" thickTop="1" thickBot="1" x14ac:dyDescent="0.25">
      <c r="A147" s="103" t="s">
        <v>269</v>
      </c>
      <c r="B147" s="103" t="s">
        <v>270</v>
      </c>
      <c r="C147" s="103" t="s">
        <v>205</v>
      </c>
      <c r="D147" s="330" t="s">
        <v>271</v>
      </c>
      <c r="E147" s="328">
        <f>F147</f>
        <v>858000</v>
      </c>
      <c r="F147" s="462">
        <f>(835000)+23000</f>
        <v>858000</v>
      </c>
      <c r="G147" s="462"/>
      <c r="H147" s="462"/>
      <c r="I147" s="462"/>
      <c r="J147" s="328">
        <f t="shared" si="145"/>
        <v>50000</v>
      </c>
      <c r="K147" s="462">
        <v>50000</v>
      </c>
      <c r="L147" s="462"/>
      <c r="M147" s="462"/>
      <c r="N147" s="462"/>
      <c r="O147" s="459">
        <f t="shared" ref="O147:O166" si="154">K147</f>
        <v>50000</v>
      </c>
      <c r="P147" s="328">
        <f t="shared" si="148"/>
        <v>908000</v>
      </c>
      <c r="Q147" s="36"/>
      <c r="R147" s="46"/>
    </row>
    <row r="148" spans="1:20" s="33" customFormat="1" ht="48" thickTop="1" thickBot="1" x14ac:dyDescent="0.25">
      <c r="A148" s="103" t="s">
        <v>272</v>
      </c>
      <c r="B148" s="103" t="s">
        <v>273</v>
      </c>
      <c r="C148" s="103" t="s">
        <v>206</v>
      </c>
      <c r="D148" s="103" t="s">
        <v>6</v>
      </c>
      <c r="E148" s="328">
        <f t="shared" ref="E148:E197" si="155">F148</f>
        <v>650000</v>
      </c>
      <c r="F148" s="462">
        <v>650000</v>
      </c>
      <c r="G148" s="462"/>
      <c r="H148" s="462"/>
      <c r="I148" s="462"/>
      <c r="J148" s="328">
        <f t="shared" si="145"/>
        <v>0</v>
      </c>
      <c r="K148" s="462"/>
      <c r="L148" s="462"/>
      <c r="M148" s="462"/>
      <c r="N148" s="462"/>
      <c r="O148" s="459">
        <f t="shared" si="154"/>
        <v>0</v>
      </c>
      <c r="P148" s="328">
        <f t="shared" si="148"/>
        <v>650000</v>
      </c>
      <c r="Q148" s="36"/>
      <c r="R148" s="50"/>
    </row>
    <row r="149" spans="1:20" s="33" customFormat="1" ht="93" thickTop="1" thickBot="1" x14ac:dyDescent="0.25">
      <c r="A149" s="103" t="s">
        <v>275</v>
      </c>
      <c r="B149" s="103" t="s">
        <v>276</v>
      </c>
      <c r="C149" s="103" t="s">
        <v>206</v>
      </c>
      <c r="D149" s="103" t="s">
        <v>7</v>
      </c>
      <c r="E149" s="328">
        <f t="shared" si="155"/>
        <v>19200000</v>
      </c>
      <c r="F149" s="462">
        <v>19200000</v>
      </c>
      <c r="G149" s="462"/>
      <c r="H149" s="462"/>
      <c r="I149" s="462"/>
      <c r="J149" s="328">
        <f t="shared" si="145"/>
        <v>0</v>
      </c>
      <c r="K149" s="462"/>
      <c r="L149" s="462"/>
      <c r="M149" s="462"/>
      <c r="N149" s="462"/>
      <c r="O149" s="459">
        <f t="shared" si="154"/>
        <v>0</v>
      </c>
      <c r="P149" s="328">
        <f t="shared" si="148"/>
        <v>19200000</v>
      </c>
      <c r="Q149" s="36"/>
      <c r="R149" s="50"/>
    </row>
    <row r="150" spans="1:20" s="33" customFormat="1" ht="93" thickTop="1" thickBot="1" x14ac:dyDescent="0.25">
      <c r="A150" s="103" t="s">
        <v>277</v>
      </c>
      <c r="B150" s="103" t="s">
        <v>274</v>
      </c>
      <c r="C150" s="103" t="s">
        <v>206</v>
      </c>
      <c r="D150" s="103" t="s">
        <v>8</v>
      </c>
      <c r="E150" s="328">
        <f t="shared" si="155"/>
        <v>700000</v>
      </c>
      <c r="F150" s="462">
        <v>700000</v>
      </c>
      <c r="G150" s="462"/>
      <c r="H150" s="462"/>
      <c r="I150" s="462"/>
      <c r="J150" s="328">
        <f t="shared" si="145"/>
        <v>0</v>
      </c>
      <c r="K150" s="462"/>
      <c r="L150" s="462"/>
      <c r="M150" s="462"/>
      <c r="N150" s="462"/>
      <c r="O150" s="459">
        <f t="shared" si="154"/>
        <v>0</v>
      </c>
      <c r="P150" s="328">
        <f t="shared" si="148"/>
        <v>700000</v>
      </c>
      <c r="Q150" s="36"/>
      <c r="R150" s="50"/>
    </row>
    <row r="151" spans="1:20" s="33" customFormat="1" ht="93" thickTop="1" thickBot="1" x14ac:dyDescent="0.25">
      <c r="A151" s="103" t="s">
        <v>278</v>
      </c>
      <c r="B151" s="103" t="s">
        <v>279</v>
      </c>
      <c r="C151" s="103" t="s">
        <v>206</v>
      </c>
      <c r="D151" s="103" t="s">
        <v>9</v>
      </c>
      <c r="E151" s="328">
        <f t="shared" si="155"/>
        <v>58000000</v>
      </c>
      <c r="F151" s="462">
        <v>58000000</v>
      </c>
      <c r="G151" s="462"/>
      <c r="H151" s="462"/>
      <c r="I151" s="462"/>
      <c r="J151" s="328">
        <f t="shared" si="145"/>
        <v>0</v>
      </c>
      <c r="K151" s="462"/>
      <c r="L151" s="462"/>
      <c r="M151" s="462"/>
      <c r="N151" s="462"/>
      <c r="O151" s="459">
        <f t="shared" si="154"/>
        <v>0</v>
      </c>
      <c r="P151" s="328">
        <f t="shared" si="148"/>
        <v>58000000</v>
      </c>
      <c r="Q151" s="36"/>
      <c r="R151" s="50"/>
    </row>
    <row r="152" spans="1:20" s="33" customFormat="1" ht="93" thickTop="1" thickBot="1" x14ac:dyDescent="0.25">
      <c r="A152" s="103" t="s">
        <v>478</v>
      </c>
      <c r="B152" s="103" t="s">
        <v>479</v>
      </c>
      <c r="C152" s="103" t="s">
        <v>206</v>
      </c>
      <c r="D152" s="103" t="s">
        <v>480</v>
      </c>
      <c r="E152" s="328">
        <f t="shared" si="155"/>
        <v>362971</v>
      </c>
      <c r="F152" s="462">
        <v>362971</v>
      </c>
      <c r="G152" s="462"/>
      <c r="H152" s="462"/>
      <c r="I152" s="462"/>
      <c r="J152" s="328">
        <f t="shared" si="145"/>
        <v>0</v>
      </c>
      <c r="K152" s="462"/>
      <c r="L152" s="462"/>
      <c r="M152" s="462"/>
      <c r="N152" s="462"/>
      <c r="O152" s="459">
        <f t="shared" si="154"/>
        <v>0</v>
      </c>
      <c r="P152" s="328">
        <f t="shared" si="148"/>
        <v>362971</v>
      </c>
      <c r="Q152" s="36"/>
      <c r="R152" s="50"/>
    </row>
    <row r="153" spans="1:20" s="33" customFormat="1" ht="93" thickTop="1" thickBot="1" x14ac:dyDescent="0.25">
      <c r="A153" s="103" t="s">
        <v>920</v>
      </c>
      <c r="B153" s="103" t="s">
        <v>921</v>
      </c>
      <c r="C153" s="103" t="s">
        <v>206</v>
      </c>
      <c r="D153" s="103" t="s">
        <v>922</v>
      </c>
      <c r="E153" s="328">
        <f t="shared" ref="E153" si="156">F153</f>
        <v>1893100</v>
      </c>
      <c r="F153" s="462">
        <f>(1500000)+393100</f>
        <v>1893100</v>
      </c>
      <c r="G153" s="462"/>
      <c r="H153" s="462"/>
      <c r="I153" s="462"/>
      <c r="J153" s="328">
        <f t="shared" ref="J153" si="157">L153+O153</f>
        <v>0</v>
      </c>
      <c r="K153" s="462"/>
      <c r="L153" s="462"/>
      <c r="M153" s="462"/>
      <c r="N153" s="462"/>
      <c r="O153" s="459">
        <f t="shared" ref="O153" si="158">K153</f>
        <v>0</v>
      </c>
      <c r="P153" s="328">
        <f t="shared" ref="P153" si="159">E153+J153</f>
        <v>1893100</v>
      </c>
      <c r="Q153" s="36"/>
      <c r="R153" s="50"/>
    </row>
    <row r="154" spans="1:20" ht="93" thickTop="1" thickBot="1" x14ac:dyDescent="0.25">
      <c r="A154" s="103" t="s">
        <v>481</v>
      </c>
      <c r="B154" s="103" t="s">
        <v>482</v>
      </c>
      <c r="C154" s="103" t="s">
        <v>205</v>
      </c>
      <c r="D154" s="103" t="s">
        <v>483</v>
      </c>
      <c r="E154" s="328">
        <f t="shared" si="155"/>
        <v>470456</v>
      </c>
      <c r="F154" s="462">
        <v>470456</v>
      </c>
      <c r="G154" s="462"/>
      <c r="H154" s="462"/>
      <c r="I154" s="462"/>
      <c r="J154" s="328">
        <f t="shared" si="145"/>
        <v>0</v>
      </c>
      <c r="K154" s="462"/>
      <c r="L154" s="462"/>
      <c r="M154" s="462"/>
      <c r="N154" s="462"/>
      <c r="O154" s="459">
        <f>K154</f>
        <v>0</v>
      </c>
      <c r="P154" s="328">
        <f t="shared" si="148"/>
        <v>470456</v>
      </c>
      <c r="Q154" s="20"/>
      <c r="R154" s="50"/>
    </row>
    <row r="155" spans="1:20" s="33" customFormat="1" ht="138.75" thickTop="1" thickBot="1" x14ac:dyDescent="0.25">
      <c r="A155" s="329" t="s">
        <v>732</v>
      </c>
      <c r="B155" s="329" t="s">
        <v>733</v>
      </c>
      <c r="C155" s="329"/>
      <c r="D155" s="329" t="s">
        <v>734</v>
      </c>
      <c r="E155" s="325">
        <f>SUM(E156:E157)</f>
        <v>65523559.719999999</v>
      </c>
      <c r="F155" s="325">
        <f t="shared" ref="F155:P155" si="160">SUM(F156:F157)</f>
        <v>65523559.719999999</v>
      </c>
      <c r="G155" s="325">
        <f t="shared" si="160"/>
        <v>34554767</v>
      </c>
      <c r="H155" s="325">
        <f t="shared" si="160"/>
        <v>1322837.72</v>
      </c>
      <c r="I155" s="325">
        <f t="shared" si="160"/>
        <v>0</v>
      </c>
      <c r="J155" s="325">
        <f t="shared" si="160"/>
        <v>1271000</v>
      </c>
      <c r="K155" s="325">
        <f t="shared" si="160"/>
        <v>0</v>
      </c>
      <c r="L155" s="325">
        <f t="shared" si="160"/>
        <v>1271000</v>
      </c>
      <c r="M155" s="325">
        <f t="shared" si="160"/>
        <v>719000</v>
      </c>
      <c r="N155" s="325">
        <f t="shared" si="160"/>
        <v>150000</v>
      </c>
      <c r="O155" s="325">
        <f t="shared" si="160"/>
        <v>0</v>
      </c>
      <c r="P155" s="325">
        <f t="shared" si="160"/>
        <v>66794559.719999999</v>
      </c>
      <c r="Q155" s="36"/>
      <c r="R155" s="51"/>
    </row>
    <row r="156" spans="1:20" ht="138.75" thickTop="1" thickBot="1" x14ac:dyDescent="0.25">
      <c r="A156" s="103" t="s">
        <v>267</v>
      </c>
      <c r="B156" s="103" t="s">
        <v>265</v>
      </c>
      <c r="C156" s="103" t="s">
        <v>200</v>
      </c>
      <c r="D156" s="103" t="s">
        <v>17</v>
      </c>
      <c r="E156" s="328">
        <f t="shared" si="155"/>
        <v>53657717.719999999</v>
      </c>
      <c r="F156" s="462">
        <f>(53507717.72)+150000</f>
        <v>53657717.719999999</v>
      </c>
      <c r="G156" s="462">
        <v>26679366</v>
      </c>
      <c r="H156" s="462">
        <v>621472.72</v>
      </c>
      <c r="I156" s="462"/>
      <c r="J156" s="328">
        <f t="shared" si="145"/>
        <v>1271000</v>
      </c>
      <c r="K156" s="462">
        <v>0</v>
      </c>
      <c r="L156" s="462">
        <v>1271000</v>
      </c>
      <c r="M156" s="462">
        <v>719000</v>
      </c>
      <c r="N156" s="462">
        <f>70000+10000+70000</f>
        <v>150000</v>
      </c>
      <c r="O156" s="459">
        <f>K156</f>
        <v>0</v>
      </c>
      <c r="P156" s="328">
        <f t="shared" si="148"/>
        <v>54928717.719999999</v>
      </c>
      <c r="Q156" s="20"/>
      <c r="R156" s="46"/>
    </row>
    <row r="157" spans="1:20" ht="93" thickTop="1" thickBot="1" x14ac:dyDescent="0.25">
      <c r="A157" s="103" t="s">
        <v>268</v>
      </c>
      <c r="B157" s="103" t="s">
        <v>266</v>
      </c>
      <c r="C157" s="103" t="s">
        <v>199</v>
      </c>
      <c r="D157" s="103" t="s">
        <v>455</v>
      </c>
      <c r="E157" s="328">
        <f t="shared" si="155"/>
        <v>11865842</v>
      </c>
      <c r="F157" s="462">
        <f>((11310735)+235107)+320000</f>
        <v>11865842</v>
      </c>
      <c r="G157" s="462">
        <f>4675746+3199655</f>
        <v>7875401</v>
      </c>
      <c r="H157" s="462">
        <f>299371+9225+63300+833+266401+8754+53172+309</f>
        <v>701365</v>
      </c>
      <c r="I157" s="462"/>
      <c r="J157" s="328">
        <f t="shared" si="145"/>
        <v>0</v>
      </c>
      <c r="K157" s="462">
        <v>0</v>
      </c>
      <c r="L157" s="462"/>
      <c r="M157" s="462"/>
      <c r="N157" s="462"/>
      <c r="O157" s="459">
        <f t="shared" si="154"/>
        <v>0</v>
      </c>
      <c r="P157" s="328">
        <f t="shared" si="148"/>
        <v>11865842</v>
      </c>
      <c r="Q157" s="20"/>
      <c r="R157" s="46"/>
    </row>
    <row r="158" spans="1:20" ht="48" thickTop="1" thickBot="1" x14ac:dyDescent="0.25">
      <c r="A158" s="329" t="s">
        <v>1020</v>
      </c>
      <c r="B158" s="329" t="s">
        <v>765</v>
      </c>
      <c r="C158" s="329"/>
      <c r="D158" s="329" t="s">
        <v>766</v>
      </c>
      <c r="E158" s="325">
        <f>E159</f>
        <v>11456020.51</v>
      </c>
      <c r="F158" s="325">
        <f t="shared" ref="F158:P158" si="161">F159</f>
        <v>11456020.51</v>
      </c>
      <c r="G158" s="325">
        <f t="shared" si="161"/>
        <v>7875924</v>
      </c>
      <c r="H158" s="325">
        <f t="shared" si="161"/>
        <v>303560.56</v>
      </c>
      <c r="I158" s="325">
        <f t="shared" si="161"/>
        <v>0</v>
      </c>
      <c r="J158" s="325">
        <f t="shared" si="161"/>
        <v>13195</v>
      </c>
      <c r="K158" s="325">
        <f t="shared" si="161"/>
        <v>13195</v>
      </c>
      <c r="L158" s="325">
        <f t="shared" si="161"/>
        <v>0</v>
      </c>
      <c r="M158" s="325">
        <f t="shared" si="161"/>
        <v>0</v>
      </c>
      <c r="N158" s="325">
        <f t="shared" si="161"/>
        <v>0</v>
      </c>
      <c r="O158" s="325">
        <f t="shared" si="161"/>
        <v>13195</v>
      </c>
      <c r="P158" s="325">
        <f t="shared" si="161"/>
        <v>11469215.51</v>
      </c>
      <c r="Q158" s="20"/>
      <c r="R158" s="46"/>
    </row>
    <row r="159" spans="1:20" ht="48" thickTop="1" thickBot="1" x14ac:dyDescent="0.25">
      <c r="A159" s="103" t="s">
        <v>1215</v>
      </c>
      <c r="B159" s="103" t="s">
        <v>184</v>
      </c>
      <c r="C159" s="103" t="s">
        <v>185</v>
      </c>
      <c r="D159" s="103" t="s">
        <v>638</v>
      </c>
      <c r="E159" s="312">
        <f t="shared" ref="E159" si="162">F159</f>
        <v>11456020.51</v>
      </c>
      <c r="F159" s="326">
        <f>((10726813)+198876.95+190000+6003.73+15541.83)+118785+200000</f>
        <v>11456020.51</v>
      </c>
      <c r="G159" s="326">
        <v>7875924</v>
      </c>
      <c r="H159" s="326">
        <f>(120805+10790+84400+66020)+6003.73+15541.83</f>
        <v>303560.56</v>
      </c>
      <c r="I159" s="326"/>
      <c r="J159" s="328">
        <f t="shared" ref="J159" si="163">L159+O159</f>
        <v>13195</v>
      </c>
      <c r="K159" s="326">
        <v>13195</v>
      </c>
      <c r="L159" s="458"/>
      <c r="M159" s="458"/>
      <c r="N159" s="458"/>
      <c r="O159" s="459">
        <f t="shared" ref="O159" si="164">K159</f>
        <v>13195</v>
      </c>
      <c r="P159" s="328">
        <f>+J159+E159</f>
        <v>11469215.51</v>
      </c>
      <c r="Q159" s="20"/>
      <c r="R159" s="46"/>
    </row>
    <row r="160" spans="1:20" ht="184.5" thickTop="1" thickBot="1" x14ac:dyDescent="0.25">
      <c r="A160" s="103" t="s">
        <v>263</v>
      </c>
      <c r="B160" s="103" t="s">
        <v>264</v>
      </c>
      <c r="C160" s="103" t="s">
        <v>199</v>
      </c>
      <c r="D160" s="103" t="s">
        <v>453</v>
      </c>
      <c r="E160" s="328">
        <f t="shared" si="155"/>
        <v>5126500</v>
      </c>
      <c r="F160" s="462">
        <v>5126500</v>
      </c>
      <c r="G160" s="462"/>
      <c r="H160" s="462"/>
      <c r="I160" s="462"/>
      <c r="J160" s="328">
        <f t="shared" si="145"/>
        <v>0</v>
      </c>
      <c r="K160" s="328"/>
      <c r="L160" s="462"/>
      <c r="M160" s="462"/>
      <c r="N160" s="462"/>
      <c r="O160" s="459">
        <f t="shared" si="154"/>
        <v>0</v>
      </c>
      <c r="P160" s="328">
        <f>+J160+E160</f>
        <v>5126500</v>
      </c>
      <c r="Q160" s="20"/>
      <c r="R160" s="50"/>
    </row>
    <row r="161" spans="1:18" ht="48" thickTop="1" thickBot="1" x14ac:dyDescent="0.25">
      <c r="A161" s="329" t="s">
        <v>881</v>
      </c>
      <c r="B161" s="329" t="s">
        <v>882</v>
      </c>
      <c r="C161" s="329"/>
      <c r="D161" s="329" t="s">
        <v>883</v>
      </c>
      <c r="E161" s="325">
        <f t="shared" si="155"/>
        <v>184607</v>
      </c>
      <c r="F161" s="325">
        <f>F162</f>
        <v>184607</v>
      </c>
      <c r="G161" s="325">
        <f t="shared" ref="G161:I161" si="165">G162</f>
        <v>0</v>
      </c>
      <c r="H161" s="325">
        <f t="shared" si="165"/>
        <v>0</v>
      </c>
      <c r="I161" s="325">
        <f t="shared" si="165"/>
        <v>0</v>
      </c>
      <c r="J161" s="325">
        <f t="shared" si="145"/>
        <v>0</v>
      </c>
      <c r="K161" s="325">
        <f t="shared" ref="K161:N161" si="166">K162</f>
        <v>0</v>
      </c>
      <c r="L161" s="325">
        <f t="shared" si="166"/>
        <v>0</v>
      </c>
      <c r="M161" s="325">
        <f t="shared" si="166"/>
        <v>0</v>
      </c>
      <c r="N161" s="325">
        <f t="shared" si="166"/>
        <v>0</v>
      </c>
      <c r="O161" s="325">
        <f t="shared" si="154"/>
        <v>0</v>
      </c>
      <c r="P161" s="325">
        <f>+J161+E161</f>
        <v>184607</v>
      </c>
      <c r="Q161" s="20"/>
      <c r="R161" s="50"/>
    </row>
    <row r="162" spans="1:18" ht="138.75" thickTop="1" thickBot="1" x14ac:dyDescent="0.25">
      <c r="A162" s="103" t="s">
        <v>484</v>
      </c>
      <c r="B162" s="103" t="s">
        <v>485</v>
      </c>
      <c r="C162" s="103" t="s">
        <v>199</v>
      </c>
      <c r="D162" s="103" t="s">
        <v>486</v>
      </c>
      <c r="E162" s="328">
        <f t="shared" si="155"/>
        <v>184607</v>
      </c>
      <c r="F162" s="462">
        <v>184607</v>
      </c>
      <c r="G162" s="462"/>
      <c r="H162" s="462"/>
      <c r="I162" s="462"/>
      <c r="J162" s="328">
        <f t="shared" si="145"/>
        <v>0</v>
      </c>
      <c r="K162" s="328"/>
      <c r="L162" s="462"/>
      <c r="M162" s="462"/>
      <c r="N162" s="462"/>
      <c r="O162" s="459">
        <f t="shared" si="154"/>
        <v>0</v>
      </c>
      <c r="P162" s="328">
        <f>+J162+E162</f>
        <v>184607</v>
      </c>
      <c r="Q162" s="20"/>
      <c r="R162" s="50"/>
    </row>
    <row r="163" spans="1:18" ht="184.5" thickTop="1" thickBot="1" x14ac:dyDescent="0.25">
      <c r="A163" s="103" t="s">
        <v>348</v>
      </c>
      <c r="B163" s="103" t="s">
        <v>347</v>
      </c>
      <c r="C163" s="103" t="s">
        <v>50</v>
      </c>
      <c r="D163" s="103" t="s">
        <v>454</v>
      </c>
      <c r="E163" s="328">
        <f t="shared" si="155"/>
        <v>2687933.28</v>
      </c>
      <c r="F163" s="462">
        <v>2687933.28</v>
      </c>
      <c r="G163" s="462"/>
      <c r="H163" s="462"/>
      <c r="I163" s="462"/>
      <c r="J163" s="328">
        <f t="shared" si="145"/>
        <v>0</v>
      </c>
      <c r="K163" s="328"/>
      <c r="L163" s="462"/>
      <c r="M163" s="462"/>
      <c r="N163" s="462"/>
      <c r="O163" s="459">
        <f t="shared" si="154"/>
        <v>0</v>
      </c>
      <c r="P163" s="328">
        <f>E163+J163</f>
        <v>2687933.28</v>
      </c>
      <c r="Q163" s="20"/>
      <c r="R163" s="50"/>
    </row>
    <row r="164" spans="1:18" s="33" customFormat="1" ht="48" thickTop="1" thickBot="1" x14ac:dyDescent="0.25">
      <c r="A164" s="329" t="s">
        <v>735</v>
      </c>
      <c r="B164" s="329" t="s">
        <v>736</v>
      </c>
      <c r="C164" s="329"/>
      <c r="D164" s="329" t="s">
        <v>737</v>
      </c>
      <c r="E164" s="325">
        <f>E165</f>
        <v>1000000</v>
      </c>
      <c r="F164" s="325">
        <f t="shared" ref="F164:P164" si="167">F165</f>
        <v>1000000</v>
      </c>
      <c r="G164" s="325">
        <f t="shared" si="167"/>
        <v>0</v>
      </c>
      <c r="H164" s="325">
        <f t="shared" si="167"/>
        <v>0</v>
      </c>
      <c r="I164" s="325">
        <f t="shared" si="167"/>
        <v>0</v>
      </c>
      <c r="J164" s="325">
        <f t="shared" si="167"/>
        <v>0</v>
      </c>
      <c r="K164" s="325">
        <f t="shared" si="167"/>
        <v>0</v>
      </c>
      <c r="L164" s="325">
        <f t="shared" si="167"/>
        <v>0</v>
      </c>
      <c r="M164" s="325">
        <f t="shared" si="167"/>
        <v>0</v>
      </c>
      <c r="N164" s="325">
        <f t="shared" si="167"/>
        <v>0</v>
      </c>
      <c r="O164" s="325">
        <f t="shared" si="167"/>
        <v>0</v>
      </c>
      <c r="P164" s="325">
        <f t="shared" si="167"/>
        <v>1000000</v>
      </c>
      <c r="Q164" s="36"/>
      <c r="R164" s="51"/>
    </row>
    <row r="165" spans="1:18" ht="93" thickTop="1" thickBot="1" x14ac:dyDescent="0.25">
      <c r="A165" s="103" t="s">
        <v>325</v>
      </c>
      <c r="B165" s="103" t="s">
        <v>326</v>
      </c>
      <c r="C165" s="103" t="s">
        <v>205</v>
      </c>
      <c r="D165" s="103" t="s">
        <v>635</v>
      </c>
      <c r="E165" s="328">
        <f t="shared" si="155"/>
        <v>1000000</v>
      </c>
      <c r="F165" s="462">
        <v>1000000</v>
      </c>
      <c r="G165" s="462"/>
      <c r="H165" s="462"/>
      <c r="I165" s="462"/>
      <c r="J165" s="328">
        <f t="shared" si="145"/>
        <v>0</v>
      </c>
      <c r="K165" s="462"/>
      <c r="L165" s="462"/>
      <c r="M165" s="462"/>
      <c r="N165" s="462"/>
      <c r="O165" s="459">
        <f t="shared" si="154"/>
        <v>0</v>
      </c>
      <c r="P165" s="328">
        <f>E165+J165</f>
        <v>1000000</v>
      </c>
      <c r="Q165" s="20"/>
      <c r="R165" s="50"/>
    </row>
    <row r="166" spans="1:18" ht="48" thickTop="1" thickBot="1" x14ac:dyDescent="0.25">
      <c r="A166" s="103" t="s">
        <v>428</v>
      </c>
      <c r="B166" s="103" t="s">
        <v>372</v>
      </c>
      <c r="C166" s="103" t="s">
        <v>373</v>
      </c>
      <c r="D166" s="103" t="s">
        <v>371</v>
      </c>
      <c r="E166" s="553">
        <f t="shared" si="155"/>
        <v>117000</v>
      </c>
      <c r="F166" s="462">
        <v>117000</v>
      </c>
      <c r="G166" s="462">
        <v>90000</v>
      </c>
      <c r="H166" s="462"/>
      <c r="I166" s="462"/>
      <c r="J166" s="328">
        <f t="shared" si="145"/>
        <v>0</v>
      </c>
      <c r="K166" s="462"/>
      <c r="L166" s="462"/>
      <c r="M166" s="462"/>
      <c r="N166" s="462"/>
      <c r="O166" s="459">
        <f t="shared" si="154"/>
        <v>0</v>
      </c>
      <c r="P166" s="328">
        <f>E166+J166</f>
        <v>117000</v>
      </c>
      <c r="Q166" s="20"/>
      <c r="R166" s="50"/>
    </row>
    <row r="167" spans="1:18" ht="93" hidden="1" thickTop="1" thickBot="1" x14ac:dyDescent="0.25">
      <c r="A167" s="140" t="s">
        <v>1059</v>
      </c>
      <c r="B167" s="140" t="s">
        <v>1060</v>
      </c>
      <c r="C167" s="140"/>
      <c r="D167" s="140" t="s">
        <v>1058</v>
      </c>
      <c r="E167" s="141">
        <f>E168+E172+E176+E179</f>
        <v>0</v>
      </c>
      <c r="F167" s="141">
        <f t="shared" ref="F167:P167" si="168">F168+F172+F176+F179</f>
        <v>0</v>
      </c>
      <c r="G167" s="141">
        <f t="shared" si="168"/>
        <v>0</v>
      </c>
      <c r="H167" s="141">
        <f t="shared" si="168"/>
        <v>0</v>
      </c>
      <c r="I167" s="141">
        <f t="shared" si="168"/>
        <v>0</v>
      </c>
      <c r="J167" s="141">
        <f t="shared" si="168"/>
        <v>0</v>
      </c>
      <c r="K167" s="141">
        <f t="shared" si="168"/>
        <v>0</v>
      </c>
      <c r="L167" s="141">
        <f t="shared" si="168"/>
        <v>0</v>
      </c>
      <c r="M167" s="141">
        <f t="shared" si="168"/>
        <v>0</v>
      </c>
      <c r="N167" s="141">
        <f t="shared" si="168"/>
        <v>0</v>
      </c>
      <c r="O167" s="141">
        <f t="shared" si="168"/>
        <v>0</v>
      </c>
      <c r="P167" s="141">
        <f t="shared" si="168"/>
        <v>0</v>
      </c>
      <c r="Q167" s="20"/>
      <c r="R167" s="50"/>
    </row>
    <row r="168" spans="1:18" ht="256.5" hidden="1" customHeight="1" thickTop="1" x14ac:dyDescent="0.65">
      <c r="A168" s="789" t="s">
        <v>1061</v>
      </c>
      <c r="B168" s="789" t="s">
        <v>1062</v>
      </c>
      <c r="C168" s="789" t="s">
        <v>50</v>
      </c>
      <c r="D168" s="403" t="s">
        <v>1432</v>
      </c>
      <c r="E168" s="778">
        <f t="shared" ref="E168:E172" si="169">F168</f>
        <v>0</v>
      </c>
      <c r="F168" s="778"/>
      <c r="G168" s="778"/>
      <c r="H168" s="778"/>
      <c r="I168" s="778"/>
      <c r="J168" s="778">
        <f t="shared" ref="J168:J172" si="170">L168+O168</f>
        <v>0</v>
      </c>
      <c r="K168" s="788">
        <v>0</v>
      </c>
      <c r="L168" s="778"/>
      <c r="M168" s="778"/>
      <c r="N168" s="778"/>
      <c r="O168" s="788">
        <f t="shared" ref="O168:O172" si="171">K168</f>
        <v>0</v>
      </c>
      <c r="P168" s="778">
        <f t="shared" ref="P168:P172" si="172">E168+J168</f>
        <v>0</v>
      </c>
      <c r="Q168" s="791"/>
      <c r="R168" s="775"/>
    </row>
    <row r="169" spans="1:18" ht="238.5" hidden="1" customHeight="1" x14ac:dyDescent="0.2">
      <c r="A169" s="779"/>
      <c r="B169" s="779"/>
      <c r="C169" s="779"/>
      <c r="D169" s="404" t="s">
        <v>1433</v>
      </c>
      <c r="E169" s="779"/>
      <c r="F169" s="779"/>
      <c r="G169" s="779"/>
      <c r="H169" s="779"/>
      <c r="I169" s="779"/>
      <c r="J169" s="779"/>
      <c r="K169" s="779"/>
      <c r="L169" s="779"/>
      <c r="M169" s="779"/>
      <c r="N169" s="779"/>
      <c r="O169" s="779"/>
      <c r="P169" s="779"/>
      <c r="Q169" s="791"/>
      <c r="R169" s="776"/>
    </row>
    <row r="170" spans="1:18" ht="220.5" hidden="1" customHeight="1" x14ac:dyDescent="0.2">
      <c r="A170" s="779"/>
      <c r="B170" s="779"/>
      <c r="C170" s="779"/>
      <c r="D170" s="404" t="s">
        <v>1434</v>
      </c>
      <c r="E170" s="779"/>
      <c r="F170" s="779"/>
      <c r="G170" s="779"/>
      <c r="H170" s="779"/>
      <c r="I170" s="779"/>
      <c r="J170" s="779"/>
      <c r="K170" s="779"/>
      <c r="L170" s="779"/>
      <c r="M170" s="779"/>
      <c r="N170" s="779"/>
      <c r="O170" s="779"/>
      <c r="P170" s="779"/>
      <c r="Q170" s="791"/>
      <c r="R170" s="776"/>
    </row>
    <row r="171" spans="1:18" ht="166.5" hidden="1" customHeight="1" thickBot="1" x14ac:dyDescent="0.25">
      <c r="A171" s="780"/>
      <c r="B171" s="780"/>
      <c r="C171" s="780"/>
      <c r="D171" s="405" t="s">
        <v>1435</v>
      </c>
      <c r="E171" s="780"/>
      <c r="F171" s="780"/>
      <c r="G171" s="780"/>
      <c r="H171" s="780"/>
      <c r="I171" s="780"/>
      <c r="J171" s="780"/>
      <c r="K171" s="780"/>
      <c r="L171" s="780"/>
      <c r="M171" s="780"/>
      <c r="N171" s="780"/>
      <c r="O171" s="780"/>
      <c r="P171" s="780"/>
      <c r="Q171" s="791"/>
      <c r="R171" s="776"/>
    </row>
    <row r="172" spans="1:18" ht="277.5" hidden="1" customHeight="1" thickTop="1" x14ac:dyDescent="0.65">
      <c r="A172" s="789" t="s">
        <v>1064</v>
      </c>
      <c r="B172" s="789" t="s">
        <v>1065</v>
      </c>
      <c r="C172" s="789" t="s">
        <v>50</v>
      </c>
      <c r="D172" s="403" t="s">
        <v>1063</v>
      </c>
      <c r="E172" s="778">
        <f t="shared" si="169"/>
        <v>0</v>
      </c>
      <c r="F172" s="778"/>
      <c r="G172" s="778"/>
      <c r="H172" s="778"/>
      <c r="I172" s="778"/>
      <c r="J172" s="778">
        <f t="shared" si="170"/>
        <v>0</v>
      </c>
      <c r="K172" s="788">
        <v>0</v>
      </c>
      <c r="L172" s="778"/>
      <c r="M172" s="778"/>
      <c r="N172" s="778"/>
      <c r="O172" s="778">
        <f t="shared" si="171"/>
        <v>0</v>
      </c>
      <c r="P172" s="778">
        <f t="shared" si="172"/>
        <v>0</v>
      </c>
      <c r="Q172" s="20"/>
      <c r="R172" s="775"/>
    </row>
    <row r="173" spans="1:18" ht="298.5" hidden="1" customHeight="1" x14ac:dyDescent="0.2">
      <c r="A173" s="779"/>
      <c r="B173" s="779"/>
      <c r="C173" s="779"/>
      <c r="D173" s="404" t="s">
        <v>1436</v>
      </c>
      <c r="E173" s="779"/>
      <c r="F173" s="779"/>
      <c r="G173" s="779"/>
      <c r="H173" s="779"/>
      <c r="I173" s="779"/>
      <c r="J173" s="779"/>
      <c r="K173" s="779"/>
      <c r="L173" s="779"/>
      <c r="M173" s="779"/>
      <c r="N173" s="779"/>
      <c r="O173" s="779"/>
      <c r="P173" s="779"/>
      <c r="Q173" s="20"/>
      <c r="R173" s="790"/>
    </row>
    <row r="174" spans="1:18" ht="283.5" hidden="1" customHeight="1" x14ac:dyDescent="0.2">
      <c r="A174" s="779"/>
      <c r="B174" s="779"/>
      <c r="C174" s="779"/>
      <c r="D174" s="404" t="s">
        <v>1437</v>
      </c>
      <c r="E174" s="779"/>
      <c r="F174" s="779"/>
      <c r="G174" s="779"/>
      <c r="H174" s="779"/>
      <c r="I174" s="779"/>
      <c r="J174" s="779"/>
      <c r="K174" s="779"/>
      <c r="L174" s="779"/>
      <c r="M174" s="779"/>
      <c r="N174" s="779"/>
      <c r="O174" s="779"/>
      <c r="P174" s="779"/>
      <c r="Q174" s="20"/>
      <c r="R174" s="790"/>
    </row>
    <row r="175" spans="1:18" ht="92.25" hidden="1" thickBot="1" x14ac:dyDescent="0.25">
      <c r="A175" s="780"/>
      <c r="B175" s="780"/>
      <c r="C175" s="780"/>
      <c r="D175" s="405" t="s">
        <v>1438</v>
      </c>
      <c r="E175" s="780"/>
      <c r="F175" s="780"/>
      <c r="G175" s="780"/>
      <c r="H175" s="780"/>
      <c r="I175" s="780"/>
      <c r="J175" s="780"/>
      <c r="K175" s="780"/>
      <c r="L175" s="780"/>
      <c r="M175" s="780"/>
      <c r="N175" s="780"/>
      <c r="O175" s="780"/>
      <c r="P175" s="780"/>
      <c r="Q175" s="20"/>
      <c r="R175" s="790"/>
    </row>
    <row r="176" spans="1:18" ht="310.5" hidden="1" customHeight="1" thickTop="1" x14ac:dyDescent="0.65">
      <c r="A176" s="789" t="s">
        <v>1066</v>
      </c>
      <c r="B176" s="789" t="s">
        <v>1067</v>
      </c>
      <c r="C176" s="789" t="s">
        <v>50</v>
      </c>
      <c r="D176" s="403" t="s">
        <v>1439</v>
      </c>
      <c r="E176" s="778">
        <f t="shared" ref="E176" si="173">F176</f>
        <v>0</v>
      </c>
      <c r="F176" s="778"/>
      <c r="G176" s="778"/>
      <c r="H176" s="778"/>
      <c r="I176" s="778"/>
      <c r="J176" s="778">
        <f t="shared" ref="J176" si="174">L176+O176</f>
        <v>0</v>
      </c>
      <c r="K176" s="788">
        <v>0</v>
      </c>
      <c r="L176" s="778"/>
      <c r="M176" s="778"/>
      <c r="N176" s="778"/>
      <c r="O176" s="788">
        <f t="shared" ref="O176" si="175">K176</f>
        <v>0</v>
      </c>
      <c r="P176" s="778">
        <f t="shared" ref="P176" si="176">E176+J176</f>
        <v>0</v>
      </c>
      <c r="Q176" s="20"/>
      <c r="R176" s="775"/>
    </row>
    <row r="177" spans="1:18" ht="268.5" hidden="1" customHeight="1" x14ac:dyDescent="0.2">
      <c r="A177" s="779"/>
      <c r="B177" s="779"/>
      <c r="C177" s="779"/>
      <c r="D177" s="404" t="s">
        <v>1440</v>
      </c>
      <c r="E177" s="779"/>
      <c r="F177" s="779"/>
      <c r="G177" s="779"/>
      <c r="H177" s="779"/>
      <c r="I177" s="779"/>
      <c r="J177" s="779"/>
      <c r="K177" s="779"/>
      <c r="L177" s="779"/>
      <c r="M177" s="779"/>
      <c r="N177" s="779"/>
      <c r="O177" s="779"/>
      <c r="P177" s="779"/>
      <c r="Q177" s="20"/>
      <c r="R177" s="776"/>
    </row>
    <row r="178" spans="1:18" ht="92.25" hidden="1" thickBot="1" x14ac:dyDescent="0.25">
      <c r="A178" s="780"/>
      <c r="B178" s="780"/>
      <c r="C178" s="780"/>
      <c r="D178" s="405" t="s">
        <v>1068</v>
      </c>
      <c r="E178" s="780"/>
      <c r="F178" s="780"/>
      <c r="G178" s="780"/>
      <c r="H178" s="780"/>
      <c r="I178" s="780"/>
      <c r="J178" s="780"/>
      <c r="K178" s="780"/>
      <c r="L178" s="780"/>
      <c r="M178" s="780"/>
      <c r="N178" s="780"/>
      <c r="O178" s="780"/>
      <c r="P178" s="780"/>
      <c r="Q178" s="20"/>
      <c r="R178" s="776"/>
    </row>
    <row r="179" spans="1:18" ht="229.5" hidden="1" thickTop="1" x14ac:dyDescent="0.65">
      <c r="A179" s="777" t="s">
        <v>1072</v>
      </c>
      <c r="B179" s="777" t="s">
        <v>1073</v>
      </c>
      <c r="C179" s="777" t="s">
        <v>50</v>
      </c>
      <c r="D179" s="406" t="s">
        <v>1069</v>
      </c>
      <c r="E179" s="778">
        <f t="shared" ref="E179" si="177">F179</f>
        <v>0</v>
      </c>
      <c r="F179" s="778"/>
      <c r="G179" s="778"/>
      <c r="H179" s="778"/>
      <c r="I179" s="778"/>
      <c r="J179" s="778">
        <f t="shared" ref="J179" si="178">L179+O179</f>
        <v>0</v>
      </c>
      <c r="K179" s="774">
        <v>0</v>
      </c>
      <c r="L179" s="771"/>
      <c r="M179" s="771"/>
      <c r="N179" s="771"/>
      <c r="O179" s="774">
        <f t="shared" ref="O179" si="179">K179</f>
        <v>0</v>
      </c>
      <c r="P179" s="771">
        <f t="shared" ref="P179" si="180">E179+J179</f>
        <v>0</v>
      </c>
      <c r="Q179" s="20"/>
      <c r="R179" s="775"/>
    </row>
    <row r="180" spans="1:18" ht="183" hidden="1" x14ac:dyDescent="0.2">
      <c r="A180" s="772"/>
      <c r="B180" s="772"/>
      <c r="C180" s="772"/>
      <c r="D180" s="126" t="s">
        <v>1070</v>
      </c>
      <c r="E180" s="779"/>
      <c r="F180" s="779"/>
      <c r="G180" s="779"/>
      <c r="H180" s="779"/>
      <c r="I180" s="779"/>
      <c r="J180" s="779"/>
      <c r="K180" s="772"/>
      <c r="L180" s="772"/>
      <c r="M180" s="772"/>
      <c r="N180" s="772"/>
      <c r="O180" s="772"/>
      <c r="P180" s="772"/>
      <c r="Q180" s="20"/>
      <c r="R180" s="776"/>
    </row>
    <row r="181" spans="1:18" ht="46.5" hidden="1" thickBot="1" x14ac:dyDescent="0.25">
      <c r="A181" s="773"/>
      <c r="B181" s="773"/>
      <c r="C181" s="773"/>
      <c r="D181" s="407" t="s">
        <v>1071</v>
      </c>
      <c r="E181" s="780"/>
      <c r="F181" s="780"/>
      <c r="G181" s="780"/>
      <c r="H181" s="780"/>
      <c r="I181" s="780"/>
      <c r="J181" s="780"/>
      <c r="K181" s="773"/>
      <c r="L181" s="773"/>
      <c r="M181" s="773"/>
      <c r="N181" s="773"/>
      <c r="O181" s="773"/>
      <c r="P181" s="773"/>
      <c r="Q181" s="20"/>
      <c r="R181" s="776"/>
    </row>
    <row r="182" spans="1:18" ht="93" thickTop="1" thickBot="1" x14ac:dyDescent="0.25">
      <c r="A182" s="103" t="s">
        <v>1203</v>
      </c>
      <c r="B182" s="103" t="s">
        <v>1200</v>
      </c>
      <c r="C182" s="103" t="s">
        <v>206</v>
      </c>
      <c r="D182" s="470" t="s">
        <v>1201</v>
      </c>
      <c r="E182" s="553">
        <f t="shared" ref="E182" si="181">F182</f>
        <v>8000440.2199999997</v>
      </c>
      <c r="F182" s="462">
        <f>((5975529)+1168180)+856731.22</f>
        <v>8000440.2199999997</v>
      </c>
      <c r="G182" s="134"/>
      <c r="H182" s="134"/>
      <c r="I182" s="134"/>
      <c r="J182" s="328">
        <f t="shared" ref="J182" si="182">L182+O182</f>
        <v>47321788.539999999</v>
      </c>
      <c r="K182" s="462">
        <f>((30767856.02)+16737530.6-3236524.08)+908668+1644258+500000</f>
        <v>47321788.539999999</v>
      </c>
      <c r="L182" s="462"/>
      <c r="M182" s="462"/>
      <c r="N182" s="462"/>
      <c r="O182" s="459">
        <f t="shared" ref="O182" si="183">K182</f>
        <v>47321788.539999999</v>
      </c>
      <c r="P182" s="328">
        <f>E182+J182</f>
        <v>55322228.759999998</v>
      </c>
      <c r="Q182" s="20"/>
      <c r="R182" s="21"/>
    </row>
    <row r="183" spans="1:18" s="33" customFormat="1" ht="48" thickTop="1" thickBot="1" x14ac:dyDescent="0.25">
      <c r="A183" s="329" t="s">
        <v>738</v>
      </c>
      <c r="B183" s="329" t="s">
        <v>739</v>
      </c>
      <c r="C183" s="329"/>
      <c r="D183" s="329" t="s">
        <v>740</v>
      </c>
      <c r="E183" s="325">
        <f>SUM(E184:E185)</f>
        <v>102403254</v>
      </c>
      <c r="F183" s="325">
        <f t="shared" ref="F183:P183" si="184">SUM(F184:F185)</f>
        <v>102403254</v>
      </c>
      <c r="G183" s="325">
        <f t="shared" si="184"/>
        <v>14711142</v>
      </c>
      <c r="H183" s="325">
        <f t="shared" si="184"/>
        <v>1558354</v>
      </c>
      <c r="I183" s="325">
        <f t="shared" si="184"/>
        <v>0</v>
      </c>
      <c r="J183" s="325">
        <f t="shared" si="184"/>
        <v>30697240</v>
      </c>
      <c r="K183" s="325">
        <f t="shared" si="184"/>
        <v>25704980</v>
      </c>
      <c r="L183" s="325">
        <f t="shared" si="184"/>
        <v>4968260</v>
      </c>
      <c r="M183" s="325">
        <f t="shared" si="184"/>
        <v>1885685</v>
      </c>
      <c r="N183" s="325">
        <f t="shared" si="184"/>
        <v>555805</v>
      </c>
      <c r="O183" s="325">
        <f t="shared" si="184"/>
        <v>25728980</v>
      </c>
      <c r="P183" s="325">
        <f t="shared" si="184"/>
        <v>133100494</v>
      </c>
      <c r="Q183" s="36"/>
      <c r="R183" s="51"/>
    </row>
    <row r="184" spans="1:18" ht="93" thickTop="1" thickBot="1" x14ac:dyDescent="0.25">
      <c r="A184" s="103" t="s">
        <v>327</v>
      </c>
      <c r="B184" s="103" t="s">
        <v>329</v>
      </c>
      <c r="C184" s="103" t="s">
        <v>191</v>
      </c>
      <c r="D184" s="470" t="s">
        <v>331</v>
      </c>
      <c r="E184" s="328">
        <f t="shared" si="155"/>
        <v>31733414</v>
      </c>
      <c r="F184" s="462">
        <f>((24773656)+2282350+2871000+571920)+149693+255079-300000+513700+22500+905816-13000-299300</f>
        <v>31733414</v>
      </c>
      <c r="G184" s="326">
        <f>(3231579+4596637+3505606)+1568320+1809000</f>
        <v>14711142</v>
      </c>
      <c r="H184" s="326">
        <f>((35600+197918+78510+15030+337600+219800+437423+28830)+70000)+137643</f>
        <v>1558354</v>
      </c>
      <c r="I184" s="462"/>
      <c r="J184" s="328">
        <f t="shared" ref="J184:J197" si="185">L184+O184</f>
        <v>6594640</v>
      </c>
      <c r="K184" s="462">
        <f>(0)+26950+100000+1475430</f>
        <v>1602380</v>
      </c>
      <c r="L184" s="462">
        <f>4992260-24000</f>
        <v>4968260</v>
      </c>
      <c r="M184" s="462">
        <v>1885685</v>
      </c>
      <c r="N184" s="462">
        <f>34805+338560+116750+65690</f>
        <v>555805</v>
      </c>
      <c r="O184" s="459">
        <f>(K184)+24000</f>
        <v>1626380</v>
      </c>
      <c r="P184" s="328">
        <f t="shared" ref="P184:P197" si="186">E184+J184</f>
        <v>38328054</v>
      </c>
      <c r="Q184" s="20"/>
      <c r="R184" s="46"/>
    </row>
    <row r="185" spans="1:18" ht="66.75" customHeight="1" thickTop="1" thickBot="1" x14ac:dyDescent="0.25">
      <c r="A185" s="103" t="s">
        <v>328</v>
      </c>
      <c r="B185" s="103" t="s">
        <v>330</v>
      </c>
      <c r="C185" s="103" t="s">
        <v>191</v>
      </c>
      <c r="D185" s="470" t="s">
        <v>332</v>
      </c>
      <c r="E185" s="328">
        <f t="shared" si="155"/>
        <v>70669840</v>
      </c>
      <c r="F185" s="462">
        <f>((43653090)+5000000+1800000)+20216750</f>
        <v>70669840</v>
      </c>
      <c r="G185" s="134"/>
      <c r="H185" s="134"/>
      <c r="I185" s="134"/>
      <c r="J185" s="328">
        <f t="shared" si="185"/>
        <v>24102600</v>
      </c>
      <c r="K185" s="462">
        <f>(24000000)+102600</f>
        <v>24102600</v>
      </c>
      <c r="L185" s="462"/>
      <c r="M185" s="462"/>
      <c r="N185" s="462"/>
      <c r="O185" s="459">
        <f t="shared" ref="O185:O197" si="187">K185</f>
        <v>24102600</v>
      </c>
      <c r="P185" s="328">
        <f t="shared" si="186"/>
        <v>94772440</v>
      </c>
      <c r="Q185" s="20"/>
      <c r="R185" s="46"/>
    </row>
    <row r="186" spans="1:18" ht="47.25" thickTop="1" thickBot="1" x14ac:dyDescent="0.25">
      <c r="A186" s="311" t="s">
        <v>741</v>
      </c>
      <c r="B186" s="311" t="s">
        <v>742</v>
      </c>
      <c r="C186" s="311"/>
      <c r="D186" s="347" t="s">
        <v>743</v>
      </c>
      <c r="E186" s="328">
        <f>SUM(E187)</f>
        <v>0</v>
      </c>
      <c r="F186" s="328">
        <f t="shared" ref="F186:P186" si="188">SUM(F187)</f>
        <v>0</v>
      </c>
      <c r="G186" s="328">
        <f t="shared" si="188"/>
        <v>0</v>
      </c>
      <c r="H186" s="328">
        <f t="shared" si="188"/>
        <v>0</v>
      </c>
      <c r="I186" s="328">
        <f t="shared" si="188"/>
        <v>0</v>
      </c>
      <c r="J186" s="328">
        <f>SUM(J187)</f>
        <v>26000000</v>
      </c>
      <c r="K186" s="328">
        <f t="shared" si="188"/>
        <v>26000000</v>
      </c>
      <c r="L186" s="328">
        <f t="shared" si="188"/>
        <v>0</v>
      </c>
      <c r="M186" s="328">
        <f t="shared" si="188"/>
        <v>0</v>
      </c>
      <c r="N186" s="328">
        <f t="shared" si="188"/>
        <v>0</v>
      </c>
      <c r="O186" s="328">
        <f t="shared" si="188"/>
        <v>26000000</v>
      </c>
      <c r="P186" s="328">
        <f t="shared" si="188"/>
        <v>26000000</v>
      </c>
      <c r="Q186" s="20"/>
      <c r="R186" s="46"/>
    </row>
    <row r="187" spans="1:18" s="33" customFormat="1" ht="48" thickTop="1" thickBot="1" x14ac:dyDescent="0.25">
      <c r="A187" s="329" t="s">
        <v>744</v>
      </c>
      <c r="B187" s="329" t="s">
        <v>745</v>
      </c>
      <c r="C187" s="329"/>
      <c r="D187" s="552" t="s">
        <v>746</v>
      </c>
      <c r="E187" s="325">
        <f>SUM(E188:E189)</f>
        <v>0</v>
      </c>
      <c r="F187" s="325">
        <f>SUM(F188:F189)</f>
        <v>0</v>
      </c>
      <c r="G187" s="325">
        <f>SUM(G188:G189)</f>
        <v>0</v>
      </c>
      <c r="H187" s="325">
        <f>SUM(H188:H189)</f>
        <v>0</v>
      </c>
      <c r="I187" s="325">
        <f>SUM(I188:I189)</f>
        <v>0</v>
      </c>
      <c r="J187" s="325">
        <f t="shared" ref="J187:O187" si="189">SUM(J188:J189)</f>
        <v>26000000</v>
      </c>
      <c r="K187" s="325">
        <f t="shared" si="189"/>
        <v>26000000</v>
      </c>
      <c r="L187" s="325">
        <f t="shared" si="189"/>
        <v>0</v>
      </c>
      <c r="M187" s="325">
        <f t="shared" si="189"/>
        <v>0</v>
      </c>
      <c r="N187" s="325">
        <f t="shared" si="189"/>
        <v>0</v>
      </c>
      <c r="O187" s="325">
        <f t="shared" si="189"/>
        <v>26000000</v>
      </c>
      <c r="P187" s="325">
        <f>SUM(P188:P189)</f>
        <v>26000000</v>
      </c>
      <c r="Q187" s="36"/>
      <c r="R187" s="52"/>
    </row>
    <row r="188" spans="1:18" ht="93" thickTop="1" thickBot="1" x14ac:dyDescent="0.25">
      <c r="A188" s="103" t="s">
        <v>367</v>
      </c>
      <c r="B188" s="103" t="s">
        <v>365</v>
      </c>
      <c r="C188" s="103" t="s">
        <v>340</v>
      </c>
      <c r="D188" s="470" t="s">
        <v>366</v>
      </c>
      <c r="E188" s="328">
        <f t="shared" si="155"/>
        <v>0</v>
      </c>
      <c r="F188" s="462"/>
      <c r="G188" s="462"/>
      <c r="H188" s="462"/>
      <c r="I188" s="462"/>
      <c r="J188" s="328">
        <f t="shared" si="185"/>
        <v>26000000</v>
      </c>
      <c r="K188" s="462">
        <f>(20000000)+6000000</f>
        <v>26000000</v>
      </c>
      <c r="L188" s="462"/>
      <c r="M188" s="462"/>
      <c r="N188" s="462"/>
      <c r="O188" s="459">
        <f t="shared" si="187"/>
        <v>26000000</v>
      </c>
      <c r="P188" s="328">
        <f t="shared" si="186"/>
        <v>26000000</v>
      </c>
      <c r="Q188" s="20"/>
      <c r="R188" s="46"/>
    </row>
    <row r="189" spans="1:18" ht="184.5" hidden="1" thickTop="1" thickBot="1" x14ac:dyDescent="0.25">
      <c r="A189" s="41" t="s">
        <v>1074</v>
      </c>
      <c r="B189" s="41" t="s">
        <v>1075</v>
      </c>
      <c r="C189" s="41" t="s">
        <v>340</v>
      </c>
      <c r="D189" s="154" t="s">
        <v>1076</v>
      </c>
      <c r="E189" s="42">
        <f t="shared" si="155"/>
        <v>0</v>
      </c>
      <c r="F189" s="43"/>
      <c r="G189" s="43"/>
      <c r="H189" s="43"/>
      <c r="I189" s="43"/>
      <c r="J189" s="42">
        <f t="shared" si="185"/>
        <v>0</v>
      </c>
      <c r="K189" s="43">
        <v>0</v>
      </c>
      <c r="L189" s="43"/>
      <c r="M189" s="43"/>
      <c r="N189" s="43"/>
      <c r="O189" s="44">
        <f t="shared" si="187"/>
        <v>0</v>
      </c>
      <c r="P189" s="42">
        <f t="shared" si="186"/>
        <v>0</v>
      </c>
      <c r="Q189" s="20"/>
      <c r="R189" s="46"/>
    </row>
    <row r="190" spans="1:18" ht="47.25" thickTop="1" thickBot="1" x14ac:dyDescent="0.25">
      <c r="A190" s="745" t="s">
        <v>751</v>
      </c>
      <c r="B190" s="745" t="s">
        <v>748</v>
      </c>
      <c r="C190" s="745"/>
      <c r="D190" s="745" t="s">
        <v>749</v>
      </c>
      <c r="E190" s="736">
        <f>E194+E191</f>
        <v>0</v>
      </c>
      <c r="F190" s="736">
        <f t="shared" ref="F190:P190" si="190">F194+F191</f>
        <v>0</v>
      </c>
      <c r="G190" s="736">
        <f t="shared" si="190"/>
        <v>0</v>
      </c>
      <c r="H190" s="736">
        <f t="shared" si="190"/>
        <v>0</v>
      </c>
      <c r="I190" s="736">
        <f t="shared" si="190"/>
        <v>0</v>
      </c>
      <c r="J190" s="736">
        <f t="shared" si="190"/>
        <v>2463660</v>
      </c>
      <c r="K190" s="736">
        <f t="shared" si="190"/>
        <v>2463660</v>
      </c>
      <c r="L190" s="736">
        <f t="shared" si="190"/>
        <v>0</v>
      </c>
      <c r="M190" s="736">
        <f t="shared" si="190"/>
        <v>0</v>
      </c>
      <c r="N190" s="736">
        <f t="shared" si="190"/>
        <v>0</v>
      </c>
      <c r="O190" s="736">
        <f t="shared" si="190"/>
        <v>2463660</v>
      </c>
      <c r="P190" s="736">
        <f t="shared" si="190"/>
        <v>2463660</v>
      </c>
      <c r="Q190" s="20"/>
      <c r="R190" s="46"/>
    </row>
    <row r="191" spans="1:18" ht="47.25" thickTop="1" thickBot="1" x14ac:dyDescent="0.25">
      <c r="A191" s="740" t="s">
        <v>926</v>
      </c>
      <c r="B191" s="740" t="s">
        <v>803</v>
      </c>
      <c r="C191" s="740"/>
      <c r="D191" s="740" t="s">
        <v>804</v>
      </c>
      <c r="E191" s="741">
        <f>E192</f>
        <v>0</v>
      </c>
      <c r="F191" s="741">
        <f t="shared" ref="F191:P196" si="191">F192</f>
        <v>0</v>
      </c>
      <c r="G191" s="741">
        <f t="shared" si="191"/>
        <v>0</v>
      </c>
      <c r="H191" s="741">
        <f t="shared" si="191"/>
        <v>0</v>
      </c>
      <c r="I191" s="741">
        <f t="shared" si="191"/>
        <v>0</v>
      </c>
      <c r="J191" s="741">
        <f t="shared" si="191"/>
        <v>450000</v>
      </c>
      <c r="K191" s="741">
        <f t="shared" si="191"/>
        <v>450000</v>
      </c>
      <c r="L191" s="741">
        <f t="shared" si="191"/>
        <v>0</v>
      </c>
      <c r="M191" s="741">
        <f t="shared" si="191"/>
        <v>0</v>
      </c>
      <c r="N191" s="741">
        <f t="shared" si="191"/>
        <v>0</v>
      </c>
      <c r="O191" s="741">
        <f t="shared" si="191"/>
        <v>450000</v>
      </c>
      <c r="P191" s="741">
        <f t="shared" si="191"/>
        <v>450000</v>
      </c>
      <c r="Q191" s="20"/>
      <c r="R191" s="46"/>
    </row>
    <row r="192" spans="1:18" ht="54.75" thickTop="1" thickBot="1" x14ac:dyDescent="0.25">
      <c r="A192" s="744" t="s">
        <v>923</v>
      </c>
      <c r="B192" s="744" t="s">
        <v>821</v>
      </c>
      <c r="C192" s="744"/>
      <c r="D192" s="744" t="s">
        <v>1508</v>
      </c>
      <c r="E192" s="746">
        <f>E193</f>
        <v>0</v>
      </c>
      <c r="F192" s="746">
        <f t="shared" si="191"/>
        <v>0</v>
      </c>
      <c r="G192" s="746">
        <f t="shared" si="191"/>
        <v>0</v>
      </c>
      <c r="H192" s="746">
        <f t="shared" si="191"/>
        <v>0</v>
      </c>
      <c r="I192" s="746">
        <f t="shared" si="191"/>
        <v>0</v>
      </c>
      <c r="J192" s="746">
        <f t="shared" si="191"/>
        <v>450000</v>
      </c>
      <c r="K192" s="746">
        <f t="shared" si="191"/>
        <v>450000</v>
      </c>
      <c r="L192" s="746">
        <f t="shared" si="191"/>
        <v>0</v>
      </c>
      <c r="M192" s="746">
        <f t="shared" si="191"/>
        <v>0</v>
      </c>
      <c r="N192" s="746">
        <f t="shared" si="191"/>
        <v>0</v>
      </c>
      <c r="O192" s="746">
        <f t="shared" si="191"/>
        <v>450000</v>
      </c>
      <c r="P192" s="746">
        <f t="shared" si="191"/>
        <v>450000</v>
      </c>
      <c r="Q192" s="20"/>
      <c r="R192" s="46"/>
    </row>
    <row r="193" spans="1:18" ht="54" thickTop="1" thickBot="1" x14ac:dyDescent="0.25">
      <c r="A193" s="735" t="s">
        <v>924</v>
      </c>
      <c r="B193" s="735" t="s">
        <v>925</v>
      </c>
      <c r="C193" s="735" t="s">
        <v>304</v>
      </c>
      <c r="D193" s="735" t="s">
        <v>1615</v>
      </c>
      <c r="E193" s="736">
        <f t="shared" ref="E193:E195" si="192">F193</f>
        <v>0</v>
      </c>
      <c r="F193" s="737"/>
      <c r="G193" s="737"/>
      <c r="H193" s="737"/>
      <c r="I193" s="737"/>
      <c r="J193" s="736">
        <f>L193+O193</f>
        <v>450000</v>
      </c>
      <c r="K193" s="737">
        <f>(0)+999655-549655</f>
        <v>450000</v>
      </c>
      <c r="L193" s="737"/>
      <c r="M193" s="737"/>
      <c r="N193" s="737"/>
      <c r="O193" s="739">
        <f>K193</f>
        <v>450000</v>
      </c>
      <c r="P193" s="736">
        <f>E193+J193</f>
        <v>450000</v>
      </c>
      <c r="Q193" s="20"/>
      <c r="R193" s="46"/>
    </row>
    <row r="194" spans="1:18" ht="47.25" thickTop="1" thickBot="1" x14ac:dyDescent="0.25">
      <c r="A194" s="313" t="s">
        <v>753</v>
      </c>
      <c r="B194" s="313" t="s">
        <v>691</v>
      </c>
      <c r="C194" s="313"/>
      <c r="D194" s="313" t="s">
        <v>689</v>
      </c>
      <c r="E194" s="315">
        <f>E196+E195</f>
        <v>0</v>
      </c>
      <c r="F194" s="315">
        <f t="shared" ref="F194:I194" si="193">F196+F195</f>
        <v>0</v>
      </c>
      <c r="G194" s="315">
        <f t="shared" si="193"/>
        <v>0</v>
      </c>
      <c r="H194" s="315">
        <f t="shared" si="193"/>
        <v>0</v>
      </c>
      <c r="I194" s="315">
        <f t="shared" si="193"/>
        <v>0</v>
      </c>
      <c r="J194" s="315">
        <f>J196+J195</f>
        <v>2013660</v>
      </c>
      <c r="K194" s="315">
        <f t="shared" ref="K194" si="194">K196+K195</f>
        <v>2013660</v>
      </c>
      <c r="L194" s="315">
        <f t="shared" ref="L194" si="195">L196+L195</f>
        <v>0</v>
      </c>
      <c r="M194" s="315">
        <f t="shared" ref="M194" si="196">M196+M195</f>
        <v>0</v>
      </c>
      <c r="N194" s="315">
        <f t="shared" ref="N194" si="197">N196+N195</f>
        <v>0</v>
      </c>
      <c r="O194" s="315">
        <f t="shared" ref="O194" si="198">O196+O195</f>
        <v>2013660</v>
      </c>
      <c r="P194" s="315">
        <f>P196+P195</f>
        <v>2013660</v>
      </c>
      <c r="Q194" s="20"/>
      <c r="R194" s="46"/>
    </row>
    <row r="195" spans="1:18" ht="48" thickTop="1" thickBot="1" x14ac:dyDescent="0.25">
      <c r="A195" s="103" t="s">
        <v>1310</v>
      </c>
      <c r="B195" s="103" t="s">
        <v>212</v>
      </c>
      <c r="C195" s="103" t="s">
        <v>213</v>
      </c>
      <c r="D195" s="103" t="s">
        <v>41</v>
      </c>
      <c r="E195" s="328">
        <f t="shared" si="192"/>
        <v>0</v>
      </c>
      <c r="F195" s="462">
        <v>0</v>
      </c>
      <c r="G195" s="462"/>
      <c r="H195" s="462"/>
      <c r="I195" s="462"/>
      <c r="J195" s="328">
        <f t="shared" ref="J195" si="199">L195+O195</f>
        <v>2013660</v>
      </c>
      <c r="K195" s="462">
        <f>(13660)+2000000</f>
        <v>2013660</v>
      </c>
      <c r="L195" s="462"/>
      <c r="M195" s="462"/>
      <c r="N195" s="462"/>
      <c r="O195" s="459">
        <f t="shared" ref="O195" si="200">K195</f>
        <v>2013660</v>
      </c>
      <c r="P195" s="328">
        <f t="shared" ref="P195" si="201">E195+J195</f>
        <v>2013660</v>
      </c>
      <c r="Q195" s="20"/>
      <c r="R195" s="46"/>
    </row>
    <row r="196" spans="1:18" ht="48" hidden="1" thickTop="1" thickBot="1" x14ac:dyDescent="0.25">
      <c r="A196" s="140" t="s">
        <v>752</v>
      </c>
      <c r="B196" s="140" t="s">
        <v>694</v>
      </c>
      <c r="C196" s="140"/>
      <c r="D196" s="153" t="s">
        <v>692</v>
      </c>
      <c r="E196" s="141">
        <f>E197</f>
        <v>0</v>
      </c>
      <c r="F196" s="141">
        <f t="shared" si="191"/>
        <v>0</v>
      </c>
      <c r="G196" s="141">
        <f t="shared" si="191"/>
        <v>0</v>
      </c>
      <c r="H196" s="141">
        <f t="shared" si="191"/>
        <v>0</v>
      </c>
      <c r="I196" s="141">
        <f t="shared" si="191"/>
        <v>0</v>
      </c>
      <c r="J196" s="141">
        <f t="shared" si="191"/>
        <v>0</v>
      </c>
      <c r="K196" s="141">
        <f t="shared" si="191"/>
        <v>0</v>
      </c>
      <c r="L196" s="141">
        <f t="shared" si="191"/>
        <v>0</v>
      </c>
      <c r="M196" s="141">
        <f t="shared" si="191"/>
        <v>0</v>
      </c>
      <c r="N196" s="141">
        <f t="shared" si="191"/>
        <v>0</v>
      </c>
      <c r="O196" s="141">
        <f t="shared" si="191"/>
        <v>0</v>
      </c>
      <c r="P196" s="141">
        <f t="shared" si="191"/>
        <v>0</v>
      </c>
      <c r="Q196" s="20"/>
      <c r="R196" s="46"/>
    </row>
    <row r="197" spans="1:18" ht="184.5" hidden="1" thickTop="1" thickBot="1" x14ac:dyDescent="0.7">
      <c r="A197" s="797" t="s">
        <v>423</v>
      </c>
      <c r="B197" s="797" t="s">
        <v>338</v>
      </c>
      <c r="C197" s="797" t="s">
        <v>170</v>
      </c>
      <c r="D197" s="155" t="s">
        <v>440</v>
      </c>
      <c r="E197" s="800">
        <f t="shared" si="155"/>
        <v>0</v>
      </c>
      <c r="F197" s="781"/>
      <c r="G197" s="781"/>
      <c r="H197" s="781"/>
      <c r="I197" s="781"/>
      <c r="J197" s="800">
        <f t="shared" si="185"/>
        <v>0</v>
      </c>
      <c r="K197" s="781"/>
      <c r="L197" s="781"/>
      <c r="M197" s="781"/>
      <c r="N197" s="781"/>
      <c r="O197" s="785">
        <f t="shared" si="187"/>
        <v>0</v>
      </c>
      <c r="P197" s="782">
        <f t="shared" si="186"/>
        <v>0</v>
      </c>
      <c r="Q197" s="20"/>
      <c r="R197" s="50"/>
    </row>
    <row r="198" spans="1:18" ht="93" hidden="1" thickTop="1" thickBot="1" x14ac:dyDescent="0.25">
      <c r="A198" s="783"/>
      <c r="B198" s="805"/>
      <c r="C198" s="783"/>
      <c r="D198" s="156" t="s">
        <v>441</v>
      </c>
      <c r="E198" s="783"/>
      <c r="F198" s="784"/>
      <c r="G198" s="784"/>
      <c r="H198" s="784"/>
      <c r="I198" s="784"/>
      <c r="J198" s="783"/>
      <c r="K198" s="783"/>
      <c r="L198" s="784"/>
      <c r="M198" s="784"/>
      <c r="N198" s="784"/>
      <c r="O198" s="786"/>
      <c r="P198" s="787"/>
      <c r="Q198" s="20"/>
      <c r="R198" s="50"/>
    </row>
    <row r="199" spans="1:18" ht="120" customHeight="1" thickTop="1" thickBot="1" x14ac:dyDescent="0.25">
      <c r="A199" s="661">
        <v>1000000</v>
      </c>
      <c r="B199" s="661"/>
      <c r="C199" s="661"/>
      <c r="D199" s="662" t="s">
        <v>24</v>
      </c>
      <c r="E199" s="663">
        <f>E200</f>
        <v>174430635</v>
      </c>
      <c r="F199" s="664">
        <f t="shared" ref="F199:G199" si="202">F200</f>
        <v>174430635</v>
      </c>
      <c r="G199" s="664">
        <f t="shared" si="202"/>
        <v>127110999</v>
      </c>
      <c r="H199" s="664">
        <f>H200</f>
        <v>8158262</v>
      </c>
      <c r="I199" s="664">
        <f>I200</f>
        <v>0</v>
      </c>
      <c r="J199" s="663">
        <f>J200</f>
        <v>11433850</v>
      </c>
      <c r="K199" s="664">
        <f>K200</f>
        <v>300000</v>
      </c>
      <c r="L199" s="664">
        <f>L200</f>
        <v>10895910</v>
      </c>
      <c r="M199" s="664">
        <f t="shared" ref="M199" si="203">M200</f>
        <v>8032370</v>
      </c>
      <c r="N199" s="664">
        <f>N200</f>
        <v>284620</v>
      </c>
      <c r="O199" s="663">
        <f>O200</f>
        <v>537940</v>
      </c>
      <c r="P199" s="664">
        <f t="shared" ref="P199" si="204">P200</f>
        <v>185864485</v>
      </c>
      <c r="Q199" s="20"/>
    </row>
    <row r="200" spans="1:18" ht="120" customHeight="1" thickTop="1" thickBot="1" x14ac:dyDescent="0.25">
      <c r="A200" s="658">
        <v>1010000</v>
      </c>
      <c r="B200" s="658"/>
      <c r="C200" s="658"/>
      <c r="D200" s="659" t="s">
        <v>39</v>
      </c>
      <c r="E200" s="660">
        <f>E201+E203+E217+E211</f>
        <v>174430635</v>
      </c>
      <c r="F200" s="660">
        <f>F201+F203+F217+F211</f>
        <v>174430635</v>
      </c>
      <c r="G200" s="660">
        <f>G201+G203+G217+G211</f>
        <v>127110999</v>
      </c>
      <c r="H200" s="660">
        <f>H201+H203+H217+H211</f>
        <v>8158262</v>
      </c>
      <c r="I200" s="660">
        <f>I201+I203+I217+I211</f>
        <v>0</v>
      </c>
      <c r="J200" s="660">
        <f t="shared" ref="J200:J210" si="205">L200+O200</f>
        <v>11433850</v>
      </c>
      <c r="K200" s="660">
        <f>K201+K203+K217+K211</f>
        <v>300000</v>
      </c>
      <c r="L200" s="660">
        <f>L201+L203+L217+L211</f>
        <v>10895910</v>
      </c>
      <c r="M200" s="660">
        <f>M201+M203+M217+M211</f>
        <v>8032370</v>
      </c>
      <c r="N200" s="660">
        <f>N201+N203+N217+N211</f>
        <v>284620</v>
      </c>
      <c r="O200" s="660">
        <f>O201+O203+O217+O211</f>
        <v>537940</v>
      </c>
      <c r="P200" s="660">
        <f t="shared" ref="P200:P210" si="206">E200+J200</f>
        <v>185864485</v>
      </c>
      <c r="Q200" s="503" t="b">
        <f>P200=P202+P204+P205+P206+P210+P209+P214</f>
        <v>1</v>
      </c>
      <c r="R200" s="46"/>
    </row>
    <row r="201" spans="1:18" ht="47.25" thickTop="1" thickBot="1" x14ac:dyDescent="0.25">
      <c r="A201" s="311" t="s">
        <v>754</v>
      </c>
      <c r="B201" s="311" t="s">
        <v>708</v>
      </c>
      <c r="C201" s="311"/>
      <c r="D201" s="311" t="s">
        <v>709</v>
      </c>
      <c r="E201" s="328">
        <f>E202</f>
        <v>96162228</v>
      </c>
      <c r="F201" s="328">
        <f t="shared" ref="F201:P201" si="207">F202</f>
        <v>96162228</v>
      </c>
      <c r="G201" s="328">
        <f t="shared" si="207"/>
        <v>73990970</v>
      </c>
      <c r="H201" s="328">
        <f t="shared" si="207"/>
        <v>4617684</v>
      </c>
      <c r="I201" s="328">
        <f t="shared" si="207"/>
        <v>0</v>
      </c>
      <c r="J201" s="328">
        <f t="shared" si="207"/>
        <v>9914660</v>
      </c>
      <c r="K201" s="328">
        <f t="shared" si="207"/>
        <v>0</v>
      </c>
      <c r="L201" s="328">
        <f t="shared" si="207"/>
        <v>9792720</v>
      </c>
      <c r="M201" s="328">
        <f t="shared" si="207"/>
        <v>7465250</v>
      </c>
      <c r="N201" s="328">
        <f t="shared" si="207"/>
        <v>223920</v>
      </c>
      <c r="O201" s="328">
        <f t="shared" si="207"/>
        <v>121940</v>
      </c>
      <c r="P201" s="328">
        <f t="shared" si="207"/>
        <v>106076888</v>
      </c>
      <c r="Q201" s="47"/>
      <c r="R201" s="46"/>
    </row>
    <row r="202" spans="1:18" ht="48" thickTop="1" thickBot="1" x14ac:dyDescent="0.25">
      <c r="A202" s="103" t="s">
        <v>636</v>
      </c>
      <c r="B202" s="103" t="s">
        <v>637</v>
      </c>
      <c r="C202" s="103" t="s">
        <v>181</v>
      </c>
      <c r="D202" s="103" t="s">
        <v>1120</v>
      </c>
      <c r="E202" s="328">
        <f>F202</f>
        <v>96162228</v>
      </c>
      <c r="F202" s="462">
        <f>((95874428)+50028)+237772</f>
        <v>96162228</v>
      </c>
      <c r="G202" s="462">
        <v>73990970</v>
      </c>
      <c r="H202" s="462">
        <f>3898302+36160+523522+130800+28900</f>
        <v>4617684</v>
      </c>
      <c r="I202" s="462"/>
      <c r="J202" s="328">
        <f t="shared" si="205"/>
        <v>9914660</v>
      </c>
      <c r="K202" s="462"/>
      <c r="L202" s="462">
        <f>9914660-121940</f>
        <v>9792720</v>
      </c>
      <c r="M202" s="462">
        <v>7465250</v>
      </c>
      <c r="N202" s="462">
        <v>223920</v>
      </c>
      <c r="O202" s="459">
        <f>(K202+121940)</f>
        <v>121940</v>
      </c>
      <c r="P202" s="328">
        <f t="shared" si="206"/>
        <v>106076888</v>
      </c>
      <c r="Q202" s="20"/>
      <c r="R202" s="46"/>
    </row>
    <row r="203" spans="1:18" s="24" customFormat="1" ht="47.25" thickTop="1" thickBot="1" x14ac:dyDescent="0.25">
      <c r="A203" s="311" t="s">
        <v>755</v>
      </c>
      <c r="B203" s="311" t="s">
        <v>756</v>
      </c>
      <c r="C203" s="311"/>
      <c r="D203" s="311" t="s">
        <v>757</v>
      </c>
      <c r="E203" s="328">
        <f t="shared" ref="E203:P203" si="208">SUM(E204:E210)-E208</f>
        <v>77241557</v>
      </c>
      <c r="F203" s="328">
        <f t="shared" si="208"/>
        <v>77241557</v>
      </c>
      <c r="G203" s="328">
        <f t="shared" si="208"/>
        <v>53120029</v>
      </c>
      <c r="H203" s="328">
        <f t="shared" si="208"/>
        <v>3540578</v>
      </c>
      <c r="I203" s="328">
        <f t="shared" si="208"/>
        <v>0</v>
      </c>
      <c r="J203" s="328">
        <f t="shared" si="208"/>
        <v>1519190</v>
      </c>
      <c r="K203" s="328">
        <f t="shared" si="208"/>
        <v>300000</v>
      </c>
      <c r="L203" s="328">
        <f t="shared" si="208"/>
        <v>1103190</v>
      </c>
      <c r="M203" s="328">
        <f t="shared" si="208"/>
        <v>567120</v>
      </c>
      <c r="N203" s="328">
        <f t="shared" si="208"/>
        <v>60700</v>
      </c>
      <c r="O203" s="328">
        <f t="shared" si="208"/>
        <v>416000</v>
      </c>
      <c r="P203" s="328">
        <f t="shared" si="208"/>
        <v>78760747</v>
      </c>
      <c r="Q203" s="25"/>
      <c r="R203" s="50"/>
    </row>
    <row r="204" spans="1:18" ht="48" thickTop="1" thickBot="1" x14ac:dyDescent="0.25">
      <c r="A204" s="103" t="s">
        <v>172</v>
      </c>
      <c r="B204" s="103" t="s">
        <v>173</v>
      </c>
      <c r="C204" s="103" t="s">
        <v>174</v>
      </c>
      <c r="D204" s="103" t="s">
        <v>175</v>
      </c>
      <c r="E204" s="328">
        <f t="shared" ref="E204:E206" si="209">F204</f>
        <v>18561225</v>
      </c>
      <c r="F204" s="462">
        <f>(18479775)+81450</f>
        <v>18561225</v>
      </c>
      <c r="G204" s="462">
        <v>13552210</v>
      </c>
      <c r="H204" s="462">
        <f>914400+11100+184288+28000+22100</f>
        <v>1159888</v>
      </c>
      <c r="I204" s="462"/>
      <c r="J204" s="328">
        <f t="shared" si="205"/>
        <v>469000</v>
      </c>
      <c r="K204" s="462">
        <f>(0)+500000-200000</f>
        <v>300000</v>
      </c>
      <c r="L204" s="462">
        <v>169000</v>
      </c>
      <c r="M204" s="462">
        <v>31000</v>
      </c>
      <c r="N204" s="462">
        <v>21000</v>
      </c>
      <c r="O204" s="459">
        <f t="shared" ref="O204:O210" si="210">K204</f>
        <v>300000</v>
      </c>
      <c r="P204" s="328">
        <f t="shared" si="206"/>
        <v>19030225</v>
      </c>
      <c r="Q204" s="20"/>
      <c r="R204" s="46"/>
    </row>
    <row r="205" spans="1:18" ht="48" thickTop="1" thickBot="1" x14ac:dyDescent="0.25">
      <c r="A205" s="103" t="s">
        <v>176</v>
      </c>
      <c r="B205" s="103" t="s">
        <v>177</v>
      </c>
      <c r="C205" s="103" t="s">
        <v>174</v>
      </c>
      <c r="D205" s="103" t="s">
        <v>463</v>
      </c>
      <c r="E205" s="328">
        <f t="shared" si="209"/>
        <v>3026822</v>
      </c>
      <c r="F205" s="462">
        <f>(2847504)+179318</f>
        <v>3026822</v>
      </c>
      <c r="G205" s="462">
        <v>1875700</v>
      </c>
      <c r="H205" s="462">
        <f>344000+5350+135610+4400</f>
        <v>489360</v>
      </c>
      <c r="I205" s="462"/>
      <c r="J205" s="328">
        <f t="shared" si="205"/>
        <v>113790</v>
      </c>
      <c r="K205" s="462"/>
      <c r="L205" s="462">
        <v>113790</v>
      </c>
      <c r="M205" s="462">
        <v>17920</v>
      </c>
      <c r="N205" s="462">
        <v>5700</v>
      </c>
      <c r="O205" s="459">
        <f t="shared" si="210"/>
        <v>0</v>
      </c>
      <c r="P205" s="328">
        <f t="shared" si="206"/>
        <v>3140612</v>
      </c>
      <c r="Q205" s="20"/>
      <c r="R205" s="46"/>
    </row>
    <row r="206" spans="1:18" ht="93" thickTop="1" thickBot="1" x14ac:dyDescent="0.25">
      <c r="A206" s="103" t="s">
        <v>178</v>
      </c>
      <c r="B206" s="103" t="s">
        <v>171</v>
      </c>
      <c r="C206" s="103" t="s">
        <v>179</v>
      </c>
      <c r="D206" s="103" t="s">
        <v>180</v>
      </c>
      <c r="E206" s="328">
        <f t="shared" si="209"/>
        <v>22228907</v>
      </c>
      <c r="F206" s="462">
        <f>(21555193)+929343+50000-305629</f>
        <v>22228907</v>
      </c>
      <c r="G206" s="462">
        <v>15462100</v>
      </c>
      <c r="H206" s="462">
        <f>982800+12680+678200+90000+41200</f>
        <v>1804880</v>
      </c>
      <c r="I206" s="462"/>
      <c r="J206" s="328">
        <f t="shared" si="205"/>
        <v>762000</v>
      </c>
      <c r="K206" s="462"/>
      <c r="L206" s="462">
        <f>762000-57400</f>
        <v>704600</v>
      </c>
      <c r="M206" s="462">
        <v>506000</v>
      </c>
      <c r="N206" s="462">
        <v>34000</v>
      </c>
      <c r="O206" s="459">
        <f>(K206+57400)</f>
        <v>57400</v>
      </c>
      <c r="P206" s="328">
        <f t="shared" si="206"/>
        <v>22990907</v>
      </c>
      <c r="Q206" s="20"/>
      <c r="R206" s="46"/>
    </row>
    <row r="207" spans="1:18" ht="48" hidden="1" thickTop="1" thickBot="1" x14ac:dyDescent="0.25">
      <c r="A207" s="128" t="s">
        <v>1194</v>
      </c>
      <c r="B207" s="128" t="s">
        <v>1195</v>
      </c>
      <c r="C207" s="128" t="s">
        <v>1197</v>
      </c>
      <c r="D207" s="128" t="s">
        <v>1196</v>
      </c>
      <c r="E207" s="127">
        <f t="shared" ref="E207" si="211">F207</f>
        <v>0</v>
      </c>
      <c r="F207" s="134"/>
      <c r="G207" s="134"/>
      <c r="H207" s="134"/>
      <c r="I207" s="134"/>
      <c r="J207" s="127">
        <f t="shared" ref="J207" si="212">L207+O207</f>
        <v>0</v>
      </c>
      <c r="K207" s="134"/>
      <c r="L207" s="134"/>
      <c r="M207" s="134"/>
      <c r="N207" s="134"/>
      <c r="O207" s="132">
        <f>(K207)</f>
        <v>0</v>
      </c>
      <c r="P207" s="127">
        <f t="shared" ref="P207" si="213">E207+J207</f>
        <v>0</v>
      </c>
      <c r="Q207" s="20"/>
      <c r="R207" s="46"/>
    </row>
    <row r="208" spans="1:18" ht="48" thickTop="1" thickBot="1" x14ac:dyDescent="0.25">
      <c r="A208" s="329" t="s">
        <v>758</v>
      </c>
      <c r="B208" s="329" t="s">
        <v>759</v>
      </c>
      <c r="C208" s="329"/>
      <c r="D208" s="329" t="s">
        <v>760</v>
      </c>
      <c r="E208" s="325">
        <f>SUM(E209:E210)</f>
        <v>33424603</v>
      </c>
      <c r="F208" s="325">
        <f t="shared" ref="F208:P208" si="214">SUM(F209:F210)</f>
        <v>33424603</v>
      </c>
      <c r="G208" s="325">
        <f t="shared" si="214"/>
        <v>22230019</v>
      </c>
      <c r="H208" s="325">
        <f t="shared" si="214"/>
        <v>86450</v>
      </c>
      <c r="I208" s="325">
        <f t="shared" si="214"/>
        <v>0</v>
      </c>
      <c r="J208" s="325">
        <f t="shared" si="214"/>
        <v>174400</v>
      </c>
      <c r="K208" s="325">
        <f t="shared" si="214"/>
        <v>0</v>
      </c>
      <c r="L208" s="325">
        <f t="shared" si="214"/>
        <v>115800</v>
      </c>
      <c r="M208" s="325">
        <f t="shared" si="214"/>
        <v>12200</v>
      </c>
      <c r="N208" s="325">
        <f t="shared" si="214"/>
        <v>0</v>
      </c>
      <c r="O208" s="325">
        <f t="shared" si="214"/>
        <v>58600</v>
      </c>
      <c r="P208" s="325">
        <f t="shared" si="214"/>
        <v>33599003</v>
      </c>
      <c r="Q208" s="20"/>
      <c r="R208" s="46"/>
    </row>
    <row r="209" spans="1:18" ht="48" thickTop="1" thickBot="1" x14ac:dyDescent="0.25">
      <c r="A209" s="103" t="s">
        <v>333</v>
      </c>
      <c r="B209" s="103" t="s">
        <v>334</v>
      </c>
      <c r="C209" s="103" t="s">
        <v>182</v>
      </c>
      <c r="D209" s="103" t="s">
        <v>464</v>
      </c>
      <c r="E209" s="328">
        <f>F209</f>
        <v>29071503</v>
      </c>
      <c r="F209" s="462">
        <v>29071503</v>
      </c>
      <c r="G209" s="462">
        <v>22230019</v>
      </c>
      <c r="H209" s="462">
        <f>77900+8250+300</f>
        <v>86450</v>
      </c>
      <c r="I209" s="462"/>
      <c r="J209" s="328">
        <f t="shared" si="205"/>
        <v>174400</v>
      </c>
      <c r="K209" s="462"/>
      <c r="L209" s="462">
        <f>174400-58600</f>
        <v>115800</v>
      </c>
      <c r="M209" s="462">
        <v>12200</v>
      </c>
      <c r="N209" s="462"/>
      <c r="O209" s="459">
        <f>(K209+58600)</f>
        <v>58600</v>
      </c>
      <c r="P209" s="328">
        <f t="shared" si="206"/>
        <v>29245903</v>
      </c>
      <c r="Q209" s="20"/>
      <c r="R209" s="46"/>
    </row>
    <row r="210" spans="1:18" ht="48" thickTop="1" thickBot="1" x14ac:dyDescent="0.25">
      <c r="A210" s="103" t="s">
        <v>335</v>
      </c>
      <c r="B210" s="103" t="s">
        <v>336</v>
      </c>
      <c r="C210" s="103" t="s">
        <v>182</v>
      </c>
      <c r="D210" s="103" t="s">
        <v>465</v>
      </c>
      <c r="E210" s="328">
        <f>F210</f>
        <v>4353100</v>
      </c>
      <c r="F210" s="462">
        <v>4353100</v>
      </c>
      <c r="G210" s="462"/>
      <c r="H210" s="462"/>
      <c r="I210" s="462"/>
      <c r="J210" s="328">
        <f t="shared" si="205"/>
        <v>0</v>
      </c>
      <c r="K210" s="462"/>
      <c r="L210" s="462"/>
      <c r="M210" s="462"/>
      <c r="N210" s="462"/>
      <c r="O210" s="459">
        <f t="shared" si="210"/>
        <v>0</v>
      </c>
      <c r="P210" s="328">
        <f t="shared" si="206"/>
        <v>4353100</v>
      </c>
      <c r="Q210" s="20"/>
      <c r="R210" s="50"/>
    </row>
    <row r="211" spans="1:18" ht="47.25" thickTop="1" thickBot="1" x14ac:dyDescent="0.25">
      <c r="A211" s="311" t="s">
        <v>915</v>
      </c>
      <c r="B211" s="311" t="s">
        <v>748</v>
      </c>
      <c r="C211" s="311"/>
      <c r="D211" s="311" t="s">
        <v>749</v>
      </c>
      <c r="E211" s="328">
        <f>SUM(E212)</f>
        <v>1026850</v>
      </c>
      <c r="F211" s="328">
        <f t="shared" ref="F211:P211" si="215">SUM(F212)</f>
        <v>1026850</v>
      </c>
      <c r="G211" s="328">
        <f t="shared" si="215"/>
        <v>0</v>
      </c>
      <c r="H211" s="328">
        <f t="shared" si="215"/>
        <v>0</v>
      </c>
      <c r="I211" s="328">
        <f t="shared" si="215"/>
        <v>0</v>
      </c>
      <c r="J211" s="328">
        <f t="shared" si="215"/>
        <v>0</v>
      </c>
      <c r="K211" s="328">
        <f t="shared" si="215"/>
        <v>0</v>
      </c>
      <c r="L211" s="328">
        <f t="shared" si="215"/>
        <v>0</v>
      </c>
      <c r="M211" s="328">
        <f t="shared" si="215"/>
        <v>0</v>
      </c>
      <c r="N211" s="328">
        <f t="shared" si="215"/>
        <v>0</v>
      </c>
      <c r="O211" s="328">
        <f t="shared" si="215"/>
        <v>0</v>
      </c>
      <c r="P211" s="328">
        <f t="shared" si="215"/>
        <v>1026850</v>
      </c>
      <c r="Q211" s="20"/>
      <c r="R211" s="50"/>
    </row>
    <row r="212" spans="1:18" ht="47.25" thickTop="1" thickBot="1" x14ac:dyDescent="0.25">
      <c r="A212" s="313" t="s">
        <v>916</v>
      </c>
      <c r="B212" s="313" t="s">
        <v>691</v>
      </c>
      <c r="C212" s="313"/>
      <c r="D212" s="313" t="s">
        <v>689</v>
      </c>
      <c r="E212" s="315">
        <f>E213+E216+E215</f>
        <v>1026850</v>
      </c>
      <c r="F212" s="315">
        <f t="shared" ref="F212:P212" si="216">F213+F216+F215</f>
        <v>1026850</v>
      </c>
      <c r="G212" s="315">
        <f t="shared" si="216"/>
        <v>0</v>
      </c>
      <c r="H212" s="315">
        <f t="shared" si="216"/>
        <v>0</v>
      </c>
      <c r="I212" s="315">
        <f t="shared" si="216"/>
        <v>0</v>
      </c>
      <c r="J212" s="315">
        <f t="shared" si="216"/>
        <v>0</v>
      </c>
      <c r="K212" s="315">
        <f t="shared" si="216"/>
        <v>0</v>
      </c>
      <c r="L212" s="315">
        <f t="shared" si="216"/>
        <v>0</v>
      </c>
      <c r="M212" s="315">
        <f t="shared" si="216"/>
        <v>0</v>
      </c>
      <c r="N212" s="315">
        <f t="shared" si="216"/>
        <v>0</v>
      </c>
      <c r="O212" s="315">
        <f t="shared" si="216"/>
        <v>0</v>
      </c>
      <c r="P212" s="315">
        <f t="shared" si="216"/>
        <v>1026850</v>
      </c>
      <c r="Q212" s="20"/>
      <c r="R212" s="50"/>
    </row>
    <row r="213" spans="1:18" ht="48" thickTop="1" thickBot="1" x14ac:dyDescent="0.25">
      <c r="A213" s="329" t="s">
        <v>1032</v>
      </c>
      <c r="B213" s="329" t="s">
        <v>1033</v>
      </c>
      <c r="C213" s="329"/>
      <c r="D213" s="329" t="s">
        <v>1031</v>
      </c>
      <c r="E213" s="325">
        <f>E214</f>
        <v>1026850</v>
      </c>
      <c r="F213" s="325">
        <f t="shared" ref="F213:P213" si="217">F214</f>
        <v>1026850</v>
      </c>
      <c r="G213" s="325">
        <f t="shared" si="217"/>
        <v>0</v>
      </c>
      <c r="H213" s="325">
        <f t="shared" si="217"/>
        <v>0</v>
      </c>
      <c r="I213" s="325">
        <f t="shared" si="217"/>
        <v>0</v>
      </c>
      <c r="J213" s="325">
        <f t="shared" si="217"/>
        <v>0</v>
      </c>
      <c r="K213" s="325">
        <f t="shared" si="217"/>
        <v>0</v>
      </c>
      <c r="L213" s="325">
        <f t="shared" si="217"/>
        <v>0</v>
      </c>
      <c r="M213" s="325">
        <f t="shared" si="217"/>
        <v>0</v>
      </c>
      <c r="N213" s="325">
        <f t="shared" si="217"/>
        <v>0</v>
      </c>
      <c r="O213" s="325">
        <f t="shared" si="217"/>
        <v>0</v>
      </c>
      <c r="P213" s="325">
        <f t="shared" si="217"/>
        <v>1026850</v>
      </c>
      <c r="Q213" s="20"/>
      <c r="R213" s="50"/>
    </row>
    <row r="214" spans="1:18" ht="48" thickTop="1" thickBot="1" x14ac:dyDescent="0.25">
      <c r="A214" s="103" t="s">
        <v>1035</v>
      </c>
      <c r="B214" s="103" t="s">
        <v>1036</v>
      </c>
      <c r="C214" s="103" t="s">
        <v>213</v>
      </c>
      <c r="D214" s="103" t="s">
        <v>1034</v>
      </c>
      <c r="E214" s="328">
        <f>F214</f>
        <v>1026850</v>
      </c>
      <c r="F214" s="462">
        <v>1026850</v>
      </c>
      <c r="G214" s="462"/>
      <c r="H214" s="462"/>
      <c r="I214" s="462"/>
      <c r="J214" s="328">
        <f>L214+O214</f>
        <v>0</v>
      </c>
      <c r="K214" s="462"/>
      <c r="L214" s="462"/>
      <c r="M214" s="462"/>
      <c r="N214" s="462"/>
      <c r="O214" s="459">
        <f>K214</f>
        <v>0</v>
      </c>
      <c r="P214" s="328">
        <f>E214+J214</f>
        <v>1026850</v>
      </c>
      <c r="Q214" s="20"/>
      <c r="R214" s="50"/>
    </row>
    <row r="215" spans="1:18" ht="48" hidden="1" thickTop="1" thickBot="1" x14ac:dyDescent="0.25">
      <c r="A215" s="128" t="s">
        <v>1265</v>
      </c>
      <c r="B215" s="128" t="s">
        <v>212</v>
      </c>
      <c r="C215" s="128" t="s">
        <v>213</v>
      </c>
      <c r="D215" s="128" t="s">
        <v>41</v>
      </c>
      <c r="E215" s="127">
        <f t="shared" ref="E215" si="218">F215</f>
        <v>0</v>
      </c>
      <c r="F215" s="134"/>
      <c r="G215" s="134"/>
      <c r="H215" s="134"/>
      <c r="I215" s="134"/>
      <c r="J215" s="127">
        <f>L215+O215</f>
        <v>0</v>
      </c>
      <c r="K215" s="134"/>
      <c r="L215" s="134"/>
      <c r="M215" s="134"/>
      <c r="N215" s="134"/>
      <c r="O215" s="132">
        <f>K215</f>
        <v>0</v>
      </c>
      <c r="P215" s="127">
        <f>E215+J215</f>
        <v>0</v>
      </c>
      <c r="Q215" s="20"/>
      <c r="R215" s="50"/>
    </row>
    <row r="216" spans="1:18" ht="48" hidden="1" thickTop="1" thickBot="1" x14ac:dyDescent="0.25">
      <c r="A216" s="128" t="s">
        <v>917</v>
      </c>
      <c r="B216" s="128" t="s">
        <v>197</v>
      </c>
      <c r="C216" s="128" t="s">
        <v>170</v>
      </c>
      <c r="D216" s="128" t="s">
        <v>34</v>
      </c>
      <c r="E216" s="127">
        <f t="shared" ref="E216" si="219">F216</f>
        <v>0</v>
      </c>
      <c r="F216" s="134"/>
      <c r="G216" s="134"/>
      <c r="H216" s="134"/>
      <c r="I216" s="134"/>
      <c r="J216" s="127">
        <f t="shared" ref="J216" si="220">L216+O216</f>
        <v>0</v>
      </c>
      <c r="K216" s="134">
        <f>940242-455475-484767</f>
        <v>0</v>
      </c>
      <c r="L216" s="134"/>
      <c r="M216" s="134"/>
      <c r="N216" s="134"/>
      <c r="O216" s="132">
        <f t="shared" ref="O216" si="221">K216</f>
        <v>0</v>
      </c>
      <c r="P216" s="127">
        <f t="shared" ref="P216" si="222">E216+J216</f>
        <v>0</v>
      </c>
      <c r="Q216" s="20"/>
      <c r="R216" s="46"/>
    </row>
    <row r="217" spans="1:18" ht="47.25" hidden="1" thickTop="1" thickBot="1" x14ac:dyDescent="0.25">
      <c r="A217" s="146" t="s">
        <v>761</v>
      </c>
      <c r="B217" s="146" t="s">
        <v>702</v>
      </c>
      <c r="C217" s="146"/>
      <c r="D217" s="146" t="s">
        <v>703</v>
      </c>
      <c r="E217" s="42">
        <f>E218</f>
        <v>0</v>
      </c>
      <c r="F217" s="42">
        <f t="shared" ref="F217:P218" si="223">F218</f>
        <v>0</v>
      </c>
      <c r="G217" s="42">
        <f t="shared" si="223"/>
        <v>0</v>
      </c>
      <c r="H217" s="42">
        <f t="shared" si="223"/>
        <v>0</v>
      </c>
      <c r="I217" s="42">
        <f t="shared" si="223"/>
        <v>0</v>
      </c>
      <c r="J217" s="42">
        <f t="shared" si="223"/>
        <v>0</v>
      </c>
      <c r="K217" s="42">
        <f t="shared" si="223"/>
        <v>0</v>
      </c>
      <c r="L217" s="42">
        <f t="shared" si="223"/>
        <v>0</v>
      </c>
      <c r="M217" s="42">
        <f t="shared" si="223"/>
        <v>0</v>
      </c>
      <c r="N217" s="42">
        <f t="shared" si="223"/>
        <v>0</v>
      </c>
      <c r="O217" s="42">
        <f t="shared" si="223"/>
        <v>0</v>
      </c>
      <c r="P217" s="42">
        <f t="shared" si="223"/>
        <v>0</v>
      </c>
      <c r="Q217" s="20"/>
      <c r="R217" s="50"/>
    </row>
    <row r="218" spans="1:18" ht="136.5" hidden="1" thickTop="1" thickBot="1" x14ac:dyDescent="0.25">
      <c r="A218" s="147" t="s">
        <v>762</v>
      </c>
      <c r="B218" s="147" t="s">
        <v>705</v>
      </c>
      <c r="C218" s="147"/>
      <c r="D218" s="147" t="s">
        <v>706</v>
      </c>
      <c r="E218" s="148">
        <f>E219</f>
        <v>0</v>
      </c>
      <c r="F218" s="148">
        <f t="shared" si="223"/>
        <v>0</v>
      </c>
      <c r="G218" s="148">
        <f t="shared" si="223"/>
        <v>0</v>
      </c>
      <c r="H218" s="148">
        <f t="shared" si="223"/>
        <v>0</v>
      </c>
      <c r="I218" s="148">
        <f t="shared" si="223"/>
        <v>0</v>
      </c>
      <c r="J218" s="148">
        <f t="shared" si="223"/>
        <v>0</v>
      </c>
      <c r="K218" s="148">
        <f t="shared" si="223"/>
        <v>0</v>
      </c>
      <c r="L218" s="148">
        <f t="shared" si="223"/>
        <v>0</v>
      </c>
      <c r="M218" s="148">
        <f t="shared" si="223"/>
        <v>0</v>
      </c>
      <c r="N218" s="148">
        <f t="shared" si="223"/>
        <v>0</v>
      </c>
      <c r="O218" s="148">
        <f t="shared" si="223"/>
        <v>0</v>
      </c>
      <c r="P218" s="148">
        <f t="shared" si="223"/>
        <v>0</v>
      </c>
      <c r="Q218" s="20"/>
      <c r="R218" s="50"/>
    </row>
    <row r="219" spans="1:18" ht="48" hidden="1" thickTop="1" thickBot="1" x14ac:dyDescent="0.25">
      <c r="A219" s="41" t="s">
        <v>586</v>
      </c>
      <c r="B219" s="41" t="s">
        <v>363</v>
      </c>
      <c r="C219" s="41" t="s">
        <v>43</v>
      </c>
      <c r="D219" s="41" t="s">
        <v>364</v>
      </c>
      <c r="E219" s="42">
        <f t="shared" ref="E219" si="224">F219</f>
        <v>0</v>
      </c>
      <c r="F219" s="43">
        <v>0</v>
      </c>
      <c r="G219" s="43"/>
      <c r="H219" s="43"/>
      <c r="I219" s="43"/>
      <c r="J219" s="42">
        <f>L219+O219</f>
        <v>0</v>
      </c>
      <c r="K219" s="43"/>
      <c r="L219" s="43"/>
      <c r="M219" s="43"/>
      <c r="N219" s="43"/>
      <c r="O219" s="44">
        <f>K219</f>
        <v>0</v>
      </c>
      <c r="P219" s="42">
        <f>E219+J219</f>
        <v>0</v>
      </c>
      <c r="Q219" s="20"/>
      <c r="R219" s="50"/>
    </row>
    <row r="220" spans="1:18" ht="120" customHeight="1" thickTop="1" thickBot="1" x14ac:dyDescent="0.25">
      <c r="A220" s="661" t="s">
        <v>22</v>
      </c>
      <c r="B220" s="661"/>
      <c r="C220" s="661"/>
      <c r="D220" s="662" t="s">
        <v>23</v>
      </c>
      <c r="E220" s="663">
        <f>E221</f>
        <v>127898143</v>
      </c>
      <c r="F220" s="664">
        <f t="shared" ref="F220:G220" si="225">F221</f>
        <v>127898143</v>
      </c>
      <c r="G220" s="664">
        <f t="shared" si="225"/>
        <v>52169105</v>
      </c>
      <c r="H220" s="664">
        <f>H221</f>
        <v>4493410</v>
      </c>
      <c r="I220" s="664">
        <f t="shared" ref="I220" si="226">I221</f>
        <v>0</v>
      </c>
      <c r="J220" s="663">
        <f>J221</f>
        <v>5265371</v>
      </c>
      <c r="K220" s="664">
        <f>K221</f>
        <v>3351929</v>
      </c>
      <c r="L220" s="664">
        <f>L221</f>
        <v>1888442</v>
      </c>
      <c r="M220" s="664">
        <f t="shared" ref="M220" si="227">M221</f>
        <v>704165</v>
      </c>
      <c r="N220" s="664">
        <f>N221</f>
        <v>524376</v>
      </c>
      <c r="O220" s="663">
        <f>O221</f>
        <v>3376929</v>
      </c>
      <c r="P220" s="664">
        <f t="shared" ref="P220" si="228">P221</f>
        <v>133163514</v>
      </c>
      <c r="Q220" s="20"/>
    </row>
    <row r="221" spans="1:18" ht="120" customHeight="1" thickTop="1" thickBot="1" x14ac:dyDescent="0.25">
      <c r="A221" s="658" t="s">
        <v>21</v>
      </c>
      <c r="B221" s="658"/>
      <c r="C221" s="658"/>
      <c r="D221" s="659" t="s">
        <v>35</v>
      </c>
      <c r="E221" s="660">
        <f>E222+E228+E243+E246+E253</f>
        <v>127898143</v>
      </c>
      <c r="F221" s="660">
        <f t="shared" ref="F221:I221" si="229">F222+F228+F243+F246+F253</f>
        <v>127898143</v>
      </c>
      <c r="G221" s="660">
        <f t="shared" si="229"/>
        <v>52169105</v>
      </c>
      <c r="H221" s="660">
        <f t="shared" si="229"/>
        <v>4493410</v>
      </c>
      <c r="I221" s="660">
        <f t="shared" si="229"/>
        <v>0</v>
      </c>
      <c r="J221" s="660">
        <f>L221+O221</f>
        <v>5265371</v>
      </c>
      <c r="K221" s="660">
        <f t="shared" ref="K221" si="230">K222+K228+K243+K246+K253</f>
        <v>3351929</v>
      </c>
      <c r="L221" s="660">
        <f t="shared" ref="L221" si="231">L222+L228+L243+L246+L253</f>
        <v>1888442</v>
      </c>
      <c r="M221" s="660">
        <f t="shared" ref="M221" si="232">M222+M228+M243+M246+M253</f>
        <v>704165</v>
      </c>
      <c r="N221" s="660">
        <f t="shared" ref="N221" si="233">N222+N228+N243+N246+N253</f>
        <v>524376</v>
      </c>
      <c r="O221" s="660">
        <f t="shared" ref="O221" si="234">O222+O228+O243+O246+O253</f>
        <v>3376929</v>
      </c>
      <c r="P221" s="660">
        <f>E221+J221</f>
        <v>133163514</v>
      </c>
      <c r="Q221" s="503" t="b">
        <f>P221=P226+P227+P230+P231+P233+P235+P236+P240+P241+P242+P238</f>
        <v>1</v>
      </c>
      <c r="R221" s="46"/>
    </row>
    <row r="222" spans="1:18" ht="47.25" thickTop="1" thickBot="1" x14ac:dyDescent="0.25">
      <c r="A222" s="311" t="s">
        <v>763</v>
      </c>
      <c r="B222" s="311" t="s">
        <v>711</v>
      </c>
      <c r="C222" s="311"/>
      <c r="D222" s="311" t="s">
        <v>712</v>
      </c>
      <c r="E222" s="587">
        <f>SUM(E223:E227)-E223-E225</f>
        <v>13273719</v>
      </c>
      <c r="F222" s="587">
        <f t="shared" ref="F222:P222" si="235">SUM(F223:F227)-F223-F225</f>
        <v>13273719</v>
      </c>
      <c r="G222" s="587">
        <f t="shared" si="235"/>
        <v>5109873</v>
      </c>
      <c r="H222" s="587">
        <f t="shared" si="235"/>
        <v>1033530</v>
      </c>
      <c r="I222" s="587">
        <f t="shared" si="235"/>
        <v>0</v>
      </c>
      <c r="J222" s="587">
        <f t="shared" si="235"/>
        <v>954919</v>
      </c>
      <c r="K222" s="587">
        <f t="shared" si="235"/>
        <v>533719</v>
      </c>
      <c r="L222" s="587">
        <f t="shared" si="235"/>
        <v>421200</v>
      </c>
      <c r="M222" s="587">
        <f t="shared" si="235"/>
        <v>198800</v>
      </c>
      <c r="N222" s="587">
        <f t="shared" si="235"/>
        <v>152665</v>
      </c>
      <c r="O222" s="587">
        <f t="shared" si="235"/>
        <v>533719</v>
      </c>
      <c r="P222" s="587">
        <f t="shared" si="235"/>
        <v>14228638</v>
      </c>
      <c r="Q222" s="47"/>
      <c r="R222" s="46"/>
    </row>
    <row r="223" spans="1:18" s="33" customFormat="1" ht="48" hidden="1" thickTop="1" thickBot="1" x14ac:dyDescent="0.25">
      <c r="A223" s="329" t="s">
        <v>764</v>
      </c>
      <c r="B223" s="329" t="s">
        <v>765</v>
      </c>
      <c r="C223" s="329"/>
      <c r="D223" s="329" t="s">
        <v>766</v>
      </c>
      <c r="E223" s="588">
        <f>E224</f>
        <v>0</v>
      </c>
      <c r="F223" s="588">
        <f t="shared" ref="F223:P223" si="236">F224</f>
        <v>0</v>
      </c>
      <c r="G223" s="588">
        <f t="shared" si="236"/>
        <v>0</v>
      </c>
      <c r="H223" s="588">
        <f t="shared" si="236"/>
        <v>0</v>
      </c>
      <c r="I223" s="588">
        <f t="shared" si="236"/>
        <v>0</v>
      </c>
      <c r="J223" s="588">
        <f t="shared" si="236"/>
        <v>0</v>
      </c>
      <c r="K223" s="588">
        <f t="shared" si="236"/>
        <v>0</v>
      </c>
      <c r="L223" s="588">
        <f t="shared" si="236"/>
        <v>0</v>
      </c>
      <c r="M223" s="588">
        <f t="shared" si="236"/>
        <v>0</v>
      </c>
      <c r="N223" s="588">
        <f t="shared" si="236"/>
        <v>0</v>
      </c>
      <c r="O223" s="588">
        <f t="shared" si="236"/>
        <v>0</v>
      </c>
      <c r="P223" s="588">
        <f t="shared" si="236"/>
        <v>0</v>
      </c>
      <c r="Q223" s="157"/>
      <c r="R223" s="52"/>
    </row>
    <row r="224" spans="1:18" ht="48" hidden="1" thickTop="1" thickBot="1" x14ac:dyDescent="0.25">
      <c r="A224" s="103" t="s">
        <v>183</v>
      </c>
      <c r="B224" s="103" t="s">
        <v>184</v>
      </c>
      <c r="C224" s="103" t="s">
        <v>185</v>
      </c>
      <c r="D224" s="103" t="s">
        <v>638</v>
      </c>
      <c r="E224" s="312">
        <f t="shared" ref="E224:E241" si="237">F224</f>
        <v>0</v>
      </c>
      <c r="F224" s="326">
        <f>(6040461)-6040461</f>
        <v>0</v>
      </c>
      <c r="G224" s="326">
        <f>(4559615)-4559615</f>
        <v>0</v>
      </c>
      <c r="H224" s="326">
        <f>(96665+5295+31600+3840)-137400</f>
        <v>0</v>
      </c>
      <c r="I224" s="326"/>
      <c r="J224" s="328">
        <f t="shared" ref="J224:J252" si="238">L224+O224</f>
        <v>0</v>
      </c>
      <c r="K224" s="326"/>
      <c r="L224" s="458"/>
      <c r="M224" s="458"/>
      <c r="N224" s="458"/>
      <c r="O224" s="459">
        <f t="shared" ref="O224:O252" si="239">K224</f>
        <v>0</v>
      </c>
      <c r="P224" s="328">
        <f>+J224+E224</f>
        <v>0</v>
      </c>
      <c r="Q224" s="50"/>
      <c r="R224" s="50"/>
    </row>
    <row r="225" spans="1:18" s="33" customFormat="1" ht="138.75" thickTop="1" thickBot="1" x14ac:dyDescent="0.25">
      <c r="A225" s="329" t="s">
        <v>767</v>
      </c>
      <c r="B225" s="329" t="s">
        <v>768</v>
      </c>
      <c r="C225" s="329"/>
      <c r="D225" s="329" t="s">
        <v>1554</v>
      </c>
      <c r="E225" s="466">
        <f>SUM(E226:E227)</f>
        <v>13273719</v>
      </c>
      <c r="F225" s="466">
        <f t="shared" ref="F225:P225" si="240">SUM(F226:F227)</f>
        <v>13273719</v>
      </c>
      <c r="G225" s="466">
        <f t="shared" si="240"/>
        <v>5109873</v>
      </c>
      <c r="H225" s="466">
        <f t="shared" si="240"/>
        <v>1033530</v>
      </c>
      <c r="I225" s="466">
        <f t="shared" si="240"/>
        <v>0</v>
      </c>
      <c r="J225" s="466">
        <f t="shared" si="240"/>
        <v>954919</v>
      </c>
      <c r="K225" s="466">
        <f t="shared" si="240"/>
        <v>533719</v>
      </c>
      <c r="L225" s="466">
        <f t="shared" si="240"/>
        <v>421200</v>
      </c>
      <c r="M225" s="466">
        <f t="shared" si="240"/>
        <v>198800</v>
      </c>
      <c r="N225" s="466">
        <f t="shared" si="240"/>
        <v>152665</v>
      </c>
      <c r="O225" s="466">
        <f t="shared" si="240"/>
        <v>533719</v>
      </c>
      <c r="P225" s="466">
        <f t="shared" si="240"/>
        <v>14228638</v>
      </c>
      <c r="Q225" s="51"/>
      <c r="R225" s="51"/>
    </row>
    <row r="226" spans="1:18" ht="48" thickTop="1" thickBot="1" x14ac:dyDescent="0.25">
      <c r="A226" s="103" t="s">
        <v>189</v>
      </c>
      <c r="B226" s="103" t="s">
        <v>190</v>
      </c>
      <c r="C226" s="103" t="s">
        <v>185</v>
      </c>
      <c r="D226" s="103" t="s">
        <v>10</v>
      </c>
      <c r="E226" s="312">
        <f t="shared" si="237"/>
        <v>5976842</v>
      </c>
      <c r="F226" s="326">
        <v>5976842</v>
      </c>
      <c r="G226" s="326">
        <v>3757524</v>
      </c>
      <c r="H226" s="326">
        <f>640500+6906+191040+3080</f>
        <v>841526</v>
      </c>
      <c r="I226" s="326"/>
      <c r="J226" s="328">
        <f t="shared" si="238"/>
        <v>954919</v>
      </c>
      <c r="K226" s="326">
        <f>((0)+400000)+133719</f>
        <v>533719</v>
      </c>
      <c r="L226" s="458">
        <v>421200</v>
      </c>
      <c r="M226" s="458">
        <v>198800</v>
      </c>
      <c r="N226" s="458">
        <v>152665</v>
      </c>
      <c r="O226" s="459">
        <f>K226</f>
        <v>533719</v>
      </c>
      <c r="P226" s="328">
        <f t="shared" ref="P226:P252" si="241">E226+J226</f>
        <v>6931761</v>
      </c>
      <c r="Q226" s="20"/>
      <c r="R226" s="46"/>
    </row>
    <row r="227" spans="1:18" ht="48" thickTop="1" thickBot="1" x14ac:dyDescent="0.25">
      <c r="A227" s="103" t="s">
        <v>351</v>
      </c>
      <c r="B227" s="103" t="s">
        <v>352</v>
      </c>
      <c r="C227" s="103" t="s">
        <v>185</v>
      </c>
      <c r="D227" s="103" t="s">
        <v>353</v>
      </c>
      <c r="E227" s="312">
        <f t="shared" si="237"/>
        <v>7296877</v>
      </c>
      <c r="F227" s="326">
        <f>(7156877)+140000</f>
        <v>7296877</v>
      </c>
      <c r="G227" s="326">
        <v>1352349</v>
      </c>
      <c r="H227" s="326">
        <f>102138+6560+80906+2400</f>
        <v>192004</v>
      </c>
      <c r="I227" s="326"/>
      <c r="J227" s="328">
        <f t="shared" si="238"/>
        <v>0</v>
      </c>
      <c r="K227" s="326"/>
      <c r="L227" s="458"/>
      <c r="M227" s="458"/>
      <c r="N227" s="458"/>
      <c r="O227" s="459">
        <f t="shared" si="239"/>
        <v>0</v>
      </c>
      <c r="P227" s="328">
        <f t="shared" si="241"/>
        <v>7296877</v>
      </c>
      <c r="Q227" s="20"/>
      <c r="R227" s="46"/>
    </row>
    <row r="228" spans="1:18" ht="47.25" thickTop="1" thickBot="1" x14ac:dyDescent="0.25">
      <c r="A228" s="311" t="s">
        <v>769</v>
      </c>
      <c r="B228" s="311" t="s">
        <v>770</v>
      </c>
      <c r="C228" s="103"/>
      <c r="D228" s="311" t="s">
        <v>771</v>
      </c>
      <c r="E228" s="312">
        <f t="shared" ref="E228:P228" si="242">SUM(E229:E242)-E229-E232-E234-E239-E237</f>
        <v>114624424</v>
      </c>
      <c r="F228" s="312">
        <f t="shared" si="242"/>
        <v>114624424</v>
      </c>
      <c r="G228" s="312">
        <f t="shared" si="242"/>
        <v>47059232</v>
      </c>
      <c r="H228" s="312">
        <f t="shared" si="242"/>
        <v>3459880</v>
      </c>
      <c r="I228" s="312">
        <f t="shared" si="242"/>
        <v>0</v>
      </c>
      <c r="J228" s="312">
        <f t="shared" si="242"/>
        <v>4310452</v>
      </c>
      <c r="K228" s="312">
        <f t="shared" si="242"/>
        <v>2818210</v>
      </c>
      <c r="L228" s="312">
        <f t="shared" si="242"/>
        <v>1467242</v>
      </c>
      <c r="M228" s="312">
        <f t="shared" si="242"/>
        <v>505365</v>
      </c>
      <c r="N228" s="312">
        <f t="shared" si="242"/>
        <v>371711</v>
      </c>
      <c r="O228" s="312">
        <f t="shared" si="242"/>
        <v>2843210</v>
      </c>
      <c r="P228" s="312">
        <f t="shared" si="242"/>
        <v>118934876</v>
      </c>
      <c r="Q228" s="20"/>
      <c r="R228" s="46"/>
    </row>
    <row r="229" spans="1:18" s="33" customFormat="1" ht="48" thickTop="1" thickBot="1" x14ac:dyDescent="0.25">
      <c r="A229" s="329" t="s">
        <v>772</v>
      </c>
      <c r="B229" s="329" t="s">
        <v>773</v>
      </c>
      <c r="C229" s="329"/>
      <c r="D229" s="329" t="s">
        <v>774</v>
      </c>
      <c r="E229" s="466">
        <f>SUM(E230:E231)</f>
        <v>35249823</v>
      </c>
      <c r="F229" s="466">
        <f t="shared" ref="F229:P229" si="243">SUM(F230:F231)</f>
        <v>35249823</v>
      </c>
      <c r="G229" s="466">
        <f t="shared" si="243"/>
        <v>0</v>
      </c>
      <c r="H229" s="466">
        <f t="shared" si="243"/>
        <v>0</v>
      </c>
      <c r="I229" s="466">
        <f t="shared" si="243"/>
        <v>0</v>
      </c>
      <c r="J229" s="466">
        <f t="shared" si="243"/>
        <v>0</v>
      </c>
      <c r="K229" s="466">
        <f t="shared" si="243"/>
        <v>0</v>
      </c>
      <c r="L229" s="466">
        <f t="shared" si="243"/>
        <v>0</v>
      </c>
      <c r="M229" s="466">
        <f t="shared" si="243"/>
        <v>0</v>
      </c>
      <c r="N229" s="466">
        <f t="shared" si="243"/>
        <v>0</v>
      </c>
      <c r="O229" s="466">
        <f t="shared" si="243"/>
        <v>0</v>
      </c>
      <c r="P229" s="466">
        <f t="shared" si="243"/>
        <v>35249823</v>
      </c>
      <c r="Q229" s="36"/>
      <c r="R229" s="52"/>
    </row>
    <row r="230" spans="1:18" ht="93" thickTop="1" thickBot="1" x14ac:dyDescent="0.25">
      <c r="A230" s="103" t="s">
        <v>44</v>
      </c>
      <c r="B230" s="103" t="s">
        <v>186</v>
      </c>
      <c r="C230" s="103" t="s">
        <v>195</v>
      </c>
      <c r="D230" s="103" t="s">
        <v>45</v>
      </c>
      <c r="E230" s="312">
        <f t="shared" si="237"/>
        <v>31400000</v>
      </c>
      <c r="F230" s="326">
        <f>((27000000)+2300000)+2100000</f>
        <v>31400000</v>
      </c>
      <c r="G230" s="462"/>
      <c r="H230" s="462"/>
      <c r="I230" s="462"/>
      <c r="J230" s="328">
        <f t="shared" si="238"/>
        <v>0</v>
      </c>
      <c r="K230" s="462"/>
      <c r="L230" s="462"/>
      <c r="M230" s="462"/>
      <c r="N230" s="462"/>
      <c r="O230" s="459">
        <f t="shared" si="239"/>
        <v>0</v>
      </c>
      <c r="P230" s="328">
        <f t="shared" si="241"/>
        <v>31400000</v>
      </c>
      <c r="Q230" s="20"/>
      <c r="R230" s="46"/>
    </row>
    <row r="231" spans="1:18" ht="93" thickTop="1" thickBot="1" x14ac:dyDescent="0.25">
      <c r="A231" s="103" t="s">
        <v>46</v>
      </c>
      <c r="B231" s="103" t="s">
        <v>187</v>
      </c>
      <c r="C231" s="103" t="s">
        <v>195</v>
      </c>
      <c r="D231" s="103" t="s">
        <v>4</v>
      </c>
      <c r="E231" s="312">
        <f t="shared" si="237"/>
        <v>3849823</v>
      </c>
      <c r="F231" s="326">
        <f>(3399823)+450000</f>
        <v>3849823</v>
      </c>
      <c r="G231" s="462"/>
      <c r="H231" s="462"/>
      <c r="I231" s="462"/>
      <c r="J231" s="328">
        <f t="shared" si="238"/>
        <v>0</v>
      </c>
      <c r="K231" s="462"/>
      <c r="L231" s="462"/>
      <c r="M231" s="462"/>
      <c r="N231" s="462"/>
      <c r="O231" s="459">
        <f t="shared" si="239"/>
        <v>0</v>
      </c>
      <c r="P231" s="328">
        <f t="shared" si="241"/>
        <v>3849823</v>
      </c>
      <c r="Q231" s="20"/>
      <c r="R231" s="46"/>
    </row>
    <row r="232" spans="1:18" s="33" customFormat="1" ht="93" thickTop="1" thickBot="1" x14ac:dyDescent="0.25">
      <c r="A232" s="329" t="s">
        <v>775</v>
      </c>
      <c r="B232" s="329" t="s">
        <v>776</v>
      </c>
      <c r="C232" s="329"/>
      <c r="D232" s="329" t="s">
        <v>777</v>
      </c>
      <c r="E232" s="466">
        <f>E233</f>
        <v>41300</v>
      </c>
      <c r="F232" s="466">
        <f t="shared" ref="F232:P232" si="244">F233</f>
        <v>41300</v>
      </c>
      <c r="G232" s="466">
        <f t="shared" si="244"/>
        <v>0</v>
      </c>
      <c r="H232" s="466">
        <f t="shared" si="244"/>
        <v>0</v>
      </c>
      <c r="I232" s="466">
        <f t="shared" si="244"/>
        <v>0</v>
      </c>
      <c r="J232" s="466">
        <f t="shared" si="244"/>
        <v>0</v>
      </c>
      <c r="K232" s="466">
        <f t="shared" si="244"/>
        <v>0</v>
      </c>
      <c r="L232" s="466">
        <f t="shared" si="244"/>
        <v>0</v>
      </c>
      <c r="M232" s="466">
        <f t="shared" si="244"/>
        <v>0</v>
      </c>
      <c r="N232" s="466">
        <f t="shared" si="244"/>
        <v>0</v>
      </c>
      <c r="O232" s="466">
        <f t="shared" si="244"/>
        <v>0</v>
      </c>
      <c r="P232" s="466">
        <f t="shared" si="244"/>
        <v>41300</v>
      </c>
      <c r="Q232" s="36"/>
      <c r="R232" s="53"/>
    </row>
    <row r="233" spans="1:18" ht="93" thickTop="1" thickBot="1" x14ac:dyDescent="0.25">
      <c r="A233" s="103" t="s">
        <v>47</v>
      </c>
      <c r="B233" s="103" t="s">
        <v>188</v>
      </c>
      <c r="C233" s="103" t="s">
        <v>195</v>
      </c>
      <c r="D233" s="103" t="s">
        <v>349</v>
      </c>
      <c r="E233" s="312">
        <f>F233</f>
        <v>41300</v>
      </c>
      <c r="F233" s="326">
        <v>41300</v>
      </c>
      <c r="G233" s="326"/>
      <c r="H233" s="326"/>
      <c r="I233" s="462"/>
      <c r="J233" s="328">
        <f t="shared" si="238"/>
        <v>0</v>
      </c>
      <c r="K233" s="462"/>
      <c r="L233" s="326"/>
      <c r="M233" s="326"/>
      <c r="N233" s="326"/>
      <c r="O233" s="459">
        <f t="shared" si="239"/>
        <v>0</v>
      </c>
      <c r="P233" s="328">
        <f t="shared" si="241"/>
        <v>41300</v>
      </c>
      <c r="Q233" s="20"/>
      <c r="R233" s="46"/>
    </row>
    <row r="234" spans="1:18" ht="48" thickTop="1" thickBot="1" x14ac:dyDescent="0.25">
      <c r="A234" s="329" t="s">
        <v>778</v>
      </c>
      <c r="B234" s="329" t="s">
        <v>779</v>
      </c>
      <c r="C234" s="329"/>
      <c r="D234" s="329" t="s">
        <v>780</v>
      </c>
      <c r="E234" s="466">
        <f>SUM(E235:E236)</f>
        <v>71169131</v>
      </c>
      <c r="F234" s="466">
        <f t="shared" ref="F234:P234" si="245">SUM(F235:F236)</f>
        <v>71169131</v>
      </c>
      <c r="G234" s="466">
        <f t="shared" si="245"/>
        <v>45541127</v>
      </c>
      <c r="H234" s="466">
        <f t="shared" si="245"/>
        <v>3459880</v>
      </c>
      <c r="I234" s="466">
        <f t="shared" si="245"/>
        <v>0</v>
      </c>
      <c r="J234" s="466">
        <f t="shared" si="245"/>
        <v>4260452</v>
      </c>
      <c r="K234" s="466">
        <f t="shared" si="245"/>
        <v>2818210</v>
      </c>
      <c r="L234" s="466">
        <f t="shared" si="245"/>
        <v>1417242</v>
      </c>
      <c r="M234" s="466">
        <f t="shared" si="245"/>
        <v>505365</v>
      </c>
      <c r="N234" s="466">
        <f t="shared" si="245"/>
        <v>371711</v>
      </c>
      <c r="O234" s="466">
        <f t="shared" si="245"/>
        <v>2843210</v>
      </c>
      <c r="P234" s="466">
        <f t="shared" si="245"/>
        <v>75429583</v>
      </c>
      <c r="Q234" s="20"/>
      <c r="R234" s="46"/>
    </row>
    <row r="235" spans="1:18" ht="93" thickTop="1" thickBot="1" x14ac:dyDescent="0.25">
      <c r="A235" s="103" t="s">
        <v>28</v>
      </c>
      <c r="B235" s="103" t="s">
        <v>192</v>
      </c>
      <c r="C235" s="103" t="s">
        <v>195</v>
      </c>
      <c r="D235" s="103" t="s">
        <v>48</v>
      </c>
      <c r="E235" s="312">
        <f t="shared" si="237"/>
        <v>64207440</v>
      </c>
      <c r="F235" s="326">
        <f>((63565171)+70460)+97000+116000+298907+59902</f>
        <v>64207440</v>
      </c>
      <c r="G235" s="326">
        <f>13791707+13494017+12637962+5617441</f>
        <v>45541127</v>
      </c>
      <c r="H235" s="326">
        <f>582200+114491+553286+67934+483136+25997+376551+57199+5016+21100+12432+180616+368000+5930+382500+11712+147504+59200+5076</f>
        <v>3459880</v>
      </c>
      <c r="I235" s="326"/>
      <c r="J235" s="328">
        <f t="shared" si="238"/>
        <v>4260452</v>
      </c>
      <c r="K235" s="326">
        <f>((1000000)+71064)+75200+1671946</f>
        <v>2818210</v>
      </c>
      <c r="L235" s="326">
        <f>1442242-25000</f>
        <v>1417242</v>
      </c>
      <c r="M235" s="326">
        <v>505365</v>
      </c>
      <c r="N235" s="326">
        <v>371711</v>
      </c>
      <c r="O235" s="459">
        <f>(K235+25000)</f>
        <v>2843210</v>
      </c>
      <c r="P235" s="328">
        <f t="shared" si="241"/>
        <v>68467892</v>
      </c>
      <c r="Q235" s="20"/>
      <c r="R235" s="46"/>
    </row>
    <row r="236" spans="1:18" ht="93" thickTop="1" thickBot="1" x14ac:dyDescent="0.25">
      <c r="A236" s="103" t="s">
        <v>29</v>
      </c>
      <c r="B236" s="103" t="s">
        <v>193</v>
      </c>
      <c r="C236" s="103" t="s">
        <v>195</v>
      </c>
      <c r="D236" s="103" t="s">
        <v>49</v>
      </c>
      <c r="E236" s="312">
        <f t="shared" si="237"/>
        <v>6961691</v>
      </c>
      <c r="F236" s="326">
        <v>6961691</v>
      </c>
      <c r="G236" s="326"/>
      <c r="H236" s="326"/>
      <c r="I236" s="326"/>
      <c r="J236" s="328">
        <f t="shared" si="238"/>
        <v>0</v>
      </c>
      <c r="K236" s="326">
        <v>0</v>
      </c>
      <c r="L236" s="326"/>
      <c r="M236" s="326"/>
      <c r="N236" s="326"/>
      <c r="O236" s="459">
        <f t="shared" si="239"/>
        <v>0</v>
      </c>
      <c r="P236" s="328">
        <f t="shared" si="241"/>
        <v>6961691</v>
      </c>
      <c r="Q236" s="20"/>
      <c r="R236" s="46"/>
    </row>
    <row r="237" spans="1:18" ht="69.75" customHeight="1" thickTop="1" thickBot="1" x14ac:dyDescent="0.25">
      <c r="A237" s="743" t="s">
        <v>1378</v>
      </c>
      <c r="B237" s="744" t="s">
        <v>816</v>
      </c>
      <c r="C237" s="744"/>
      <c r="D237" s="744" t="s">
        <v>817</v>
      </c>
      <c r="E237" s="466">
        <f>E238</f>
        <v>93550</v>
      </c>
      <c r="F237" s="466">
        <f t="shared" ref="F237:P237" si="246">F238</f>
        <v>93550</v>
      </c>
      <c r="G237" s="466">
        <f t="shared" si="246"/>
        <v>76680</v>
      </c>
      <c r="H237" s="466">
        <f t="shared" si="246"/>
        <v>0</v>
      </c>
      <c r="I237" s="466">
        <f t="shared" si="246"/>
        <v>0</v>
      </c>
      <c r="J237" s="466">
        <f t="shared" si="246"/>
        <v>0</v>
      </c>
      <c r="K237" s="466">
        <f t="shared" si="246"/>
        <v>0</v>
      </c>
      <c r="L237" s="466">
        <f t="shared" si="246"/>
        <v>0</v>
      </c>
      <c r="M237" s="466">
        <f t="shared" si="246"/>
        <v>0</v>
      </c>
      <c r="N237" s="466">
        <f t="shared" si="246"/>
        <v>0</v>
      </c>
      <c r="O237" s="466">
        <f t="shared" si="246"/>
        <v>0</v>
      </c>
      <c r="P237" s="466">
        <f t="shared" si="246"/>
        <v>93550</v>
      </c>
      <c r="Q237" s="20"/>
      <c r="R237" s="46"/>
    </row>
    <row r="238" spans="1:18" ht="93" thickTop="1" thickBot="1" x14ac:dyDescent="0.25">
      <c r="A238" s="735" t="s">
        <v>1379</v>
      </c>
      <c r="B238" s="735" t="s">
        <v>1380</v>
      </c>
      <c r="C238" s="735" t="s">
        <v>195</v>
      </c>
      <c r="D238" s="735" t="s">
        <v>1381</v>
      </c>
      <c r="E238" s="312">
        <f t="shared" ref="E238" si="247">F238</f>
        <v>93550</v>
      </c>
      <c r="F238" s="326">
        <v>93550</v>
      </c>
      <c r="G238" s="326">
        <v>76680</v>
      </c>
      <c r="H238" s="326"/>
      <c r="I238" s="326"/>
      <c r="J238" s="736">
        <f t="shared" ref="J238" si="248">L238+O238</f>
        <v>0</v>
      </c>
      <c r="K238" s="326">
        <v>0</v>
      </c>
      <c r="L238" s="326"/>
      <c r="M238" s="326"/>
      <c r="N238" s="326"/>
      <c r="O238" s="739">
        <f t="shared" ref="O238" si="249">K238</f>
        <v>0</v>
      </c>
      <c r="P238" s="736">
        <f t="shared" ref="P238" si="250">E238+J238</f>
        <v>93550</v>
      </c>
      <c r="Q238" s="20"/>
      <c r="R238" s="46"/>
    </row>
    <row r="239" spans="1:18" ht="48" thickTop="1" thickBot="1" x14ac:dyDescent="0.25">
      <c r="A239" s="589" t="s">
        <v>781</v>
      </c>
      <c r="B239" s="329" t="s">
        <v>782</v>
      </c>
      <c r="C239" s="329"/>
      <c r="D239" s="329" t="s">
        <v>783</v>
      </c>
      <c r="E239" s="466">
        <f>SUM(E240:E242)</f>
        <v>8070620</v>
      </c>
      <c r="F239" s="466">
        <f t="shared" ref="F239:P239" si="251">SUM(F240:F242)</f>
        <v>8070620</v>
      </c>
      <c r="G239" s="466">
        <f t="shared" si="251"/>
        <v>1441425</v>
      </c>
      <c r="H239" s="466">
        <f t="shared" si="251"/>
        <v>0</v>
      </c>
      <c r="I239" s="466">
        <f t="shared" si="251"/>
        <v>0</v>
      </c>
      <c r="J239" s="466">
        <f t="shared" si="251"/>
        <v>50000</v>
      </c>
      <c r="K239" s="466">
        <f t="shared" si="251"/>
        <v>0</v>
      </c>
      <c r="L239" s="466">
        <f t="shared" si="251"/>
        <v>50000</v>
      </c>
      <c r="M239" s="466">
        <f t="shared" si="251"/>
        <v>0</v>
      </c>
      <c r="N239" s="466">
        <f t="shared" si="251"/>
        <v>0</v>
      </c>
      <c r="O239" s="466">
        <f t="shared" si="251"/>
        <v>0</v>
      </c>
      <c r="P239" s="466">
        <f t="shared" si="251"/>
        <v>8120620</v>
      </c>
      <c r="Q239" s="20"/>
      <c r="R239" s="46"/>
    </row>
    <row r="240" spans="1:18" ht="138.75" thickTop="1" thickBot="1" x14ac:dyDescent="0.25">
      <c r="A240" s="590" t="s">
        <v>30</v>
      </c>
      <c r="B240" s="590" t="s">
        <v>194</v>
      </c>
      <c r="C240" s="590" t="s">
        <v>195</v>
      </c>
      <c r="D240" s="103" t="s">
        <v>31</v>
      </c>
      <c r="E240" s="312">
        <f t="shared" si="237"/>
        <v>775354</v>
      </c>
      <c r="F240" s="326">
        <f>(625354)+150000</f>
        <v>775354</v>
      </c>
      <c r="G240" s="462"/>
      <c r="H240" s="462"/>
      <c r="I240" s="462"/>
      <c r="J240" s="328">
        <f t="shared" si="238"/>
        <v>0</v>
      </c>
      <c r="K240" s="462"/>
      <c r="L240" s="462"/>
      <c r="M240" s="462"/>
      <c r="N240" s="462"/>
      <c r="O240" s="459">
        <f t="shared" si="239"/>
        <v>0</v>
      </c>
      <c r="P240" s="328">
        <f t="shared" si="241"/>
        <v>775354</v>
      </c>
      <c r="Q240" s="20"/>
      <c r="R240" s="46"/>
    </row>
    <row r="241" spans="1:18" ht="93" thickTop="1" thickBot="1" x14ac:dyDescent="0.25">
      <c r="A241" s="590" t="s">
        <v>512</v>
      </c>
      <c r="B241" s="590" t="s">
        <v>510</v>
      </c>
      <c r="C241" s="590" t="s">
        <v>195</v>
      </c>
      <c r="D241" s="103" t="s">
        <v>511</v>
      </c>
      <c r="E241" s="312">
        <f t="shared" si="237"/>
        <v>5182225</v>
      </c>
      <c r="F241" s="326">
        <f>(5242225)-60000</f>
        <v>5182225</v>
      </c>
      <c r="G241" s="462"/>
      <c r="H241" s="462"/>
      <c r="I241" s="462"/>
      <c r="J241" s="328">
        <f t="shared" si="238"/>
        <v>0</v>
      </c>
      <c r="K241" s="462"/>
      <c r="L241" s="462"/>
      <c r="M241" s="462"/>
      <c r="N241" s="462"/>
      <c r="O241" s="459">
        <f t="shared" si="239"/>
        <v>0</v>
      </c>
      <c r="P241" s="328">
        <f t="shared" si="241"/>
        <v>5182225</v>
      </c>
      <c r="Q241" s="20"/>
      <c r="R241" s="46"/>
    </row>
    <row r="242" spans="1:18" ht="48" thickTop="1" thickBot="1" x14ac:dyDescent="0.25">
      <c r="A242" s="590" t="s">
        <v>32</v>
      </c>
      <c r="B242" s="590" t="s">
        <v>196</v>
      </c>
      <c r="C242" s="590" t="s">
        <v>195</v>
      </c>
      <c r="D242" s="103" t="s">
        <v>33</v>
      </c>
      <c r="E242" s="312">
        <f>F242</f>
        <v>2113041</v>
      </c>
      <c r="F242" s="326">
        <v>2113041</v>
      </c>
      <c r="G242" s="462">
        <v>1441425</v>
      </c>
      <c r="H242" s="462"/>
      <c r="I242" s="462"/>
      <c r="J242" s="328">
        <f t="shared" si="238"/>
        <v>50000</v>
      </c>
      <c r="K242" s="462"/>
      <c r="L242" s="462">
        <v>50000</v>
      </c>
      <c r="M242" s="462"/>
      <c r="N242" s="462"/>
      <c r="O242" s="459">
        <f t="shared" si="239"/>
        <v>0</v>
      </c>
      <c r="P242" s="328">
        <f t="shared" si="241"/>
        <v>2163041</v>
      </c>
      <c r="Q242" s="20"/>
      <c r="R242" s="46"/>
    </row>
    <row r="243" spans="1:18" ht="47.25" hidden="1" thickTop="1" thickBot="1" x14ac:dyDescent="0.25">
      <c r="A243" s="125" t="s">
        <v>784</v>
      </c>
      <c r="B243" s="125" t="s">
        <v>742</v>
      </c>
      <c r="C243" s="125"/>
      <c r="D243" s="408" t="s">
        <v>743</v>
      </c>
      <c r="E243" s="152">
        <f>E244</f>
        <v>0</v>
      </c>
      <c r="F243" s="152">
        <f t="shared" ref="F243:P244" si="252">F244</f>
        <v>0</v>
      </c>
      <c r="G243" s="152">
        <f t="shared" si="252"/>
        <v>0</v>
      </c>
      <c r="H243" s="152">
        <f t="shared" si="252"/>
        <v>0</v>
      </c>
      <c r="I243" s="152">
        <f t="shared" si="252"/>
        <v>0</v>
      </c>
      <c r="J243" s="152">
        <f t="shared" si="252"/>
        <v>0</v>
      </c>
      <c r="K243" s="152">
        <f t="shared" si="252"/>
        <v>0</v>
      </c>
      <c r="L243" s="152">
        <f t="shared" si="252"/>
        <v>0</v>
      </c>
      <c r="M243" s="152">
        <f t="shared" si="252"/>
        <v>0</v>
      </c>
      <c r="N243" s="152">
        <f t="shared" si="252"/>
        <v>0</v>
      </c>
      <c r="O243" s="152">
        <f t="shared" si="252"/>
        <v>0</v>
      </c>
      <c r="P243" s="152">
        <f t="shared" si="252"/>
        <v>0</v>
      </c>
      <c r="Q243" s="20"/>
      <c r="R243" s="46"/>
    </row>
    <row r="244" spans="1:18" ht="48" hidden="1" thickTop="1" thickBot="1" x14ac:dyDescent="0.25">
      <c r="A244" s="409" t="s">
        <v>785</v>
      </c>
      <c r="B244" s="409" t="s">
        <v>745</v>
      </c>
      <c r="C244" s="409"/>
      <c r="D244" s="140" t="s">
        <v>746</v>
      </c>
      <c r="E244" s="158">
        <f>E245</f>
        <v>0</v>
      </c>
      <c r="F244" s="158">
        <f t="shared" si="252"/>
        <v>0</v>
      </c>
      <c r="G244" s="158">
        <f t="shared" si="252"/>
        <v>0</v>
      </c>
      <c r="H244" s="158">
        <f t="shared" si="252"/>
        <v>0</v>
      </c>
      <c r="I244" s="158">
        <f t="shared" si="252"/>
        <v>0</v>
      </c>
      <c r="J244" s="158">
        <f t="shared" si="252"/>
        <v>0</v>
      </c>
      <c r="K244" s="158">
        <f t="shared" si="252"/>
        <v>0</v>
      </c>
      <c r="L244" s="158">
        <f t="shared" si="252"/>
        <v>0</v>
      </c>
      <c r="M244" s="158">
        <f t="shared" si="252"/>
        <v>0</v>
      </c>
      <c r="N244" s="158">
        <f t="shared" si="252"/>
        <v>0</v>
      </c>
      <c r="O244" s="158">
        <f t="shared" si="252"/>
        <v>0</v>
      </c>
      <c r="P244" s="158">
        <f t="shared" si="252"/>
        <v>0</v>
      </c>
      <c r="Q244" s="20"/>
      <c r="R244" s="46"/>
    </row>
    <row r="245" spans="1:18" ht="138.75" hidden="1" thickTop="1" thickBot="1" x14ac:dyDescent="0.25">
      <c r="A245" s="410" t="s">
        <v>342</v>
      </c>
      <c r="B245" s="410" t="s">
        <v>341</v>
      </c>
      <c r="C245" s="410" t="s">
        <v>340</v>
      </c>
      <c r="D245" s="128" t="s">
        <v>639</v>
      </c>
      <c r="E245" s="152">
        <f>F245</f>
        <v>0</v>
      </c>
      <c r="F245" s="129"/>
      <c r="G245" s="134"/>
      <c r="H245" s="134"/>
      <c r="I245" s="134"/>
      <c r="J245" s="127">
        <f t="shared" si="238"/>
        <v>0</v>
      </c>
      <c r="K245" s="134"/>
      <c r="L245" s="134"/>
      <c r="M245" s="134"/>
      <c r="N245" s="134"/>
      <c r="O245" s="132">
        <f t="shared" si="239"/>
        <v>0</v>
      </c>
      <c r="P245" s="127">
        <f t="shared" si="241"/>
        <v>0</v>
      </c>
      <c r="Q245" s="20"/>
      <c r="R245" s="50"/>
    </row>
    <row r="246" spans="1:18" ht="47.25" hidden="1" thickTop="1" thickBot="1" x14ac:dyDescent="0.25">
      <c r="A246" s="125" t="s">
        <v>786</v>
      </c>
      <c r="B246" s="125" t="s">
        <v>748</v>
      </c>
      <c r="C246" s="125"/>
      <c r="D246" s="125" t="s">
        <v>749</v>
      </c>
      <c r="E246" s="152">
        <f>E250+E247</f>
        <v>0</v>
      </c>
      <c r="F246" s="152">
        <f t="shared" ref="F246:P246" si="253">F250+F247</f>
        <v>0</v>
      </c>
      <c r="G246" s="152">
        <f t="shared" si="253"/>
        <v>0</v>
      </c>
      <c r="H246" s="152">
        <f t="shared" si="253"/>
        <v>0</v>
      </c>
      <c r="I246" s="152">
        <f t="shared" si="253"/>
        <v>0</v>
      </c>
      <c r="J246" s="152">
        <f t="shared" si="253"/>
        <v>0</v>
      </c>
      <c r="K246" s="152">
        <f t="shared" si="253"/>
        <v>0</v>
      </c>
      <c r="L246" s="152">
        <f t="shared" si="253"/>
        <v>0</v>
      </c>
      <c r="M246" s="152">
        <f t="shared" si="253"/>
        <v>0</v>
      </c>
      <c r="N246" s="152">
        <f t="shared" si="253"/>
        <v>0</v>
      </c>
      <c r="O246" s="152">
        <f t="shared" si="253"/>
        <v>0</v>
      </c>
      <c r="P246" s="152">
        <f t="shared" si="253"/>
        <v>0</v>
      </c>
      <c r="Q246" s="20"/>
      <c r="R246" s="50"/>
    </row>
    <row r="247" spans="1:18" ht="47.25" hidden="1" thickTop="1" thickBot="1" x14ac:dyDescent="0.25">
      <c r="A247" s="136" t="s">
        <v>1099</v>
      </c>
      <c r="B247" s="136" t="s">
        <v>803</v>
      </c>
      <c r="C247" s="136"/>
      <c r="D247" s="136" t="s">
        <v>804</v>
      </c>
      <c r="E247" s="137">
        <f>E248</f>
        <v>0</v>
      </c>
      <c r="F247" s="137">
        <f t="shared" ref="F247:P248" si="254">F248</f>
        <v>0</v>
      </c>
      <c r="G247" s="137">
        <f t="shared" si="254"/>
        <v>0</v>
      </c>
      <c r="H247" s="137">
        <f t="shared" si="254"/>
        <v>0</v>
      </c>
      <c r="I247" s="137">
        <f t="shared" si="254"/>
        <v>0</v>
      </c>
      <c r="J247" s="137">
        <f t="shared" si="254"/>
        <v>0</v>
      </c>
      <c r="K247" s="137">
        <f t="shared" si="254"/>
        <v>0</v>
      </c>
      <c r="L247" s="137">
        <f t="shared" si="254"/>
        <v>0</v>
      </c>
      <c r="M247" s="137">
        <f t="shared" si="254"/>
        <v>0</v>
      </c>
      <c r="N247" s="137">
        <f t="shared" si="254"/>
        <v>0</v>
      </c>
      <c r="O247" s="137">
        <f t="shared" si="254"/>
        <v>0</v>
      </c>
      <c r="P247" s="137">
        <f t="shared" si="254"/>
        <v>0</v>
      </c>
      <c r="Q247" s="20"/>
      <c r="R247" s="50"/>
    </row>
    <row r="248" spans="1:18" ht="54" hidden="1" thickTop="1" thickBot="1" x14ac:dyDescent="0.25">
      <c r="A248" s="140" t="s">
        <v>1100</v>
      </c>
      <c r="B248" s="140" t="s">
        <v>821</v>
      </c>
      <c r="C248" s="140"/>
      <c r="D248" s="140" t="s">
        <v>1491</v>
      </c>
      <c r="E248" s="141">
        <f>E249</f>
        <v>0</v>
      </c>
      <c r="F248" s="141">
        <f t="shared" si="254"/>
        <v>0</v>
      </c>
      <c r="G248" s="141">
        <f t="shared" si="254"/>
        <v>0</v>
      </c>
      <c r="H248" s="141">
        <f t="shared" si="254"/>
        <v>0</v>
      </c>
      <c r="I248" s="141">
        <f t="shared" si="254"/>
        <v>0</v>
      </c>
      <c r="J248" s="141">
        <f t="shared" si="254"/>
        <v>0</v>
      </c>
      <c r="K248" s="141">
        <f t="shared" si="254"/>
        <v>0</v>
      </c>
      <c r="L248" s="141">
        <f t="shared" si="254"/>
        <v>0</v>
      </c>
      <c r="M248" s="141">
        <f t="shared" si="254"/>
        <v>0</v>
      </c>
      <c r="N248" s="141">
        <f t="shared" si="254"/>
        <v>0</v>
      </c>
      <c r="O248" s="141">
        <f t="shared" si="254"/>
        <v>0</v>
      </c>
      <c r="P248" s="141">
        <f t="shared" si="254"/>
        <v>0</v>
      </c>
      <c r="Q248" s="20"/>
      <c r="R248" s="50"/>
    </row>
    <row r="249" spans="1:18" ht="54" hidden="1" thickTop="1" thickBot="1" x14ac:dyDescent="0.25">
      <c r="A249" s="128" t="s">
        <v>1101</v>
      </c>
      <c r="B249" s="128" t="s">
        <v>313</v>
      </c>
      <c r="C249" s="128" t="s">
        <v>304</v>
      </c>
      <c r="D249" s="128" t="s">
        <v>1237</v>
      </c>
      <c r="E249" s="127">
        <f t="shared" ref="E249" si="255">F249</f>
        <v>0</v>
      </c>
      <c r="F249" s="134"/>
      <c r="G249" s="134"/>
      <c r="H249" s="134"/>
      <c r="I249" s="134"/>
      <c r="J249" s="127">
        <f t="shared" ref="J249" si="256">L249+O249</f>
        <v>0</v>
      </c>
      <c r="K249" s="134">
        <f>49500-49500</f>
        <v>0</v>
      </c>
      <c r="L249" s="134"/>
      <c r="M249" s="134"/>
      <c r="N249" s="134"/>
      <c r="O249" s="132">
        <f t="shared" ref="O249" si="257">K249</f>
        <v>0</v>
      </c>
      <c r="P249" s="127">
        <f>E249+J249</f>
        <v>0</v>
      </c>
      <c r="Q249" s="20"/>
      <c r="R249" s="50"/>
    </row>
    <row r="250" spans="1:18" ht="47.25" hidden="1" thickTop="1" thickBot="1" x14ac:dyDescent="0.25">
      <c r="A250" s="136" t="s">
        <v>787</v>
      </c>
      <c r="B250" s="136" t="s">
        <v>691</v>
      </c>
      <c r="C250" s="136"/>
      <c r="D250" s="136" t="s">
        <v>689</v>
      </c>
      <c r="E250" s="159">
        <f>E252+E251</f>
        <v>0</v>
      </c>
      <c r="F250" s="159">
        <f t="shared" ref="F250:H250" si="258">F252+F251</f>
        <v>0</v>
      </c>
      <c r="G250" s="159">
        <f t="shared" si="258"/>
        <v>0</v>
      </c>
      <c r="H250" s="159">
        <f t="shared" si="258"/>
        <v>0</v>
      </c>
      <c r="I250" s="159">
        <f>I252+I251</f>
        <v>0</v>
      </c>
      <c r="J250" s="159">
        <f>J252+J251</f>
        <v>0</v>
      </c>
      <c r="K250" s="159">
        <f>K252+K251</f>
        <v>0</v>
      </c>
      <c r="L250" s="159">
        <f t="shared" ref="L250:O250" si="259">L252+L251</f>
        <v>0</v>
      </c>
      <c r="M250" s="159">
        <f t="shared" si="259"/>
        <v>0</v>
      </c>
      <c r="N250" s="159">
        <f t="shared" si="259"/>
        <v>0</v>
      </c>
      <c r="O250" s="159">
        <f t="shared" si="259"/>
        <v>0</v>
      </c>
      <c r="P250" s="159">
        <f>P252+P251</f>
        <v>0</v>
      </c>
      <c r="Q250" s="20"/>
      <c r="R250" s="50"/>
    </row>
    <row r="251" spans="1:18" ht="48" hidden="1" thickTop="1" thickBot="1" x14ac:dyDescent="0.25">
      <c r="A251" s="410" t="s">
        <v>1336</v>
      </c>
      <c r="B251" s="410" t="s">
        <v>212</v>
      </c>
      <c r="C251" s="410"/>
      <c r="D251" s="128" t="s">
        <v>41</v>
      </c>
      <c r="E251" s="152">
        <f>F251</f>
        <v>0</v>
      </c>
      <c r="F251" s="129"/>
      <c r="G251" s="134"/>
      <c r="H251" s="134"/>
      <c r="I251" s="134"/>
      <c r="J251" s="127">
        <f t="shared" ref="J251" si="260">L251+O251</f>
        <v>0</v>
      </c>
      <c r="K251" s="134"/>
      <c r="L251" s="134"/>
      <c r="M251" s="134"/>
      <c r="N251" s="134"/>
      <c r="O251" s="132">
        <f t="shared" ref="O251" si="261">K251</f>
        <v>0</v>
      </c>
      <c r="P251" s="127">
        <f t="shared" ref="P251" si="262">E251+J251</f>
        <v>0</v>
      </c>
      <c r="Q251" s="20"/>
      <c r="R251" s="50"/>
    </row>
    <row r="252" spans="1:18" ht="48" hidden="1" thickTop="1" thickBot="1" x14ac:dyDescent="0.25">
      <c r="A252" s="128" t="s">
        <v>607</v>
      </c>
      <c r="B252" s="128" t="s">
        <v>197</v>
      </c>
      <c r="C252" s="128" t="s">
        <v>170</v>
      </c>
      <c r="D252" s="128" t="s">
        <v>34</v>
      </c>
      <c r="E252" s="127">
        <f t="shared" ref="E252" si="263">F252</f>
        <v>0</v>
      </c>
      <c r="F252" s="134"/>
      <c r="G252" s="134"/>
      <c r="H252" s="134"/>
      <c r="I252" s="134"/>
      <c r="J252" s="127">
        <f t="shared" si="238"/>
        <v>0</v>
      </c>
      <c r="K252" s="134"/>
      <c r="L252" s="134"/>
      <c r="M252" s="134"/>
      <c r="N252" s="134"/>
      <c r="O252" s="132">
        <f t="shared" si="239"/>
        <v>0</v>
      </c>
      <c r="P252" s="127">
        <f t="shared" si="241"/>
        <v>0</v>
      </c>
      <c r="Q252" s="20"/>
      <c r="R252" s="46"/>
    </row>
    <row r="253" spans="1:18" ht="47.25" hidden="1" thickTop="1" thickBot="1" x14ac:dyDescent="0.25">
      <c r="A253" s="146" t="s">
        <v>1107</v>
      </c>
      <c r="B253" s="146" t="s">
        <v>702</v>
      </c>
      <c r="C253" s="146"/>
      <c r="D253" s="146" t="s">
        <v>703</v>
      </c>
      <c r="E253" s="42">
        <f>E254</f>
        <v>0</v>
      </c>
      <c r="F253" s="42">
        <f t="shared" ref="F253:P254" si="264">F254</f>
        <v>0</v>
      </c>
      <c r="G253" s="42">
        <f t="shared" si="264"/>
        <v>0</v>
      </c>
      <c r="H253" s="42">
        <f t="shared" si="264"/>
        <v>0</v>
      </c>
      <c r="I253" s="42">
        <f t="shared" si="264"/>
        <v>0</v>
      </c>
      <c r="J253" s="42">
        <f t="shared" si="264"/>
        <v>0</v>
      </c>
      <c r="K253" s="42">
        <f t="shared" si="264"/>
        <v>0</v>
      </c>
      <c r="L253" s="42">
        <f t="shared" si="264"/>
        <v>0</v>
      </c>
      <c r="M253" s="42">
        <f t="shared" si="264"/>
        <v>0</v>
      </c>
      <c r="N253" s="42">
        <f t="shared" si="264"/>
        <v>0</v>
      </c>
      <c r="O253" s="42">
        <f t="shared" si="264"/>
        <v>0</v>
      </c>
      <c r="P253" s="42">
        <f t="shared" si="264"/>
        <v>0</v>
      </c>
      <c r="Q253" s="20"/>
      <c r="R253" s="46"/>
    </row>
    <row r="254" spans="1:18" ht="136.5" hidden="1" thickTop="1" thickBot="1" x14ac:dyDescent="0.25">
      <c r="A254" s="147" t="s">
        <v>1108</v>
      </c>
      <c r="B254" s="147" t="s">
        <v>705</v>
      </c>
      <c r="C254" s="147"/>
      <c r="D254" s="147" t="s">
        <v>706</v>
      </c>
      <c r="E254" s="148">
        <f>E255</f>
        <v>0</v>
      </c>
      <c r="F254" s="148">
        <f t="shared" si="264"/>
        <v>0</v>
      </c>
      <c r="G254" s="148">
        <f t="shared" si="264"/>
        <v>0</v>
      </c>
      <c r="H254" s="148">
        <f t="shared" si="264"/>
        <v>0</v>
      </c>
      <c r="I254" s="148">
        <f t="shared" si="264"/>
        <v>0</v>
      </c>
      <c r="J254" s="148">
        <f t="shared" si="264"/>
        <v>0</v>
      </c>
      <c r="K254" s="148">
        <f t="shared" si="264"/>
        <v>0</v>
      </c>
      <c r="L254" s="148">
        <f t="shared" si="264"/>
        <v>0</v>
      </c>
      <c r="M254" s="148">
        <f t="shared" si="264"/>
        <v>0</v>
      </c>
      <c r="N254" s="148">
        <f t="shared" si="264"/>
        <v>0</v>
      </c>
      <c r="O254" s="148">
        <f t="shared" si="264"/>
        <v>0</v>
      </c>
      <c r="P254" s="148">
        <f t="shared" si="264"/>
        <v>0</v>
      </c>
      <c r="Q254" s="20"/>
      <c r="R254" s="46"/>
    </row>
    <row r="255" spans="1:18" ht="48" hidden="1" thickTop="1" thickBot="1" x14ac:dyDescent="0.25">
      <c r="A255" s="41" t="s">
        <v>1109</v>
      </c>
      <c r="B255" s="41" t="s">
        <v>363</v>
      </c>
      <c r="C255" s="41" t="s">
        <v>43</v>
      </c>
      <c r="D255" s="41" t="s">
        <v>364</v>
      </c>
      <c r="E255" s="42">
        <f t="shared" ref="E255" si="265">F255</f>
        <v>0</v>
      </c>
      <c r="F255" s="43">
        <v>0</v>
      </c>
      <c r="G255" s="43"/>
      <c r="H255" s="43"/>
      <c r="I255" s="43"/>
      <c r="J255" s="42">
        <f>L255+O255</f>
        <v>0</v>
      </c>
      <c r="K255" s="43">
        <v>0</v>
      </c>
      <c r="L255" s="43"/>
      <c r="M255" s="43"/>
      <c r="N255" s="43"/>
      <c r="O255" s="44">
        <f>K255</f>
        <v>0</v>
      </c>
      <c r="P255" s="42">
        <f>E255+J255</f>
        <v>0</v>
      </c>
      <c r="Q255" s="20"/>
      <c r="R255" s="46"/>
    </row>
    <row r="256" spans="1:18" ht="120" customHeight="1" thickTop="1" thickBot="1" x14ac:dyDescent="0.25">
      <c r="A256" s="661" t="s">
        <v>158</v>
      </c>
      <c r="B256" s="661"/>
      <c r="C256" s="661"/>
      <c r="D256" s="662" t="s">
        <v>561</v>
      </c>
      <c r="E256" s="663">
        <f>E257</f>
        <v>38761661</v>
      </c>
      <c r="F256" s="664">
        <f t="shared" ref="F256:G256" si="266">F257</f>
        <v>38761661</v>
      </c>
      <c r="G256" s="664">
        <f t="shared" si="266"/>
        <v>6530800</v>
      </c>
      <c r="H256" s="664">
        <f>H257</f>
        <v>510883</v>
      </c>
      <c r="I256" s="664">
        <f t="shared" ref="I256" si="267">I257</f>
        <v>0</v>
      </c>
      <c r="J256" s="663">
        <f>J257</f>
        <v>11683813</v>
      </c>
      <c r="K256" s="664">
        <f>K257</f>
        <v>11683813</v>
      </c>
      <c r="L256" s="664">
        <f>L257</f>
        <v>0</v>
      </c>
      <c r="M256" s="664">
        <f t="shared" ref="M256" si="268">M257</f>
        <v>0</v>
      </c>
      <c r="N256" s="664">
        <f>N257</f>
        <v>0</v>
      </c>
      <c r="O256" s="663">
        <f>O257</f>
        <v>11683813</v>
      </c>
      <c r="P256" s="664">
        <f>P257</f>
        <v>50445474</v>
      </c>
      <c r="Q256" s="20"/>
      <c r="R256" s="50"/>
    </row>
    <row r="257" spans="1:18" ht="120" customHeight="1" thickTop="1" thickBot="1" x14ac:dyDescent="0.25">
      <c r="A257" s="658" t="s">
        <v>159</v>
      </c>
      <c r="B257" s="658"/>
      <c r="C257" s="658"/>
      <c r="D257" s="659" t="s">
        <v>562</v>
      </c>
      <c r="E257" s="660">
        <f>E258+E262+E270+E279</f>
        <v>38761661</v>
      </c>
      <c r="F257" s="660">
        <f>F258+F262+F270+F279</f>
        <v>38761661</v>
      </c>
      <c r="G257" s="660">
        <f>G258+G262+G270+G279</f>
        <v>6530800</v>
      </c>
      <c r="H257" s="660">
        <f>H258+H262+H270+H279</f>
        <v>510883</v>
      </c>
      <c r="I257" s="660">
        <f>I258+I262+I270+I279</f>
        <v>0</v>
      </c>
      <c r="J257" s="660">
        <f t="shared" ref="J257:J277" si="269">L257+O257</f>
        <v>11683813</v>
      </c>
      <c r="K257" s="660">
        <f>K258+K262+K270+K279</f>
        <v>11683813</v>
      </c>
      <c r="L257" s="660">
        <f>L258+L262+L270+L279</f>
        <v>0</v>
      </c>
      <c r="M257" s="660">
        <f>M258+M262+M270+M279</f>
        <v>0</v>
      </c>
      <c r="N257" s="660">
        <f>N258+N262+N270+N279</f>
        <v>0</v>
      </c>
      <c r="O257" s="660">
        <f>O258+O262+O270+O279</f>
        <v>11683813</v>
      </c>
      <c r="P257" s="660">
        <f>E257+J257</f>
        <v>50445474</v>
      </c>
      <c r="Q257" s="503" t="b">
        <f>P257=P259+P264+P265+P267+P268+P269+P272+P274+P275+P281</f>
        <v>1</v>
      </c>
      <c r="R257" s="54"/>
    </row>
    <row r="258" spans="1:18" ht="47.25" thickTop="1" thickBot="1" x14ac:dyDescent="0.25">
      <c r="A258" s="311" t="s">
        <v>788</v>
      </c>
      <c r="B258" s="311" t="s">
        <v>684</v>
      </c>
      <c r="C258" s="311"/>
      <c r="D258" s="311" t="s">
        <v>685</v>
      </c>
      <c r="E258" s="328">
        <f>SUM(E259:E261)</f>
        <v>9067321</v>
      </c>
      <c r="F258" s="328">
        <f t="shared" ref="F258:N258" si="270">SUM(F259:F261)</f>
        <v>9067321</v>
      </c>
      <c r="G258" s="328">
        <f t="shared" si="270"/>
        <v>6530800</v>
      </c>
      <c r="H258" s="328">
        <f t="shared" si="270"/>
        <v>510883</v>
      </c>
      <c r="I258" s="328">
        <f t="shared" si="270"/>
        <v>0</v>
      </c>
      <c r="J258" s="328">
        <f t="shared" si="270"/>
        <v>0</v>
      </c>
      <c r="K258" s="328">
        <f t="shared" si="270"/>
        <v>0</v>
      </c>
      <c r="L258" s="328">
        <f t="shared" si="270"/>
        <v>0</v>
      </c>
      <c r="M258" s="328">
        <f t="shared" si="270"/>
        <v>0</v>
      </c>
      <c r="N258" s="328">
        <f t="shared" si="270"/>
        <v>0</v>
      </c>
      <c r="O258" s="328">
        <f>SUM(O259:O261)</f>
        <v>0</v>
      </c>
      <c r="P258" s="328">
        <f>SUM(P259:P261)</f>
        <v>9067321</v>
      </c>
      <c r="Q258" s="47"/>
      <c r="R258" s="54"/>
    </row>
    <row r="259" spans="1:18" ht="93" thickTop="1" thickBot="1" x14ac:dyDescent="0.25">
      <c r="A259" s="103" t="s">
        <v>421</v>
      </c>
      <c r="B259" s="103" t="s">
        <v>236</v>
      </c>
      <c r="C259" s="103" t="s">
        <v>234</v>
      </c>
      <c r="D259" s="103" t="s">
        <v>235</v>
      </c>
      <c r="E259" s="312">
        <f>F259</f>
        <v>9067321</v>
      </c>
      <c r="F259" s="326">
        <v>9067321</v>
      </c>
      <c r="G259" s="326">
        <v>6530800</v>
      </c>
      <c r="H259" s="326">
        <v>510883</v>
      </c>
      <c r="I259" s="326"/>
      <c r="J259" s="328">
        <f t="shared" si="269"/>
        <v>0</v>
      </c>
      <c r="K259" s="326">
        <v>0</v>
      </c>
      <c r="L259" s="458"/>
      <c r="M259" s="458"/>
      <c r="N259" s="458"/>
      <c r="O259" s="459">
        <f t="shared" ref="O259:O274" si="271">K259</f>
        <v>0</v>
      </c>
      <c r="P259" s="328">
        <f t="shared" ref="P259:P266" si="272">+J259+E259</f>
        <v>9067321</v>
      </c>
      <c r="Q259" s="20"/>
      <c r="R259" s="54"/>
    </row>
    <row r="260" spans="1:18" ht="93" hidden="1" thickTop="1" thickBot="1" x14ac:dyDescent="0.25">
      <c r="A260" s="128" t="s">
        <v>627</v>
      </c>
      <c r="B260" s="128" t="s">
        <v>362</v>
      </c>
      <c r="C260" s="128" t="s">
        <v>625</v>
      </c>
      <c r="D260" s="128" t="s">
        <v>626</v>
      </c>
      <c r="E260" s="127">
        <f t="shared" ref="E260:E261" si="273">F260</f>
        <v>0</v>
      </c>
      <c r="F260" s="129">
        <v>0</v>
      </c>
      <c r="G260" s="129"/>
      <c r="H260" s="129"/>
      <c r="I260" s="129"/>
      <c r="J260" s="127">
        <f t="shared" si="269"/>
        <v>0</v>
      </c>
      <c r="K260" s="129"/>
      <c r="L260" s="130"/>
      <c r="M260" s="131"/>
      <c r="N260" s="131"/>
      <c r="O260" s="132">
        <f t="shared" si="271"/>
        <v>0</v>
      </c>
      <c r="P260" s="127">
        <f>+J260+E260</f>
        <v>0</v>
      </c>
      <c r="Q260" s="20"/>
      <c r="R260" s="54"/>
    </row>
    <row r="261" spans="1:18" ht="48" hidden="1" thickTop="1" thickBot="1" x14ac:dyDescent="0.25">
      <c r="A261" s="128" t="s">
        <v>1143</v>
      </c>
      <c r="B261" s="128" t="s">
        <v>43</v>
      </c>
      <c r="C261" s="128" t="s">
        <v>42</v>
      </c>
      <c r="D261" s="128" t="s">
        <v>248</v>
      </c>
      <c r="E261" s="127">
        <f t="shared" si="273"/>
        <v>0</v>
      </c>
      <c r="F261" s="129"/>
      <c r="G261" s="129"/>
      <c r="H261" s="129"/>
      <c r="I261" s="129"/>
      <c r="J261" s="127">
        <f t="shared" si="269"/>
        <v>0</v>
      </c>
      <c r="K261" s="129"/>
      <c r="L261" s="130"/>
      <c r="M261" s="131"/>
      <c r="N261" s="131"/>
      <c r="O261" s="132"/>
      <c r="P261" s="127">
        <f>+J261+E261</f>
        <v>0</v>
      </c>
      <c r="Q261" s="20"/>
      <c r="R261" s="54"/>
    </row>
    <row r="262" spans="1:18" ht="47.25" thickTop="1" thickBot="1" x14ac:dyDescent="0.25">
      <c r="A262" s="311" t="s">
        <v>789</v>
      </c>
      <c r="B262" s="311" t="s">
        <v>742</v>
      </c>
      <c r="C262" s="311"/>
      <c r="D262" s="347" t="s">
        <v>743</v>
      </c>
      <c r="E262" s="328">
        <f>SUM(E263:E269)-E263</f>
        <v>23092600</v>
      </c>
      <c r="F262" s="328">
        <f t="shared" ref="F262:P262" si="274">SUM(F263:F269)-F263</f>
        <v>23092600</v>
      </c>
      <c r="G262" s="328">
        <f t="shared" si="274"/>
        <v>0</v>
      </c>
      <c r="H262" s="328">
        <f t="shared" si="274"/>
        <v>0</v>
      </c>
      <c r="I262" s="328">
        <f t="shared" si="274"/>
        <v>0</v>
      </c>
      <c r="J262" s="328">
        <f>SUM(J263:J269)-J263</f>
        <v>9083813</v>
      </c>
      <c r="K262" s="328">
        <f t="shared" si="274"/>
        <v>9083813</v>
      </c>
      <c r="L262" s="328">
        <f t="shared" si="274"/>
        <v>0</v>
      </c>
      <c r="M262" s="328">
        <f t="shared" si="274"/>
        <v>0</v>
      </c>
      <c r="N262" s="328">
        <f t="shared" si="274"/>
        <v>0</v>
      </c>
      <c r="O262" s="328">
        <f t="shared" si="274"/>
        <v>9083813</v>
      </c>
      <c r="P262" s="328">
        <f t="shared" si="274"/>
        <v>32176413</v>
      </c>
      <c r="Q262" s="20"/>
      <c r="R262" s="54"/>
    </row>
    <row r="263" spans="1:18" s="33" customFormat="1" ht="93" thickTop="1" thickBot="1" x14ac:dyDescent="0.25">
      <c r="A263" s="329" t="s">
        <v>790</v>
      </c>
      <c r="B263" s="329" t="s">
        <v>791</v>
      </c>
      <c r="C263" s="329"/>
      <c r="D263" s="329" t="s">
        <v>792</v>
      </c>
      <c r="E263" s="325">
        <f>SUM(E264:E266)</f>
        <v>6703600</v>
      </c>
      <c r="F263" s="325">
        <f t="shared" ref="F263:P263" si="275">SUM(F264:F266)</f>
        <v>6703600</v>
      </c>
      <c r="G263" s="325">
        <f t="shared" si="275"/>
        <v>0</v>
      </c>
      <c r="H263" s="325">
        <f t="shared" si="275"/>
        <v>0</v>
      </c>
      <c r="I263" s="325">
        <f t="shared" si="275"/>
        <v>0</v>
      </c>
      <c r="J263" s="325">
        <f t="shared" si="275"/>
        <v>8813813</v>
      </c>
      <c r="K263" s="325">
        <f t="shared" si="275"/>
        <v>8813813</v>
      </c>
      <c r="L263" s="325">
        <f t="shared" si="275"/>
        <v>0</v>
      </c>
      <c r="M263" s="325">
        <f t="shared" si="275"/>
        <v>0</v>
      </c>
      <c r="N263" s="325">
        <f t="shared" si="275"/>
        <v>0</v>
      </c>
      <c r="O263" s="325">
        <f t="shared" si="275"/>
        <v>8813813</v>
      </c>
      <c r="P263" s="325">
        <f t="shared" si="275"/>
        <v>15517413</v>
      </c>
      <c r="Q263" s="36"/>
      <c r="R263" s="54"/>
    </row>
    <row r="264" spans="1:18" ht="48" thickTop="1" thickBot="1" x14ac:dyDescent="0.25">
      <c r="A264" s="103" t="s">
        <v>280</v>
      </c>
      <c r="B264" s="103" t="s">
        <v>281</v>
      </c>
      <c r="C264" s="103" t="s">
        <v>340</v>
      </c>
      <c r="D264" s="103" t="s">
        <v>282</v>
      </c>
      <c r="E264" s="312">
        <f>F264</f>
        <v>6703600</v>
      </c>
      <c r="F264" s="326">
        <f>((3162200)+110000)+3431400</f>
        <v>6703600</v>
      </c>
      <c r="G264" s="326"/>
      <c r="H264" s="326"/>
      <c r="I264" s="326"/>
      <c r="J264" s="328">
        <f t="shared" si="269"/>
        <v>3813813</v>
      </c>
      <c r="K264" s="326">
        <f>((200000)+1134400)+2479413</f>
        <v>3813813</v>
      </c>
      <c r="L264" s="458"/>
      <c r="M264" s="458"/>
      <c r="N264" s="458"/>
      <c r="O264" s="459">
        <f t="shared" si="271"/>
        <v>3813813</v>
      </c>
      <c r="P264" s="328">
        <f t="shared" si="272"/>
        <v>10517413</v>
      </c>
      <c r="Q264" s="20"/>
      <c r="R264" s="54"/>
    </row>
    <row r="265" spans="1:18" ht="48" thickTop="1" thickBot="1" x14ac:dyDescent="0.25">
      <c r="A265" s="103" t="s">
        <v>301</v>
      </c>
      <c r="B265" s="103" t="s">
        <v>302</v>
      </c>
      <c r="C265" s="103" t="s">
        <v>283</v>
      </c>
      <c r="D265" s="103" t="s">
        <v>303</v>
      </c>
      <c r="E265" s="312">
        <f t="shared" ref="E265:E277" si="276">F265</f>
        <v>0</v>
      </c>
      <c r="F265" s="326"/>
      <c r="G265" s="326"/>
      <c r="H265" s="326"/>
      <c r="I265" s="326"/>
      <c r="J265" s="328">
        <f t="shared" si="269"/>
        <v>5000000</v>
      </c>
      <c r="K265" s="326">
        <f>((2000000)+2000000)+1000000</f>
        <v>5000000</v>
      </c>
      <c r="L265" s="458"/>
      <c r="M265" s="458"/>
      <c r="N265" s="458"/>
      <c r="O265" s="459">
        <f t="shared" si="271"/>
        <v>5000000</v>
      </c>
      <c r="P265" s="328">
        <f t="shared" si="272"/>
        <v>5000000</v>
      </c>
      <c r="Q265" s="20"/>
      <c r="R265" s="54"/>
    </row>
    <row r="266" spans="1:18" ht="93" hidden="1" thickTop="1" thickBot="1" x14ac:dyDescent="0.25">
      <c r="A266" s="128" t="s">
        <v>284</v>
      </c>
      <c r="B266" s="128" t="s">
        <v>285</v>
      </c>
      <c r="C266" s="128" t="s">
        <v>283</v>
      </c>
      <c r="D266" s="128" t="s">
        <v>466</v>
      </c>
      <c r="E266" s="152">
        <f t="shared" si="276"/>
        <v>0</v>
      </c>
      <c r="F266" s="129">
        <f>(((16700000-15000000)-1000000)-700000)+2500000-2500000</f>
        <v>0</v>
      </c>
      <c r="G266" s="129"/>
      <c r="H266" s="129"/>
      <c r="I266" s="129"/>
      <c r="J266" s="127">
        <f t="shared" si="269"/>
        <v>0</v>
      </c>
      <c r="K266" s="129">
        <v>0</v>
      </c>
      <c r="L266" s="130"/>
      <c r="M266" s="130"/>
      <c r="N266" s="130"/>
      <c r="O266" s="132">
        <f t="shared" si="271"/>
        <v>0</v>
      </c>
      <c r="P266" s="127">
        <f t="shared" si="272"/>
        <v>0</v>
      </c>
      <c r="Q266" s="20"/>
      <c r="R266" s="54"/>
    </row>
    <row r="267" spans="1:18" ht="138.75" thickTop="1" thickBot="1" x14ac:dyDescent="0.25">
      <c r="A267" s="103" t="s">
        <v>929</v>
      </c>
      <c r="B267" s="103" t="s">
        <v>297</v>
      </c>
      <c r="C267" s="103" t="s">
        <v>283</v>
      </c>
      <c r="D267" s="103" t="s">
        <v>298</v>
      </c>
      <c r="E267" s="312">
        <f t="shared" ref="E267" si="277">F267</f>
        <v>6340000</v>
      </c>
      <c r="F267" s="326">
        <f>(5500000)+420000+420000</f>
        <v>6340000</v>
      </c>
      <c r="G267" s="326"/>
      <c r="H267" s="326"/>
      <c r="I267" s="326"/>
      <c r="J267" s="328">
        <f t="shared" ref="J267" si="278">L267+O267</f>
        <v>0</v>
      </c>
      <c r="K267" s="326"/>
      <c r="L267" s="458"/>
      <c r="M267" s="458"/>
      <c r="N267" s="458"/>
      <c r="O267" s="459">
        <f t="shared" ref="O267" si="279">K267</f>
        <v>0</v>
      </c>
      <c r="P267" s="328">
        <f t="shared" ref="P267" si="280">+J267+E267</f>
        <v>6340000</v>
      </c>
      <c r="Q267" s="20"/>
      <c r="R267" s="54"/>
    </row>
    <row r="268" spans="1:18" ht="48" thickTop="1" thickBot="1" x14ac:dyDescent="0.25">
      <c r="A268" s="103" t="s">
        <v>288</v>
      </c>
      <c r="B268" s="103" t="s">
        <v>289</v>
      </c>
      <c r="C268" s="103" t="s">
        <v>283</v>
      </c>
      <c r="D268" s="103" t="s">
        <v>290</v>
      </c>
      <c r="E268" s="312">
        <f t="shared" si="276"/>
        <v>8000000</v>
      </c>
      <c r="F268" s="326">
        <f>(5000000)+3000000</f>
        <v>8000000</v>
      </c>
      <c r="G268" s="326"/>
      <c r="H268" s="326"/>
      <c r="I268" s="326"/>
      <c r="J268" s="328">
        <f t="shared" si="269"/>
        <v>270000</v>
      </c>
      <c r="K268" s="462">
        <f>(0)+270000</f>
        <v>270000</v>
      </c>
      <c r="L268" s="326"/>
      <c r="M268" s="326"/>
      <c r="N268" s="326"/>
      <c r="O268" s="459">
        <f t="shared" si="271"/>
        <v>270000</v>
      </c>
      <c r="P268" s="328">
        <f t="shared" ref="P268" si="281">E268+J268</f>
        <v>8270000</v>
      </c>
      <c r="Q268" s="20"/>
      <c r="R268" s="50"/>
    </row>
    <row r="269" spans="1:18" ht="48" thickTop="1" thickBot="1" x14ac:dyDescent="0.25">
      <c r="A269" s="103" t="s">
        <v>1261</v>
      </c>
      <c r="B269" s="103" t="s">
        <v>1149</v>
      </c>
      <c r="C269" s="103" t="s">
        <v>1150</v>
      </c>
      <c r="D269" s="103" t="s">
        <v>1147</v>
      </c>
      <c r="E269" s="312">
        <f t="shared" ref="E269" si="282">F269</f>
        <v>2049000</v>
      </c>
      <c r="F269" s="326">
        <v>2049000</v>
      </c>
      <c r="G269" s="326"/>
      <c r="H269" s="326"/>
      <c r="I269" s="326"/>
      <c r="J269" s="328">
        <f t="shared" ref="J269" si="283">L269+O269</f>
        <v>0</v>
      </c>
      <c r="K269" s="462"/>
      <c r="L269" s="326"/>
      <c r="M269" s="326"/>
      <c r="N269" s="326"/>
      <c r="O269" s="459">
        <f t="shared" ref="O269" si="284">K269</f>
        <v>0</v>
      </c>
      <c r="P269" s="328">
        <f t="shared" ref="P269" si="285">E269+J269</f>
        <v>2049000</v>
      </c>
      <c r="Q269" s="20"/>
      <c r="R269" s="50"/>
    </row>
    <row r="270" spans="1:18" ht="47.25" thickTop="1" thickBot="1" x14ac:dyDescent="0.25">
      <c r="A270" s="311" t="s">
        <v>793</v>
      </c>
      <c r="B270" s="311" t="s">
        <v>748</v>
      </c>
      <c r="C270" s="311"/>
      <c r="D270" s="311" t="s">
        <v>794</v>
      </c>
      <c r="E270" s="312">
        <f>E273+E271</f>
        <v>3674517</v>
      </c>
      <c r="F270" s="312">
        <f t="shared" ref="F270:P270" si="286">F273+F271</f>
        <v>3674517</v>
      </c>
      <c r="G270" s="312">
        <f t="shared" si="286"/>
        <v>0</v>
      </c>
      <c r="H270" s="312">
        <f t="shared" si="286"/>
        <v>0</v>
      </c>
      <c r="I270" s="312">
        <f t="shared" si="286"/>
        <v>0</v>
      </c>
      <c r="J270" s="312">
        <f t="shared" si="286"/>
        <v>2600000</v>
      </c>
      <c r="K270" s="312">
        <f t="shared" si="286"/>
        <v>2600000</v>
      </c>
      <c r="L270" s="312">
        <f t="shared" si="286"/>
        <v>0</v>
      </c>
      <c r="M270" s="312">
        <f t="shared" si="286"/>
        <v>0</v>
      </c>
      <c r="N270" s="312">
        <f t="shared" si="286"/>
        <v>0</v>
      </c>
      <c r="O270" s="312">
        <f t="shared" si="286"/>
        <v>2600000</v>
      </c>
      <c r="P270" s="312">
        <f t="shared" si="286"/>
        <v>6274517</v>
      </c>
      <c r="Q270" s="20"/>
      <c r="R270" s="50"/>
    </row>
    <row r="271" spans="1:18" ht="47.25" thickTop="1" thickBot="1" x14ac:dyDescent="0.25">
      <c r="A271" s="313" t="s">
        <v>1145</v>
      </c>
      <c r="B271" s="313" t="s">
        <v>803</v>
      </c>
      <c r="C271" s="313"/>
      <c r="D271" s="313" t="s">
        <v>804</v>
      </c>
      <c r="E271" s="314">
        <f>E272</f>
        <v>0</v>
      </c>
      <c r="F271" s="314">
        <f t="shared" ref="F271:P271" si="287">F272</f>
        <v>0</v>
      </c>
      <c r="G271" s="314">
        <f t="shared" si="287"/>
        <v>0</v>
      </c>
      <c r="H271" s="314">
        <f t="shared" si="287"/>
        <v>0</v>
      </c>
      <c r="I271" s="314">
        <f t="shared" si="287"/>
        <v>0</v>
      </c>
      <c r="J271" s="314">
        <f t="shared" si="287"/>
        <v>1000000</v>
      </c>
      <c r="K271" s="314">
        <f t="shared" si="287"/>
        <v>1000000</v>
      </c>
      <c r="L271" s="314">
        <f t="shared" si="287"/>
        <v>0</v>
      </c>
      <c r="M271" s="314">
        <f t="shared" si="287"/>
        <v>0</v>
      </c>
      <c r="N271" s="314">
        <f t="shared" si="287"/>
        <v>0</v>
      </c>
      <c r="O271" s="314">
        <f t="shared" si="287"/>
        <v>1000000</v>
      </c>
      <c r="P271" s="314">
        <f t="shared" si="287"/>
        <v>1000000</v>
      </c>
      <c r="Q271" s="20"/>
      <c r="R271" s="50"/>
    </row>
    <row r="272" spans="1:18" ht="54" thickTop="1" thickBot="1" x14ac:dyDescent="0.25">
      <c r="A272" s="103" t="s">
        <v>1146</v>
      </c>
      <c r="B272" s="103" t="s">
        <v>305</v>
      </c>
      <c r="C272" s="103" t="s">
        <v>304</v>
      </c>
      <c r="D272" s="103" t="s">
        <v>1502</v>
      </c>
      <c r="E272" s="312">
        <f t="shared" ref="E272" si="288">F272</f>
        <v>0</v>
      </c>
      <c r="F272" s="326"/>
      <c r="G272" s="326"/>
      <c r="H272" s="326"/>
      <c r="I272" s="326"/>
      <c r="J272" s="328">
        <f>L272+O272</f>
        <v>1000000</v>
      </c>
      <c r="K272" s="462">
        <f>(300000)+700000</f>
        <v>1000000</v>
      </c>
      <c r="L272" s="326"/>
      <c r="M272" s="326"/>
      <c r="N272" s="326"/>
      <c r="O272" s="459">
        <f>K272</f>
        <v>1000000</v>
      </c>
      <c r="P272" s="328">
        <f t="shared" ref="P272" si="289">E272+J272</f>
        <v>1000000</v>
      </c>
      <c r="Q272" s="20"/>
      <c r="R272" s="50"/>
    </row>
    <row r="273" spans="1:18" ht="47.25" thickTop="1" thickBot="1" x14ac:dyDescent="0.25">
      <c r="A273" s="313" t="s">
        <v>795</v>
      </c>
      <c r="B273" s="313" t="s">
        <v>691</v>
      </c>
      <c r="C273" s="313"/>
      <c r="D273" s="313" t="s">
        <v>689</v>
      </c>
      <c r="E273" s="314">
        <f>E274+E276+E275</f>
        <v>3674517</v>
      </c>
      <c r="F273" s="314">
        <f t="shared" ref="F273:P273" si="290">F274+F276+F275</f>
        <v>3674517</v>
      </c>
      <c r="G273" s="314">
        <f t="shared" si="290"/>
        <v>0</v>
      </c>
      <c r="H273" s="314">
        <f t="shared" si="290"/>
        <v>0</v>
      </c>
      <c r="I273" s="314">
        <f t="shared" si="290"/>
        <v>0</v>
      </c>
      <c r="J273" s="314">
        <f>J274+J276+J275</f>
        <v>1600000</v>
      </c>
      <c r="K273" s="314">
        <f t="shared" si="290"/>
        <v>1600000</v>
      </c>
      <c r="L273" s="314">
        <f t="shared" si="290"/>
        <v>0</v>
      </c>
      <c r="M273" s="314">
        <f t="shared" si="290"/>
        <v>0</v>
      </c>
      <c r="N273" s="314">
        <f t="shared" si="290"/>
        <v>0</v>
      </c>
      <c r="O273" s="314">
        <f t="shared" si="290"/>
        <v>1600000</v>
      </c>
      <c r="P273" s="314">
        <f t="shared" si="290"/>
        <v>5274517</v>
      </c>
      <c r="Q273" s="20"/>
      <c r="R273" s="50"/>
    </row>
    <row r="274" spans="1:18" ht="48" thickTop="1" thickBot="1" x14ac:dyDescent="0.25">
      <c r="A274" s="103" t="s">
        <v>296</v>
      </c>
      <c r="B274" s="103" t="s">
        <v>212</v>
      </c>
      <c r="C274" s="103" t="s">
        <v>213</v>
      </c>
      <c r="D274" s="103" t="s">
        <v>41</v>
      </c>
      <c r="E274" s="312">
        <f t="shared" si="276"/>
        <v>3674517</v>
      </c>
      <c r="F274" s="326">
        <f>(2000000)+1674517</f>
        <v>3674517</v>
      </c>
      <c r="G274" s="326"/>
      <c r="H274" s="326"/>
      <c r="I274" s="326"/>
      <c r="J274" s="328">
        <f t="shared" si="269"/>
        <v>0</v>
      </c>
      <c r="K274" s="462"/>
      <c r="L274" s="326"/>
      <c r="M274" s="326"/>
      <c r="N274" s="326"/>
      <c r="O274" s="459">
        <f t="shared" si="271"/>
        <v>0</v>
      </c>
      <c r="P274" s="328">
        <f>E274+J274</f>
        <v>3674517</v>
      </c>
      <c r="Q274" s="20"/>
      <c r="R274" s="54"/>
    </row>
    <row r="275" spans="1:18" ht="48" thickTop="1" thickBot="1" x14ac:dyDescent="0.25">
      <c r="A275" s="103" t="s">
        <v>918</v>
      </c>
      <c r="B275" s="103" t="s">
        <v>197</v>
      </c>
      <c r="C275" s="103" t="s">
        <v>170</v>
      </c>
      <c r="D275" s="103" t="s">
        <v>34</v>
      </c>
      <c r="E275" s="312">
        <f t="shared" ref="E275" si="291">F275</f>
        <v>0</v>
      </c>
      <c r="F275" s="326"/>
      <c r="G275" s="326"/>
      <c r="H275" s="326"/>
      <c r="I275" s="326"/>
      <c r="J275" s="328">
        <f t="shared" ref="J275" si="292">L275+O275</f>
        <v>1600000</v>
      </c>
      <c r="K275" s="462">
        <f>(300000)+1300000</f>
        <v>1600000</v>
      </c>
      <c r="L275" s="326"/>
      <c r="M275" s="326"/>
      <c r="N275" s="326"/>
      <c r="O275" s="459">
        <f t="shared" ref="O275" si="293">K275</f>
        <v>1600000</v>
      </c>
      <c r="P275" s="328">
        <f>E275+J275</f>
        <v>1600000</v>
      </c>
      <c r="Q275" s="20"/>
      <c r="R275" s="54"/>
    </row>
    <row r="276" spans="1:18" ht="48" hidden="1" thickTop="1" thickBot="1" x14ac:dyDescent="0.25">
      <c r="A276" s="140" t="s">
        <v>796</v>
      </c>
      <c r="B276" s="140" t="s">
        <v>694</v>
      </c>
      <c r="C276" s="140"/>
      <c r="D276" s="140" t="s">
        <v>797</v>
      </c>
      <c r="E276" s="158">
        <f>E277</f>
        <v>0</v>
      </c>
      <c r="F276" s="158">
        <f t="shared" ref="F276:P276" si="294">F277</f>
        <v>0</v>
      </c>
      <c r="G276" s="158">
        <f t="shared" si="294"/>
        <v>0</v>
      </c>
      <c r="H276" s="158">
        <f t="shared" si="294"/>
        <v>0</v>
      </c>
      <c r="I276" s="158">
        <f t="shared" si="294"/>
        <v>0</v>
      </c>
      <c r="J276" s="158">
        <f t="shared" si="294"/>
        <v>0</v>
      </c>
      <c r="K276" s="158">
        <f t="shared" si="294"/>
        <v>0</v>
      </c>
      <c r="L276" s="158">
        <f t="shared" si="294"/>
        <v>0</v>
      </c>
      <c r="M276" s="158">
        <f t="shared" si="294"/>
        <v>0</v>
      </c>
      <c r="N276" s="158">
        <f t="shared" si="294"/>
        <v>0</v>
      </c>
      <c r="O276" s="158">
        <f t="shared" si="294"/>
        <v>0</v>
      </c>
      <c r="P276" s="158">
        <f t="shared" si="294"/>
        <v>0</v>
      </c>
      <c r="Q276" s="20"/>
      <c r="R276" s="50"/>
    </row>
    <row r="277" spans="1:18" ht="214.5" hidden="1" customHeight="1" thickTop="1" thickBot="1" x14ac:dyDescent="0.7">
      <c r="A277" s="797" t="s">
        <v>424</v>
      </c>
      <c r="B277" s="797" t="s">
        <v>338</v>
      </c>
      <c r="C277" s="797" t="s">
        <v>170</v>
      </c>
      <c r="D277" s="155" t="s">
        <v>440</v>
      </c>
      <c r="E277" s="800">
        <f t="shared" si="276"/>
        <v>0</v>
      </c>
      <c r="F277" s="781"/>
      <c r="G277" s="781"/>
      <c r="H277" s="781"/>
      <c r="I277" s="781"/>
      <c r="J277" s="800">
        <f t="shared" si="269"/>
        <v>0</v>
      </c>
      <c r="K277" s="781"/>
      <c r="L277" s="781">
        <v>0</v>
      </c>
      <c r="M277" s="781"/>
      <c r="N277" s="781"/>
      <c r="O277" s="785">
        <f>((K277+884000)-450000)-434000</f>
        <v>0</v>
      </c>
      <c r="P277" s="782">
        <f>E277+J277</f>
        <v>0</v>
      </c>
      <c r="Q277" s="20"/>
      <c r="R277" s="50"/>
    </row>
    <row r="278" spans="1:18" ht="93" hidden="1" thickTop="1" thickBot="1" x14ac:dyDescent="0.25">
      <c r="A278" s="797"/>
      <c r="B278" s="797"/>
      <c r="C278" s="797"/>
      <c r="D278" s="156" t="s">
        <v>441</v>
      </c>
      <c r="E278" s="800"/>
      <c r="F278" s="781"/>
      <c r="G278" s="781"/>
      <c r="H278" s="781"/>
      <c r="I278" s="781"/>
      <c r="J278" s="800"/>
      <c r="K278" s="781"/>
      <c r="L278" s="781"/>
      <c r="M278" s="781"/>
      <c r="N278" s="781"/>
      <c r="O278" s="785"/>
      <c r="P278" s="782"/>
      <c r="Q278" s="20"/>
      <c r="R278" s="50"/>
    </row>
    <row r="279" spans="1:18" ht="47.25" thickTop="1" thickBot="1" x14ac:dyDescent="0.25">
      <c r="A279" s="311" t="s">
        <v>1230</v>
      </c>
      <c r="B279" s="311" t="s">
        <v>696</v>
      </c>
      <c r="C279" s="311"/>
      <c r="D279" s="311" t="s">
        <v>697</v>
      </c>
      <c r="E279" s="328">
        <f>E282+E280</f>
        <v>2927223</v>
      </c>
      <c r="F279" s="328">
        <f t="shared" ref="F279:I279" si="295">F282+F280</f>
        <v>2927223</v>
      </c>
      <c r="G279" s="328">
        <f t="shared" si="295"/>
        <v>0</v>
      </c>
      <c r="H279" s="328">
        <f t="shared" si="295"/>
        <v>0</v>
      </c>
      <c r="I279" s="328">
        <f t="shared" si="295"/>
        <v>0</v>
      </c>
      <c r="J279" s="328">
        <f>J282+J280</f>
        <v>0</v>
      </c>
      <c r="K279" s="328">
        <f t="shared" ref="K279:N279" si="296">K282+K280</f>
        <v>0</v>
      </c>
      <c r="L279" s="328">
        <f t="shared" si="296"/>
        <v>0</v>
      </c>
      <c r="M279" s="328">
        <f t="shared" si="296"/>
        <v>0</v>
      </c>
      <c r="N279" s="328">
        <f t="shared" si="296"/>
        <v>0</v>
      </c>
      <c r="O279" s="328">
        <f>O282+O280</f>
        <v>0</v>
      </c>
      <c r="P279" s="328">
        <f>P282+P280</f>
        <v>2927223</v>
      </c>
      <c r="Q279" s="20"/>
      <c r="R279" s="50"/>
    </row>
    <row r="280" spans="1:18" ht="47.25" thickTop="1" thickBot="1" x14ac:dyDescent="0.25">
      <c r="A280" s="313" t="s">
        <v>1500</v>
      </c>
      <c r="B280" s="313" t="s">
        <v>812</v>
      </c>
      <c r="C280" s="313"/>
      <c r="D280" s="356" t="s">
        <v>1281</v>
      </c>
      <c r="E280" s="315">
        <f>SUM(E281:E283)</f>
        <v>2927223</v>
      </c>
      <c r="F280" s="315">
        <f t="shared" ref="F280:P280" si="297">SUM(F281:F283)</f>
        <v>2927223</v>
      </c>
      <c r="G280" s="315">
        <f t="shared" si="297"/>
        <v>0</v>
      </c>
      <c r="H280" s="315">
        <f t="shared" si="297"/>
        <v>0</v>
      </c>
      <c r="I280" s="315">
        <f t="shared" si="297"/>
        <v>0</v>
      </c>
      <c r="J280" s="315">
        <f t="shared" si="297"/>
        <v>0</v>
      </c>
      <c r="K280" s="315">
        <f t="shared" si="297"/>
        <v>0</v>
      </c>
      <c r="L280" s="315">
        <f t="shared" si="297"/>
        <v>0</v>
      </c>
      <c r="M280" s="315">
        <f t="shared" si="297"/>
        <v>0</v>
      </c>
      <c r="N280" s="315">
        <f t="shared" si="297"/>
        <v>0</v>
      </c>
      <c r="O280" s="315">
        <f t="shared" si="297"/>
        <v>0</v>
      </c>
      <c r="P280" s="315">
        <f t="shared" si="297"/>
        <v>2927223</v>
      </c>
      <c r="Q280" s="20"/>
      <c r="R280" s="50"/>
    </row>
    <row r="281" spans="1:18" ht="93" thickTop="1" thickBot="1" x14ac:dyDescent="0.25">
      <c r="A281" s="103" t="s">
        <v>1501</v>
      </c>
      <c r="B281" s="103" t="s">
        <v>518</v>
      </c>
      <c r="C281" s="103" t="s">
        <v>251</v>
      </c>
      <c r="D281" s="103" t="s">
        <v>519</v>
      </c>
      <c r="E281" s="312">
        <f>F281</f>
        <v>2927223</v>
      </c>
      <c r="F281" s="326">
        <f>((2812463)+37273)+77487</f>
        <v>2927223</v>
      </c>
      <c r="G281" s="326"/>
      <c r="H281" s="326"/>
      <c r="I281" s="326"/>
      <c r="J281" s="328">
        <f>L281+O281</f>
        <v>0</v>
      </c>
      <c r="K281" s="462"/>
      <c r="L281" s="326"/>
      <c r="M281" s="326"/>
      <c r="N281" s="326"/>
      <c r="O281" s="459">
        <f>K281</f>
        <v>0</v>
      </c>
      <c r="P281" s="328">
        <f>E281+J281</f>
        <v>2927223</v>
      </c>
      <c r="Q281" s="20"/>
      <c r="R281" s="50"/>
    </row>
    <row r="282" spans="1:18" ht="47.25" hidden="1" thickTop="1" thickBot="1" x14ac:dyDescent="0.25">
      <c r="A282" s="136" t="s">
        <v>1231</v>
      </c>
      <c r="B282" s="136" t="s">
        <v>1186</v>
      </c>
      <c r="C282" s="136"/>
      <c r="D282" s="136" t="s">
        <v>1184</v>
      </c>
      <c r="E282" s="137">
        <f t="shared" ref="E282:P282" si="298">SUM(E283:E283)</f>
        <v>0</v>
      </c>
      <c r="F282" s="137">
        <f t="shared" si="298"/>
        <v>0</v>
      </c>
      <c r="G282" s="137">
        <f t="shared" si="298"/>
        <v>0</v>
      </c>
      <c r="H282" s="137">
        <f t="shared" si="298"/>
        <v>0</v>
      </c>
      <c r="I282" s="137">
        <f t="shared" si="298"/>
        <v>0</v>
      </c>
      <c r="J282" s="137">
        <f t="shared" si="298"/>
        <v>0</v>
      </c>
      <c r="K282" s="137">
        <f t="shared" si="298"/>
        <v>0</v>
      </c>
      <c r="L282" s="137">
        <f t="shared" si="298"/>
        <v>0</v>
      </c>
      <c r="M282" s="137">
        <f t="shared" si="298"/>
        <v>0</v>
      </c>
      <c r="N282" s="137">
        <f t="shared" si="298"/>
        <v>0</v>
      </c>
      <c r="O282" s="137">
        <f t="shared" si="298"/>
        <v>0</v>
      </c>
      <c r="P282" s="137">
        <f t="shared" si="298"/>
        <v>0</v>
      </c>
      <c r="Q282" s="20"/>
      <c r="R282" s="50"/>
    </row>
    <row r="283" spans="1:18" ht="48" hidden="1" thickTop="1" thickBot="1" x14ac:dyDescent="0.25">
      <c r="A283" s="128" t="s">
        <v>1232</v>
      </c>
      <c r="B283" s="128" t="s">
        <v>1213</v>
      </c>
      <c r="C283" s="128" t="s">
        <v>1188</v>
      </c>
      <c r="D283" s="128" t="s">
        <v>1214</v>
      </c>
      <c r="E283" s="127">
        <f>F283</f>
        <v>0</v>
      </c>
      <c r="F283" s="134"/>
      <c r="G283" s="134"/>
      <c r="H283" s="134"/>
      <c r="I283" s="134"/>
      <c r="J283" s="127">
        <f>L283+O283</f>
        <v>0</v>
      </c>
      <c r="K283" s="134"/>
      <c r="L283" s="134"/>
      <c r="M283" s="134"/>
      <c r="N283" s="134"/>
      <c r="O283" s="132">
        <f>K283</f>
        <v>0</v>
      </c>
      <c r="P283" s="127">
        <f>E283+J283</f>
        <v>0</v>
      </c>
      <c r="Q283" s="20"/>
      <c r="R283" s="50"/>
    </row>
    <row r="284" spans="1:18" ht="120" customHeight="1" thickTop="1" thickBot="1" x14ac:dyDescent="0.25">
      <c r="A284" s="661" t="s">
        <v>540</v>
      </c>
      <c r="B284" s="661"/>
      <c r="C284" s="661"/>
      <c r="D284" s="662" t="s">
        <v>559</v>
      </c>
      <c r="E284" s="663">
        <f>E285</f>
        <v>399126325</v>
      </c>
      <c r="F284" s="664">
        <f t="shared" ref="F284:G284" si="299">F285</f>
        <v>399126325</v>
      </c>
      <c r="G284" s="664">
        <f t="shared" si="299"/>
        <v>8690079</v>
      </c>
      <c r="H284" s="664">
        <f>H285</f>
        <v>239084</v>
      </c>
      <c r="I284" s="664">
        <f t="shared" ref="I284" si="300">I285</f>
        <v>0</v>
      </c>
      <c r="J284" s="663">
        <f>J285</f>
        <v>30711159</v>
      </c>
      <c r="K284" s="664">
        <f>K285</f>
        <v>30711159</v>
      </c>
      <c r="L284" s="664">
        <f>L285</f>
        <v>0</v>
      </c>
      <c r="M284" s="664">
        <f t="shared" ref="M284" si="301">M285</f>
        <v>0</v>
      </c>
      <c r="N284" s="664">
        <f>N285</f>
        <v>0</v>
      </c>
      <c r="O284" s="663">
        <f>O285</f>
        <v>30711159</v>
      </c>
      <c r="P284" s="664">
        <f>P285</f>
        <v>429837484</v>
      </c>
      <c r="Q284" s="20"/>
      <c r="R284" s="50"/>
    </row>
    <row r="285" spans="1:18" ht="120" customHeight="1" thickTop="1" thickBot="1" x14ac:dyDescent="0.25">
      <c r="A285" s="658" t="s">
        <v>541</v>
      </c>
      <c r="B285" s="658"/>
      <c r="C285" s="658"/>
      <c r="D285" s="659" t="s">
        <v>560</v>
      </c>
      <c r="E285" s="660">
        <f>E286+E290+E298+E311+E316</f>
        <v>399126325</v>
      </c>
      <c r="F285" s="660">
        <f>F286+F290+F298+F311+F316</f>
        <v>399126325</v>
      </c>
      <c r="G285" s="660">
        <f>G286+G290+G298+G311+G316</f>
        <v>8690079</v>
      </c>
      <c r="H285" s="660">
        <f>H286+H290+H298+H311+H316</f>
        <v>239084</v>
      </c>
      <c r="I285" s="660">
        <f>I286+I290+I298+I311+I316</f>
        <v>0</v>
      </c>
      <c r="J285" s="660">
        <f t="shared" ref="J285:J308" si="302">L285+O285</f>
        <v>30711159</v>
      </c>
      <c r="K285" s="660">
        <f>K286+K290+K298+K311+K316</f>
        <v>30711159</v>
      </c>
      <c r="L285" s="660">
        <f>L286+L290+L298+L311+L316</f>
        <v>0</v>
      </c>
      <c r="M285" s="660">
        <f>M286+M290+M298+M311+M316</f>
        <v>0</v>
      </c>
      <c r="N285" s="660">
        <f>N286+N290+N298+N311+N316</f>
        <v>0</v>
      </c>
      <c r="O285" s="660">
        <f>O286+O290+O298+O311+O316</f>
        <v>30711159</v>
      </c>
      <c r="P285" s="660">
        <f>E285+J285</f>
        <v>429837484</v>
      </c>
      <c r="Q285" s="503" t="b">
        <f>P285=P287+P292+P293+P295+P296+P297+P300+P303+P305+P306+P313+P314</f>
        <v>1</v>
      </c>
      <c r="R285" s="45"/>
    </row>
    <row r="286" spans="1:18" ht="47.25" thickTop="1" thickBot="1" x14ac:dyDescent="0.25">
      <c r="A286" s="311" t="s">
        <v>798</v>
      </c>
      <c r="B286" s="311" t="s">
        <v>684</v>
      </c>
      <c r="C286" s="311"/>
      <c r="D286" s="311" t="s">
        <v>685</v>
      </c>
      <c r="E286" s="328">
        <f>SUM(E287:E289)</f>
        <v>8901631</v>
      </c>
      <c r="F286" s="328">
        <f t="shared" ref="F286:P286" si="303">SUM(F287:F289)</f>
        <v>8901631</v>
      </c>
      <c r="G286" s="328">
        <f t="shared" si="303"/>
        <v>6736115</v>
      </c>
      <c r="H286" s="328">
        <f t="shared" si="303"/>
        <v>180204</v>
      </c>
      <c r="I286" s="328">
        <f t="shared" si="303"/>
        <v>0</v>
      </c>
      <c r="J286" s="328">
        <f t="shared" si="303"/>
        <v>39000</v>
      </c>
      <c r="K286" s="328">
        <f t="shared" si="303"/>
        <v>39000</v>
      </c>
      <c r="L286" s="328">
        <f t="shared" si="303"/>
        <v>0</v>
      </c>
      <c r="M286" s="328">
        <f t="shared" si="303"/>
        <v>0</v>
      </c>
      <c r="N286" s="328">
        <f t="shared" si="303"/>
        <v>0</v>
      </c>
      <c r="O286" s="328">
        <f t="shared" si="303"/>
        <v>39000</v>
      </c>
      <c r="P286" s="328">
        <f t="shared" si="303"/>
        <v>8940631</v>
      </c>
      <c r="Q286" s="47"/>
      <c r="R286" s="45"/>
    </row>
    <row r="287" spans="1:18" ht="93" thickTop="1" thickBot="1" x14ac:dyDescent="0.25">
      <c r="A287" s="103" t="s">
        <v>542</v>
      </c>
      <c r="B287" s="103" t="s">
        <v>236</v>
      </c>
      <c r="C287" s="103" t="s">
        <v>234</v>
      </c>
      <c r="D287" s="103" t="s">
        <v>235</v>
      </c>
      <c r="E287" s="312">
        <f>F287</f>
        <v>8901631</v>
      </c>
      <c r="F287" s="326">
        <v>8901631</v>
      </c>
      <c r="G287" s="326">
        <v>6736115</v>
      </c>
      <c r="H287" s="326">
        <v>180204</v>
      </c>
      <c r="I287" s="326"/>
      <c r="J287" s="328">
        <f t="shared" si="302"/>
        <v>39000</v>
      </c>
      <c r="K287" s="326">
        <v>39000</v>
      </c>
      <c r="L287" s="458"/>
      <c r="M287" s="458"/>
      <c r="N287" s="458"/>
      <c r="O287" s="459">
        <f t="shared" ref="O287:O306" si="304">K287</f>
        <v>39000</v>
      </c>
      <c r="P287" s="328">
        <f t="shared" ref="P287:P293" si="305">+J287+E287</f>
        <v>8940631</v>
      </c>
      <c r="Q287" s="20"/>
      <c r="R287" s="45"/>
    </row>
    <row r="288" spans="1:18" ht="93" hidden="1" thickTop="1" thickBot="1" x14ac:dyDescent="0.25">
      <c r="A288" s="128" t="s">
        <v>629</v>
      </c>
      <c r="B288" s="128" t="s">
        <v>362</v>
      </c>
      <c r="C288" s="128" t="s">
        <v>625</v>
      </c>
      <c r="D288" s="128" t="s">
        <v>626</v>
      </c>
      <c r="E288" s="152">
        <f>F288</f>
        <v>0</v>
      </c>
      <c r="F288" s="129"/>
      <c r="G288" s="129"/>
      <c r="H288" s="129"/>
      <c r="I288" s="129"/>
      <c r="J288" s="127">
        <f t="shared" ref="J288" si="306">L288+O288</f>
        <v>0</v>
      </c>
      <c r="K288" s="129"/>
      <c r="L288" s="130"/>
      <c r="M288" s="130"/>
      <c r="N288" s="130"/>
      <c r="O288" s="132">
        <f t="shared" ref="O288" si="307">K288</f>
        <v>0</v>
      </c>
      <c r="P288" s="127">
        <f t="shared" ref="P288" si="308">+J288+E288</f>
        <v>0</v>
      </c>
      <c r="Q288" s="20"/>
      <c r="R288" s="45"/>
    </row>
    <row r="289" spans="1:18" ht="48" hidden="1" thickTop="1" thickBot="1" x14ac:dyDescent="0.25">
      <c r="A289" s="128" t="s">
        <v>543</v>
      </c>
      <c r="B289" s="128" t="s">
        <v>43</v>
      </c>
      <c r="C289" s="128" t="s">
        <v>42</v>
      </c>
      <c r="D289" s="128" t="s">
        <v>248</v>
      </c>
      <c r="E289" s="152">
        <f>F289</f>
        <v>0</v>
      </c>
      <c r="F289" s="129">
        <v>0</v>
      </c>
      <c r="G289" s="129"/>
      <c r="H289" s="129"/>
      <c r="I289" s="129"/>
      <c r="J289" s="127">
        <f t="shared" si="302"/>
        <v>0</v>
      </c>
      <c r="K289" s="129"/>
      <c r="L289" s="130"/>
      <c r="M289" s="130"/>
      <c r="N289" s="130"/>
      <c r="O289" s="132">
        <f t="shared" si="304"/>
        <v>0</v>
      </c>
      <c r="P289" s="127">
        <f t="shared" si="305"/>
        <v>0</v>
      </c>
      <c r="Q289" s="20"/>
      <c r="R289" s="50"/>
    </row>
    <row r="290" spans="1:18" ht="47.25" thickTop="1" thickBot="1" x14ac:dyDescent="0.25">
      <c r="A290" s="311" t="s">
        <v>799</v>
      </c>
      <c r="B290" s="311" t="s">
        <v>742</v>
      </c>
      <c r="C290" s="311"/>
      <c r="D290" s="347" t="s">
        <v>743</v>
      </c>
      <c r="E290" s="312">
        <f>SUM(E291:E297)-E291</f>
        <v>385709549</v>
      </c>
      <c r="F290" s="312">
        <f t="shared" ref="F290:P290" si="309">SUM(F291:F297)-F291</f>
        <v>385709549</v>
      </c>
      <c r="G290" s="312">
        <f t="shared" si="309"/>
        <v>0</v>
      </c>
      <c r="H290" s="312">
        <f t="shared" si="309"/>
        <v>5000</v>
      </c>
      <c r="I290" s="312">
        <f t="shared" si="309"/>
        <v>0</v>
      </c>
      <c r="J290" s="312">
        <f t="shared" si="309"/>
        <v>953993</v>
      </c>
      <c r="K290" s="312">
        <f t="shared" si="309"/>
        <v>953993</v>
      </c>
      <c r="L290" s="312">
        <f t="shared" si="309"/>
        <v>0</v>
      </c>
      <c r="M290" s="312">
        <f t="shared" si="309"/>
        <v>0</v>
      </c>
      <c r="N290" s="312">
        <f t="shared" si="309"/>
        <v>0</v>
      </c>
      <c r="O290" s="312">
        <f t="shared" si="309"/>
        <v>953993</v>
      </c>
      <c r="P290" s="312">
        <f t="shared" si="309"/>
        <v>386663542</v>
      </c>
      <c r="Q290" s="20"/>
      <c r="R290" s="50"/>
    </row>
    <row r="291" spans="1:18" ht="93" thickTop="1" thickBot="1" x14ac:dyDescent="0.25">
      <c r="A291" s="329" t="s">
        <v>800</v>
      </c>
      <c r="B291" s="329" t="s">
        <v>791</v>
      </c>
      <c r="C291" s="329"/>
      <c r="D291" s="329" t="s">
        <v>792</v>
      </c>
      <c r="E291" s="466">
        <f>SUM(E292:E294)</f>
        <v>75550000</v>
      </c>
      <c r="F291" s="466">
        <f t="shared" ref="F291:P291" si="310">SUM(F292:F294)</f>
        <v>75550000</v>
      </c>
      <c r="G291" s="466">
        <f t="shared" si="310"/>
        <v>0</v>
      </c>
      <c r="H291" s="466">
        <f t="shared" si="310"/>
        <v>0</v>
      </c>
      <c r="I291" s="466">
        <f t="shared" si="310"/>
        <v>0</v>
      </c>
      <c r="J291" s="466">
        <f t="shared" si="310"/>
        <v>953993</v>
      </c>
      <c r="K291" s="466">
        <f t="shared" si="310"/>
        <v>953993</v>
      </c>
      <c r="L291" s="466">
        <f t="shared" si="310"/>
        <v>0</v>
      </c>
      <c r="M291" s="466">
        <f t="shared" si="310"/>
        <v>0</v>
      </c>
      <c r="N291" s="466">
        <f t="shared" si="310"/>
        <v>0</v>
      </c>
      <c r="O291" s="466">
        <f t="shared" si="310"/>
        <v>953993</v>
      </c>
      <c r="P291" s="466">
        <f t="shared" si="310"/>
        <v>76503993</v>
      </c>
      <c r="Q291" s="20"/>
      <c r="R291" s="50"/>
    </row>
    <row r="292" spans="1:18" ht="93" thickTop="1" thickBot="1" x14ac:dyDescent="0.25">
      <c r="A292" s="103" t="s">
        <v>544</v>
      </c>
      <c r="B292" s="103" t="s">
        <v>376</v>
      </c>
      <c r="C292" s="103" t="s">
        <v>283</v>
      </c>
      <c r="D292" s="103" t="s">
        <v>377</v>
      </c>
      <c r="E292" s="312">
        <f t="shared" ref="E292:E306" si="311">F292</f>
        <v>50000000</v>
      </c>
      <c r="F292" s="326">
        <f>((20000000)+20000000)+10000000</f>
        <v>50000000</v>
      </c>
      <c r="G292" s="326"/>
      <c r="H292" s="326"/>
      <c r="I292" s="326"/>
      <c r="J292" s="328">
        <f t="shared" si="302"/>
        <v>0</v>
      </c>
      <c r="K292" s="326"/>
      <c r="L292" s="458"/>
      <c r="M292" s="458"/>
      <c r="N292" s="458"/>
      <c r="O292" s="459">
        <f t="shared" si="304"/>
        <v>0</v>
      </c>
      <c r="P292" s="328">
        <f t="shared" si="305"/>
        <v>50000000</v>
      </c>
      <c r="Q292" s="20"/>
      <c r="R292" s="50"/>
    </row>
    <row r="293" spans="1:18" ht="48" thickTop="1" thickBot="1" x14ac:dyDescent="0.25">
      <c r="A293" s="103" t="s">
        <v>545</v>
      </c>
      <c r="B293" s="103" t="s">
        <v>286</v>
      </c>
      <c r="C293" s="103" t="s">
        <v>283</v>
      </c>
      <c r="D293" s="103" t="s">
        <v>287</v>
      </c>
      <c r="E293" s="312">
        <f t="shared" si="311"/>
        <v>25550000</v>
      </c>
      <c r="F293" s="326">
        <f>(10550000)+15000000</f>
        <v>25550000</v>
      </c>
      <c r="G293" s="129"/>
      <c r="H293" s="129"/>
      <c r="I293" s="129"/>
      <c r="J293" s="328">
        <f t="shared" si="302"/>
        <v>953993</v>
      </c>
      <c r="K293" s="326">
        <f>(185707)+768286</f>
        <v>953993</v>
      </c>
      <c r="L293" s="458"/>
      <c r="M293" s="458"/>
      <c r="N293" s="458"/>
      <c r="O293" s="459">
        <f t="shared" si="304"/>
        <v>953993</v>
      </c>
      <c r="P293" s="328">
        <f t="shared" si="305"/>
        <v>26503993</v>
      </c>
      <c r="Q293" s="20"/>
      <c r="R293" s="50"/>
    </row>
    <row r="294" spans="1:18" ht="93" hidden="1" thickTop="1" thickBot="1" x14ac:dyDescent="0.25">
      <c r="A294" s="128" t="s">
        <v>1410</v>
      </c>
      <c r="B294" s="128" t="s">
        <v>1411</v>
      </c>
      <c r="C294" s="128" t="s">
        <v>283</v>
      </c>
      <c r="D294" s="128" t="s">
        <v>1412</v>
      </c>
      <c r="E294" s="152">
        <f t="shared" ref="E294" si="312">F294</f>
        <v>0</v>
      </c>
      <c r="F294" s="129">
        <v>0</v>
      </c>
      <c r="G294" s="129"/>
      <c r="H294" s="129"/>
      <c r="I294" s="129"/>
      <c r="J294" s="328">
        <f t="shared" ref="J294" si="313">L294+O294</f>
        <v>0</v>
      </c>
      <c r="K294" s="326"/>
      <c r="L294" s="458"/>
      <c r="M294" s="458"/>
      <c r="N294" s="458"/>
      <c r="O294" s="459">
        <f t="shared" ref="O294" si="314">K294</f>
        <v>0</v>
      </c>
      <c r="P294" s="328">
        <f t="shared" ref="P294" si="315">+J294+E294</f>
        <v>0</v>
      </c>
      <c r="Q294" s="20"/>
      <c r="R294" s="50"/>
    </row>
    <row r="295" spans="1:18" ht="138.75" thickTop="1" thickBot="1" x14ac:dyDescent="0.25">
      <c r="A295" s="103" t="s">
        <v>546</v>
      </c>
      <c r="B295" s="103" t="s">
        <v>297</v>
      </c>
      <c r="C295" s="103" t="s">
        <v>283</v>
      </c>
      <c r="D295" s="103" t="s">
        <v>298</v>
      </c>
      <c r="E295" s="312">
        <f t="shared" si="311"/>
        <v>3337600</v>
      </c>
      <c r="F295" s="326">
        <f>((700000)+650000)+1987600</f>
        <v>3337600</v>
      </c>
      <c r="G295" s="129"/>
      <c r="H295" s="129"/>
      <c r="I295" s="129"/>
      <c r="J295" s="328">
        <f t="shared" si="302"/>
        <v>0</v>
      </c>
      <c r="K295" s="462"/>
      <c r="L295" s="326"/>
      <c r="M295" s="326"/>
      <c r="N295" s="326"/>
      <c r="O295" s="459">
        <f t="shared" si="304"/>
        <v>0</v>
      </c>
      <c r="P295" s="328">
        <f t="shared" ref="P295:P300" si="316">E295+J295</f>
        <v>3337600</v>
      </c>
      <c r="Q295" s="20"/>
      <c r="R295" s="50"/>
    </row>
    <row r="296" spans="1:18" ht="48" thickTop="1" thickBot="1" x14ac:dyDescent="0.25">
      <c r="A296" s="103" t="s">
        <v>547</v>
      </c>
      <c r="B296" s="103" t="s">
        <v>289</v>
      </c>
      <c r="C296" s="103" t="s">
        <v>283</v>
      </c>
      <c r="D296" s="103" t="s">
        <v>290</v>
      </c>
      <c r="E296" s="312">
        <f t="shared" si="311"/>
        <v>306563149</v>
      </c>
      <c r="F296" s="326">
        <f>((273808011-650000-8450000)+25359960)+18495178-2000000</f>
        <v>306563149</v>
      </c>
      <c r="G296" s="129"/>
      <c r="H296" s="326">
        <v>5000</v>
      </c>
      <c r="I296" s="129"/>
      <c r="J296" s="328">
        <f t="shared" si="302"/>
        <v>0</v>
      </c>
      <c r="K296" s="462">
        <v>0</v>
      </c>
      <c r="L296" s="326"/>
      <c r="M296" s="326"/>
      <c r="N296" s="326"/>
      <c r="O296" s="459">
        <f t="shared" si="304"/>
        <v>0</v>
      </c>
      <c r="P296" s="328">
        <f t="shared" si="316"/>
        <v>306563149</v>
      </c>
      <c r="Q296" s="20"/>
      <c r="R296" s="45"/>
    </row>
    <row r="297" spans="1:18" ht="48" thickTop="1" thickBot="1" x14ac:dyDescent="0.25">
      <c r="A297" s="103" t="s">
        <v>1148</v>
      </c>
      <c r="B297" s="103" t="s">
        <v>1149</v>
      </c>
      <c r="C297" s="103" t="s">
        <v>1150</v>
      </c>
      <c r="D297" s="103" t="s">
        <v>1147</v>
      </c>
      <c r="E297" s="312">
        <f t="shared" si="311"/>
        <v>258800</v>
      </c>
      <c r="F297" s="326">
        <v>258800</v>
      </c>
      <c r="G297" s="326"/>
      <c r="H297" s="326"/>
      <c r="I297" s="326"/>
      <c r="J297" s="328">
        <f t="shared" si="302"/>
        <v>0</v>
      </c>
      <c r="K297" s="462"/>
      <c r="L297" s="326"/>
      <c r="M297" s="326"/>
      <c r="N297" s="326"/>
      <c r="O297" s="459">
        <f t="shared" si="304"/>
        <v>0</v>
      </c>
      <c r="P297" s="328">
        <f t="shared" si="316"/>
        <v>258800</v>
      </c>
      <c r="Q297" s="20"/>
      <c r="R297" s="45"/>
    </row>
    <row r="298" spans="1:18" ht="47.25" thickTop="1" thickBot="1" x14ac:dyDescent="0.25">
      <c r="A298" s="311" t="s">
        <v>801</v>
      </c>
      <c r="B298" s="311" t="s">
        <v>748</v>
      </c>
      <c r="C298" s="311"/>
      <c r="D298" s="311" t="s">
        <v>749</v>
      </c>
      <c r="E298" s="312">
        <f>E299+E301+E304</f>
        <v>0</v>
      </c>
      <c r="F298" s="312">
        <f t="shared" ref="F298:P298" si="317">F299+F301+F304</f>
        <v>0</v>
      </c>
      <c r="G298" s="312">
        <f t="shared" si="317"/>
        <v>0</v>
      </c>
      <c r="H298" s="312">
        <f t="shared" si="317"/>
        <v>0</v>
      </c>
      <c r="I298" s="312">
        <f t="shared" si="317"/>
        <v>0</v>
      </c>
      <c r="J298" s="312">
        <f>J299+J301+J304</f>
        <v>29718166</v>
      </c>
      <c r="K298" s="312">
        <f t="shared" si="317"/>
        <v>29718166</v>
      </c>
      <c r="L298" s="312">
        <f t="shared" si="317"/>
        <v>0</v>
      </c>
      <c r="M298" s="312">
        <f t="shared" si="317"/>
        <v>0</v>
      </c>
      <c r="N298" s="312">
        <f t="shared" si="317"/>
        <v>0</v>
      </c>
      <c r="O298" s="312">
        <f t="shared" si="317"/>
        <v>29718166</v>
      </c>
      <c r="P298" s="312">
        <f t="shared" si="317"/>
        <v>29718166</v>
      </c>
      <c r="Q298" s="20"/>
      <c r="R298" s="50"/>
    </row>
    <row r="299" spans="1:18" ht="47.25" thickTop="1" thickBot="1" x14ac:dyDescent="0.25">
      <c r="A299" s="740" t="s">
        <v>802</v>
      </c>
      <c r="B299" s="740" t="s">
        <v>803</v>
      </c>
      <c r="C299" s="740"/>
      <c r="D299" s="740" t="s">
        <v>804</v>
      </c>
      <c r="E299" s="314">
        <f>E300</f>
        <v>0</v>
      </c>
      <c r="F299" s="314">
        <f t="shared" ref="F299:P299" si="318">F300</f>
        <v>0</v>
      </c>
      <c r="G299" s="314">
        <f t="shared" si="318"/>
        <v>0</v>
      </c>
      <c r="H299" s="314">
        <f t="shared" si="318"/>
        <v>0</v>
      </c>
      <c r="I299" s="314">
        <f t="shared" si="318"/>
        <v>0</v>
      </c>
      <c r="J299" s="314">
        <f t="shared" si="318"/>
        <v>1200000</v>
      </c>
      <c r="K299" s="314">
        <f t="shared" si="318"/>
        <v>1200000</v>
      </c>
      <c r="L299" s="314">
        <f t="shared" si="318"/>
        <v>0</v>
      </c>
      <c r="M299" s="314">
        <f t="shared" si="318"/>
        <v>0</v>
      </c>
      <c r="N299" s="314">
        <f t="shared" si="318"/>
        <v>0</v>
      </c>
      <c r="O299" s="314">
        <f t="shared" si="318"/>
        <v>1200000</v>
      </c>
      <c r="P299" s="314">
        <f t="shared" si="318"/>
        <v>1200000</v>
      </c>
      <c r="Q299" s="20"/>
      <c r="R299" s="50"/>
    </row>
    <row r="300" spans="1:18" ht="54" thickTop="1" thickBot="1" x14ac:dyDescent="0.25">
      <c r="A300" s="735" t="s">
        <v>548</v>
      </c>
      <c r="B300" s="735" t="s">
        <v>305</v>
      </c>
      <c r="C300" s="735" t="s">
        <v>304</v>
      </c>
      <c r="D300" s="735" t="s">
        <v>1502</v>
      </c>
      <c r="E300" s="312">
        <f t="shared" si="311"/>
        <v>0</v>
      </c>
      <c r="F300" s="326"/>
      <c r="G300" s="326"/>
      <c r="H300" s="326"/>
      <c r="I300" s="326"/>
      <c r="J300" s="736">
        <f>L300+O300</f>
        <v>1200000</v>
      </c>
      <c r="K300" s="737">
        <f>((131720)-131720)+1200000</f>
        <v>1200000</v>
      </c>
      <c r="L300" s="326"/>
      <c r="M300" s="326"/>
      <c r="N300" s="326"/>
      <c r="O300" s="739">
        <f>K300</f>
        <v>1200000</v>
      </c>
      <c r="P300" s="736">
        <f t="shared" si="316"/>
        <v>1200000</v>
      </c>
      <c r="Q300" s="20"/>
      <c r="R300" s="45"/>
    </row>
    <row r="301" spans="1:18" ht="91.5" thickTop="1" thickBot="1" x14ac:dyDescent="0.25">
      <c r="A301" s="313" t="s">
        <v>805</v>
      </c>
      <c r="B301" s="313" t="s">
        <v>806</v>
      </c>
      <c r="C301" s="313"/>
      <c r="D301" s="313" t="s">
        <v>807</v>
      </c>
      <c r="E301" s="314">
        <f t="shared" ref="E301:P302" si="319">E302</f>
        <v>0</v>
      </c>
      <c r="F301" s="314">
        <f t="shared" si="319"/>
        <v>0</v>
      </c>
      <c r="G301" s="314">
        <f t="shared" si="319"/>
        <v>0</v>
      </c>
      <c r="H301" s="314">
        <f t="shared" si="319"/>
        <v>0</v>
      </c>
      <c r="I301" s="314">
        <f t="shared" si="319"/>
        <v>0</v>
      </c>
      <c r="J301" s="314">
        <f t="shared" si="319"/>
        <v>2935752</v>
      </c>
      <c r="K301" s="314">
        <f t="shared" si="319"/>
        <v>2935752</v>
      </c>
      <c r="L301" s="314">
        <f t="shared" si="319"/>
        <v>0</v>
      </c>
      <c r="M301" s="314">
        <f t="shared" si="319"/>
        <v>0</v>
      </c>
      <c r="N301" s="314">
        <f t="shared" si="319"/>
        <v>0</v>
      </c>
      <c r="O301" s="314">
        <f t="shared" si="319"/>
        <v>2935752</v>
      </c>
      <c r="P301" s="314">
        <f t="shared" si="319"/>
        <v>2935752</v>
      </c>
      <c r="Q301" s="20"/>
      <c r="R301" s="50"/>
    </row>
    <row r="302" spans="1:18" ht="93" thickTop="1" thickBot="1" x14ac:dyDescent="0.25">
      <c r="A302" s="103" t="s">
        <v>957</v>
      </c>
      <c r="B302" s="329" t="s">
        <v>958</v>
      </c>
      <c r="C302" s="313"/>
      <c r="D302" s="329" t="s">
        <v>959</v>
      </c>
      <c r="E302" s="466">
        <f t="shared" si="319"/>
        <v>0</v>
      </c>
      <c r="F302" s="466">
        <f t="shared" si="319"/>
        <v>0</v>
      </c>
      <c r="G302" s="466">
        <f t="shared" si="319"/>
        <v>0</v>
      </c>
      <c r="H302" s="466">
        <f t="shared" si="319"/>
        <v>0</v>
      </c>
      <c r="I302" s="466">
        <f t="shared" si="319"/>
        <v>0</v>
      </c>
      <c r="J302" s="466">
        <f t="shared" si="319"/>
        <v>2935752</v>
      </c>
      <c r="K302" s="466">
        <f t="shared" si="319"/>
        <v>2935752</v>
      </c>
      <c r="L302" s="466">
        <f t="shared" si="319"/>
        <v>0</v>
      </c>
      <c r="M302" s="466">
        <f t="shared" si="319"/>
        <v>0</v>
      </c>
      <c r="N302" s="466">
        <f t="shared" si="319"/>
        <v>0</v>
      </c>
      <c r="O302" s="466">
        <f t="shared" si="319"/>
        <v>2935752</v>
      </c>
      <c r="P302" s="466">
        <f t="shared" si="319"/>
        <v>2935752</v>
      </c>
      <c r="Q302" s="20"/>
      <c r="R302" s="50"/>
    </row>
    <row r="303" spans="1:18" ht="93" thickTop="1" thickBot="1" x14ac:dyDescent="0.25">
      <c r="A303" s="103" t="s">
        <v>549</v>
      </c>
      <c r="B303" s="103" t="s">
        <v>293</v>
      </c>
      <c r="C303" s="103" t="s">
        <v>295</v>
      </c>
      <c r="D303" s="103" t="s">
        <v>294</v>
      </c>
      <c r="E303" s="312">
        <f t="shared" si="311"/>
        <v>0</v>
      </c>
      <c r="F303" s="326">
        <f>(18000000-3000000-3000000)-12000000</f>
        <v>0</v>
      </c>
      <c r="G303" s="326"/>
      <c r="H303" s="326"/>
      <c r="I303" s="326"/>
      <c r="J303" s="328">
        <f t="shared" si="302"/>
        <v>2935752</v>
      </c>
      <c r="K303" s="326">
        <f>(2000000)+935752</f>
        <v>2935752</v>
      </c>
      <c r="L303" s="458"/>
      <c r="M303" s="458"/>
      <c r="N303" s="458"/>
      <c r="O303" s="459">
        <f>K303</f>
        <v>2935752</v>
      </c>
      <c r="P303" s="328">
        <f>+J303+E303</f>
        <v>2935752</v>
      </c>
      <c r="Q303" s="20"/>
      <c r="R303" s="45"/>
    </row>
    <row r="304" spans="1:18" ht="47.25" thickTop="1" thickBot="1" x14ac:dyDescent="0.25">
      <c r="A304" s="313" t="s">
        <v>808</v>
      </c>
      <c r="B304" s="313" t="s">
        <v>691</v>
      </c>
      <c r="C304" s="313"/>
      <c r="D304" s="313" t="s">
        <v>689</v>
      </c>
      <c r="E304" s="314">
        <f>SUM(E305:E310)-E307</f>
        <v>0</v>
      </c>
      <c r="F304" s="314">
        <f t="shared" ref="F304:P304" si="320">SUM(F305:F310)-F307</f>
        <v>0</v>
      </c>
      <c r="G304" s="314">
        <f t="shared" si="320"/>
        <v>0</v>
      </c>
      <c r="H304" s="314">
        <f t="shared" si="320"/>
        <v>0</v>
      </c>
      <c r="I304" s="314">
        <f t="shared" si="320"/>
        <v>0</v>
      </c>
      <c r="J304" s="314">
        <f t="shared" si="320"/>
        <v>25582414</v>
      </c>
      <c r="K304" s="314">
        <f t="shared" si="320"/>
        <v>25582414</v>
      </c>
      <c r="L304" s="314">
        <f t="shared" si="320"/>
        <v>0</v>
      </c>
      <c r="M304" s="314">
        <f t="shared" si="320"/>
        <v>0</v>
      </c>
      <c r="N304" s="314">
        <f t="shared" si="320"/>
        <v>0</v>
      </c>
      <c r="O304" s="314">
        <f t="shared" si="320"/>
        <v>25582414</v>
      </c>
      <c r="P304" s="314">
        <f t="shared" si="320"/>
        <v>25582414</v>
      </c>
      <c r="Q304" s="20"/>
      <c r="R304" s="45"/>
    </row>
    <row r="305" spans="1:18" ht="48" thickTop="1" thickBot="1" x14ac:dyDescent="0.25">
      <c r="A305" s="103" t="s">
        <v>550</v>
      </c>
      <c r="B305" s="103" t="s">
        <v>212</v>
      </c>
      <c r="C305" s="103" t="s">
        <v>213</v>
      </c>
      <c r="D305" s="103" t="s">
        <v>41</v>
      </c>
      <c r="E305" s="312">
        <f t="shared" si="311"/>
        <v>0</v>
      </c>
      <c r="F305" s="326"/>
      <c r="G305" s="326"/>
      <c r="H305" s="326"/>
      <c r="I305" s="326"/>
      <c r="J305" s="328">
        <f t="shared" si="302"/>
        <v>15563884</v>
      </c>
      <c r="K305" s="462">
        <f>(9760000)+5803884</f>
        <v>15563884</v>
      </c>
      <c r="L305" s="326"/>
      <c r="M305" s="326"/>
      <c r="N305" s="326"/>
      <c r="O305" s="459">
        <f t="shared" si="304"/>
        <v>15563884</v>
      </c>
      <c r="P305" s="328">
        <f>E305+J305</f>
        <v>15563884</v>
      </c>
      <c r="Q305" s="20"/>
      <c r="R305" s="45"/>
    </row>
    <row r="306" spans="1:18" ht="48" thickTop="1" thickBot="1" x14ac:dyDescent="0.25">
      <c r="A306" s="103" t="s">
        <v>551</v>
      </c>
      <c r="B306" s="103" t="s">
        <v>197</v>
      </c>
      <c r="C306" s="103" t="s">
        <v>170</v>
      </c>
      <c r="D306" s="103" t="s">
        <v>34</v>
      </c>
      <c r="E306" s="312">
        <f t="shared" si="311"/>
        <v>0</v>
      </c>
      <c r="F306" s="326"/>
      <c r="G306" s="326"/>
      <c r="H306" s="326"/>
      <c r="I306" s="326"/>
      <c r="J306" s="328">
        <f t="shared" si="302"/>
        <v>10018530</v>
      </c>
      <c r="K306" s="462">
        <f>((96120)+6291666)+4438322-807578</f>
        <v>10018530</v>
      </c>
      <c r="L306" s="326"/>
      <c r="M306" s="326"/>
      <c r="N306" s="326"/>
      <c r="O306" s="459">
        <f t="shared" si="304"/>
        <v>10018530</v>
      </c>
      <c r="P306" s="328">
        <f>E306+J306</f>
        <v>10018530</v>
      </c>
      <c r="Q306" s="20"/>
      <c r="R306" s="45"/>
    </row>
    <row r="307" spans="1:18" ht="48" hidden="1" thickTop="1" thickBot="1" x14ac:dyDescent="0.25">
      <c r="A307" s="329" t="s">
        <v>809</v>
      </c>
      <c r="B307" s="329" t="s">
        <v>694</v>
      </c>
      <c r="C307" s="140"/>
      <c r="D307" s="140" t="s">
        <v>797</v>
      </c>
      <c r="E307" s="158">
        <f t="shared" ref="E307:P307" si="321">E308+E310</f>
        <v>0</v>
      </c>
      <c r="F307" s="158">
        <f t="shared" si="321"/>
        <v>0</v>
      </c>
      <c r="G307" s="158">
        <f t="shared" si="321"/>
        <v>0</v>
      </c>
      <c r="H307" s="158">
        <f t="shared" si="321"/>
        <v>0</v>
      </c>
      <c r="I307" s="158">
        <f t="shared" si="321"/>
        <v>0</v>
      </c>
      <c r="J307" s="158">
        <f t="shared" si="321"/>
        <v>0</v>
      </c>
      <c r="K307" s="158">
        <f t="shared" si="321"/>
        <v>0</v>
      </c>
      <c r="L307" s="158">
        <f t="shared" si="321"/>
        <v>0</v>
      </c>
      <c r="M307" s="158">
        <f t="shared" si="321"/>
        <v>0</v>
      </c>
      <c r="N307" s="158">
        <f t="shared" si="321"/>
        <v>0</v>
      </c>
      <c r="O307" s="158">
        <f t="shared" si="321"/>
        <v>0</v>
      </c>
      <c r="P307" s="158">
        <f t="shared" si="321"/>
        <v>0</v>
      </c>
      <c r="Q307" s="20"/>
      <c r="R307" s="50"/>
    </row>
    <row r="308" spans="1:18" ht="211.5" hidden="1" customHeight="1" thickTop="1" thickBot="1" x14ac:dyDescent="0.7">
      <c r="A308" s="796" t="s">
        <v>552</v>
      </c>
      <c r="B308" s="796" t="s">
        <v>338</v>
      </c>
      <c r="C308" s="797" t="s">
        <v>170</v>
      </c>
      <c r="D308" s="155" t="s">
        <v>440</v>
      </c>
      <c r="E308" s="800"/>
      <c r="F308" s="781"/>
      <c r="G308" s="781"/>
      <c r="H308" s="781"/>
      <c r="I308" s="781"/>
      <c r="J308" s="800">
        <f t="shared" si="302"/>
        <v>0</v>
      </c>
      <c r="K308" s="781"/>
      <c r="L308" s="781">
        <v>0</v>
      </c>
      <c r="M308" s="781"/>
      <c r="N308" s="781"/>
      <c r="O308" s="785"/>
      <c r="P308" s="782">
        <f>E308+J308</f>
        <v>0</v>
      </c>
      <c r="Q308" s="20"/>
      <c r="R308" s="50"/>
    </row>
    <row r="309" spans="1:18" ht="130.5" hidden="1" customHeight="1" thickTop="1" thickBot="1" x14ac:dyDescent="0.25">
      <c r="A309" s="796"/>
      <c r="B309" s="796"/>
      <c r="C309" s="797"/>
      <c r="D309" s="156" t="s">
        <v>441</v>
      </c>
      <c r="E309" s="800"/>
      <c r="F309" s="781"/>
      <c r="G309" s="781"/>
      <c r="H309" s="781"/>
      <c r="I309" s="781"/>
      <c r="J309" s="800"/>
      <c r="K309" s="781"/>
      <c r="L309" s="781"/>
      <c r="M309" s="781"/>
      <c r="N309" s="781"/>
      <c r="O309" s="785"/>
      <c r="P309" s="782"/>
      <c r="Q309" s="20"/>
      <c r="R309" s="50"/>
    </row>
    <row r="310" spans="1:18" ht="39" hidden="1" customHeight="1" thickTop="1" thickBot="1" x14ac:dyDescent="0.25">
      <c r="A310" s="103" t="s">
        <v>1183</v>
      </c>
      <c r="B310" s="103" t="s">
        <v>257</v>
      </c>
      <c r="C310" s="128" t="s">
        <v>170</v>
      </c>
      <c r="D310" s="156" t="s">
        <v>255</v>
      </c>
      <c r="E310" s="152">
        <f t="shared" ref="E310" si="322">F310</f>
        <v>0</v>
      </c>
      <c r="F310" s="129"/>
      <c r="G310" s="129"/>
      <c r="H310" s="129"/>
      <c r="I310" s="129"/>
      <c r="J310" s="127">
        <f t="shared" ref="J310" si="323">L310+O310</f>
        <v>0</v>
      </c>
      <c r="K310" s="134"/>
      <c r="L310" s="129"/>
      <c r="M310" s="129"/>
      <c r="N310" s="129"/>
      <c r="O310" s="132">
        <f t="shared" ref="O310" si="324">K310</f>
        <v>0</v>
      </c>
      <c r="P310" s="127">
        <f>E310+J310</f>
        <v>0</v>
      </c>
      <c r="Q310" s="20"/>
      <c r="R310" s="50"/>
    </row>
    <row r="311" spans="1:18" ht="47.25" thickTop="1" thickBot="1" x14ac:dyDescent="0.25">
      <c r="A311" s="311" t="s">
        <v>810</v>
      </c>
      <c r="B311" s="311" t="s">
        <v>696</v>
      </c>
      <c r="C311" s="311"/>
      <c r="D311" s="471" t="s">
        <v>697</v>
      </c>
      <c r="E311" s="328">
        <f>E312</f>
        <v>4515145</v>
      </c>
      <c r="F311" s="328">
        <f t="shared" ref="F311:P311" si="325">F312</f>
        <v>4515145</v>
      </c>
      <c r="G311" s="328">
        <f t="shared" si="325"/>
        <v>1953964</v>
      </c>
      <c r="H311" s="328">
        <f t="shared" si="325"/>
        <v>53880</v>
      </c>
      <c r="I311" s="328">
        <f t="shared" si="325"/>
        <v>0</v>
      </c>
      <c r="J311" s="328">
        <f t="shared" si="325"/>
        <v>0</v>
      </c>
      <c r="K311" s="328">
        <f t="shared" si="325"/>
        <v>0</v>
      </c>
      <c r="L311" s="328">
        <f t="shared" si="325"/>
        <v>0</v>
      </c>
      <c r="M311" s="328">
        <f t="shared" si="325"/>
        <v>0</v>
      </c>
      <c r="N311" s="328">
        <f t="shared" si="325"/>
        <v>0</v>
      </c>
      <c r="O311" s="328">
        <f t="shared" si="325"/>
        <v>0</v>
      </c>
      <c r="P311" s="328">
        <f t="shared" si="325"/>
        <v>4515145</v>
      </c>
      <c r="Q311" s="20"/>
      <c r="R311" s="50"/>
    </row>
    <row r="312" spans="1:18" ht="47.25" thickTop="1" thickBot="1" x14ac:dyDescent="0.25">
      <c r="A312" s="313" t="s">
        <v>811</v>
      </c>
      <c r="B312" s="313" t="s">
        <v>812</v>
      </c>
      <c r="C312" s="313"/>
      <c r="D312" s="356" t="s">
        <v>1281</v>
      </c>
      <c r="E312" s="315">
        <f>SUM(E313:E315)</f>
        <v>4515145</v>
      </c>
      <c r="F312" s="315">
        <f t="shared" ref="F312:P312" si="326">SUM(F313:F315)</f>
        <v>4515145</v>
      </c>
      <c r="G312" s="315">
        <f t="shared" si="326"/>
        <v>1953964</v>
      </c>
      <c r="H312" s="315">
        <f t="shared" si="326"/>
        <v>53880</v>
      </c>
      <c r="I312" s="315">
        <f t="shared" si="326"/>
        <v>0</v>
      </c>
      <c r="J312" s="315">
        <f t="shared" si="326"/>
        <v>0</v>
      </c>
      <c r="K312" s="315">
        <f t="shared" si="326"/>
        <v>0</v>
      </c>
      <c r="L312" s="315">
        <f t="shared" si="326"/>
        <v>0</v>
      </c>
      <c r="M312" s="315">
        <f t="shared" si="326"/>
        <v>0</v>
      </c>
      <c r="N312" s="315">
        <f t="shared" si="326"/>
        <v>0</v>
      </c>
      <c r="O312" s="315">
        <f t="shared" si="326"/>
        <v>0</v>
      </c>
      <c r="P312" s="315">
        <f t="shared" si="326"/>
        <v>4515145</v>
      </c>
      <c r="Q312" s="20"/>
      <c r="R312" s="50"/>
    </row>
    <row r="313" spans="1:18" ht="93" thickTop="1" thickBot="1" x14ac:dyDescent="0.25">
      <c r="A313" s="103" t="s">
        <v>553</v>
      </c>
      <c r="B313" s="103" t="s">
        <v>518</v>
      </c>
      <c r="C313" s="103" t="s">
        <v>251</v>
      </c>
      <c r="D313" s="103" t="s">
        <v>519</v>
      </c>
      <c r="E313" s="312">
        <f>F313</f>
        <v>2000000</v>
      </c>
      <c r="F313" s="326">
        <v>2000000</v>
      </c>
      <c r="G313" s="326"/>
      <c r="H313" s="326"/>
      <c r="I313" s="326"/>
      <c r="J313" s="328">
        <f>L313+O313</f>
        <v>0</v>
      </c>
      <c r="K313" s="462">
        <v>0</v>
      </c>
      <c r="L313" s="326"/>
      <c r="M313" s="326"/>
      <c r="N313" s="326"/>
      <c r="O313" s="459">
        <f>K313</f>
        <v>0</v>
      </c>
      <c r="P313" s="328">
        <f>E313+J313</f>
        <v>2000000</v>
      </c>
      <c r="Q313" s="20"/>
      <c r="R313" s="50"/>
    </row>
    <row r="314" spans="1:18" ht="48" thickTop="1" thickBot="1" x14ac:dyDescent="0.25">
      <c r="A314" s="103" t="s">
        <v>554</v>
      </c>
      <c r="B314" s="103" t="s">
        <v>250</v>
      </c>
      <c r="C314" s="103" t="s">
        <v>251</v>
      </c>
      <c r="D314" s="103" t="s">
        <v>249</v>
      </c>
      <c r="E314" s="312">
        <f t="shared" ref="E314:E315" si="327">F314</f>
        <v>2515145</v>
      </c>
      <c r="F314" s="326">
        <v>2515145</v>
      </c>
      <c r="G314" s="326">
        <v>1953964</v>
      </c>
      <c r="H314" s="326">
        <f>2500+35000+16380</f>
        <v>53880</v>
      </c>
      <c r="I314" s="326"/>
      <c r="J314" s="328">
        <f>L314+O314</f>
        <v>0</v>
      </c>
      <c r="K314" s="462">
        <v>0</v>
      </c>
      <c r="L314" s="326"/>
      <c r="M314" s="326"/>
      <c r="N314" s="326"/>
      <c r="O314" s="459">
        <f>K314</f>
        <v>0</v>
      </c>
      <c r="P314" s="328">
        <f>E314+J314</f>
        <v>2515145</v>
      </c>
      <c r="Q314" s="20"/>
      <c r="R314" s="46"/>
    </row>
    <row r="315" spans="1:18" ht="48" hidden="1" thickTop="1" thickBot="1" x14ac:dyDescent="0.25">
      <c r="A315" s="41" t="s">
        <v>555</v>
      </c>
      <c r="B315" s="41" t="s">
        <v>556</v>
      </c>
      <c r="C315" s="41" t="s">
        <v>251</v>
      </c>
      <c r="D315" s="41" t="s">
        <v>557</v>
      </c>
      <c r="E315" s="160">
        <f t="shared" si="327"/>
        <v>0</v>
      </c>
      <c r="F315" s="161">
        <f>(1219000)-1219000</f>
        <v>0</v>
      </c>
      <c r="G315" s="161">
        <f>(354000+540000)-894000</f>
        <v>0</v>
      </c>
      <c r="H315" s="161">
        <f>(6000+3000)-9000</f>
        <v>0</v>
      </c>
      <c r="I315" s="161"/>
      <c r="J315" s="42">
        <f>L315+O315</f>
        <v>0</v>
      </c>
      <c r="K315" s="43"/>
      <c r="L315" s="161"/>
      <c r="M315" s="161"/>
      <c r="N315" s="161"/>
      <c r="O315" s="44">
        <f>K315</f>
        <v>0</v>
      </c>
      <c r="P315" s="42">
        <f>E315+J315</f>
        <v>0</v>
      </c>
      <c r="Q315" s="20"/>
      <c r="R315" s="50"/>
    </row>
    <row r="316" spans="1:18" ht="47.25" hidden="1" thickTop="1" thickBot="1" x14ac:dyDescent="0.25">
      <c r="A316" s="125" t="s">
        <v>1483</v>
      </c>
      <c r="B316" s="125" t="s">
        <v>702</v>
      </c>
      <c r="C316" s="125"/>
      <c r="D316" s="125" t="s">
        <v>703</v>
      </c>
      <c r="E316" s="127">
        <f>E317</f>
        <v>0</v>
      </c>
      <c r="F316" s="127">
        <f t="shared" ref="F316:P317" si="328">F317</f>
        <v>0</v>
      </c>
      <c r="G316" s="127">
        <f t="shared" si="328"/>
        <v>0</v>
      </c>
      <c r="H316" s="127">
        <f t="shared" si="328"/>
        <v>0</v>
      </c>
      <c r="I316" s="127">
        <f t="shared" si="328"/>
        <v>0</v>
      </c>
      <c r="J316" s="127">
        <f t="shared" si="328"/>
        <v>0</v>
      </c>
      <c r="K316" s="127">
        <f t="shared" si="328"/>
        <v>0</v>
      </c>
      <c r="L316" s="127">
        <f t="shared" si="328"/>
        <v>0</v>
      </c>
      <c r="M316" s="127">
        <f t="shared" si="328"/>
        <v>0</v>
      </c>
      <c r="N316" s="127">
        <f t="shared" si="328"/>
        <v>0</v>
      </c>
      <c r="O316" s="127">
        <f t="shared" si="328"/>
        <v>0</v>
      </c>
      <c r="P316" s="127">
        <f t="shared" si="328"/>
        <v>0</v>
      </c>
      <c r="Q316" s="20"/>
      <c r="R316" s="50"/>
    </row>
    <row r="317" spans="1:18" ht="136.5" hidden="1" thickTop="1" thickBot="1" x14ac:dyDescent="0.25">
      <c r="A317" s="136" t="s">
        <v>1484</v>
      </c>
      <c r="B317" s="136" t="s">
        <v>705</v>
      </c>
      <c r="C317" s="136"/>
      <c r="D317" s="136" t="s">
        <v>706</v>
      </c>
      <c r="E317" s="137">
        <f>E318</f>
        <v>0</v>
      </c>
      <c r="F317" s="137">
        <f t="shared" si="328"/>
        <v>0</v>
      </c>
      <c r="G317" s="137">
        <f t="shared" si="328"/>
        <v>0</v>
      </c>
      <c r="H317" s="137">
        <f t="shared" si="328"/>
        <v>0</v>
      </c>
      <c r="I317" s="137">
        <f t="shared" si="328"/>
        <v>0</v>
      </c>
      <c r="J317" s="137">
        <f t="shared" si="328"/>
        <v>0</v>
      </c>
      <c r="K317" s="137">
        <f t="shared" si="328"/>
        <v>0</v>
      </c>
      <c r="L317" s="137">
        <f t="shared" si="328"/>
        <v>0</v>
      </c>
      <c r="M317" s="137">
        <f t="shared" si="328"/>
        <v>0</v>
      </c>
      <c r="N317" s="137">
        <f t="shared" si="328"/>
        <v>0</v>
      </c>
      <c r="O317" s="137">
        <f t="shared" si="328"/>
        <v>0</v>
      </c>
      <c r="P317" s="137">
        <f t="shared" si="328"/>
        <v>0</v>
      </c>
      <c r="Q317" s="20"/>
      <c r="R317" s="50"/>
    </row>
    <row r="318" spans="1:18" ht="48" hidden="1" thickTop="1" thickBot="1" x14ac:dyDescent="0.25">
      <c r="A318" s="128" t="s">
        <v>1485</v>
      </c>
      <c r="B318" s="128" t="s">
        <v>363</v>
      </c>
      <c r="C318" s="128" t="s">
        <v>43</v>
      </c>
      <c r="D318" s="128" t="s">
        <v>364</v>
      </c>
      <c r="E318" s="127">
        <f t="shared" ref="E318" si="329">F318</f>
        <v>0</v>
      </c>
      <c r="F318" s="134"/>
      <c r="G318" s="134"/>
      <c r="H318" s="134"/>
      <c r="I318" s="134"/>
      <c r="J318" s="127">
        <f>L318+O318</f>
        <v>0</v>
      </c>
      <c r="K318" s="134">
        <v>0</v>
      </c>
      <c r="L318" s="134"/>
      <c r="M318" s="134"/>
      <c r="N318" s="134"/>
      <c r="O318" s="132">
        <f>K318</f>
        <v>0</v>
      </c>
      <c r="P318" s="127">
        <f>E318+J318</f>
        <v>0</v>
      </c>
      <c r="Q318" s="20"/>
      <c r="R318" s="50"/>
    </row>
    <row r="319" spans="1:18" ht="120" customHeight="1" thickTop="1" thickBot="1" x14ac:dyDescent="0.25">
      <c r="A319" s="661" t="s">
        <v>25</v>
      </c>
      <c r="B319" s="661"/>
      <c r="C319" s="661"/>
      <c r="D319" s="662" t="s">
        <v>1347</v>
      </c>
      <c r="E319" s="663">
        <f>E320</f>
        <v>3767165</v>
      </c>
      <c r="F319" s="664">
        <f t="shared" ref="F319:G319" si="330">F320</f>
        <v>3767165</v>
      </c>
      <c r="G319" s="664">
        <f t="shared" si="330"/>
        <v>2744545</v>
      </c>
      <c r="H319" s="664">
        <f>H320</f>
        <v>129800</v>
      </c>
      <c r="I319" s="664">
        <f t="shared" ref="I319" si="331">I320</f>
        <v>0</v>
      </c>
      <c r="J319" s="663">
        <f>J320</f>
        <v>64204457.939999998</v>
      </c>
      <c r="K319" s="664">
        <f>K320</f>
        <v>64204457.939999998</v>
      </c>
      <c r="L319" s="664">
        <f>L320</f>
        <v>0</v>
      </c>
      <c r="M319" s="664">
        <f t="shared" ref="M319" si="332">M320</f>
        <v>0</v>
      </c>
      <c r="N319" s="664">
        <f>N320</f>
        <v>0</v>
      </c>
      <c r="O319" s="663">
        <f>O320</f>
        <v>64204457.939999998</v>
      </c>
      <c r="P319" s="664">
        <f t="shared" ref="P319" si="333">P320</f>
        <v>67971622.939999998</v>
      </c>
      <c r="Q319" s="20"/>
    </row>
    <row r="320" spans="1:18" ht="120" customHeight="1" thickTop="1" thickBot="1" x14ac:dyDescent="0.25">
      <c r="A320" s="658" t="s">
        <v>26</v>
      </c>
      <c r="B320" s="658"/>
      <c r="C320" s="658"/>
      <c r="D320" s="659" t="s">
        <v>892</v>
      </c>
      <c r="E320" s="660">
        <f>E321+E327+E330+E325</f>
        <v>3767165</v>
      </c>
      <c r="F320" s="660">
        <f>F321+F327+F330+F325</f>
        <v>3767165</v>
      </c>
      <c r="G320" s="660">
        <f>G321+G327+G330+G325</f>
        <v>2744545</v>
      </c>
      <c r="H320" s="660">
        <f>H321+H327+H330+H325</f>
        <v>129800</v>
      </c>
      <c r="I320" s="660">
        <f>I321+I327+I330+I325</f>
        <v>0</v>
      </c>
      <c r="J320" s="660">
        <f>L320+O320</f>
        <v>64204457.939999998</v>
      </c>
      <c r="K320" s="660">
        <f>K321+K327+K330+K325</f>
        <v>64204457.939999998</v>
      </c>
      <c r="L320" s="660">
        <f>L321+L327+L330+L325</f>
        <v>0</v>
      </c>
      <c r="M320" s="660">
        <f>M321+M327+M330+M325</f>
        <v>0</v>
      </c>
      <c r="N320" s="660">
        <f>N321+N327+N330+N325</f>
        <v>0</v>
      </c>
      <c r="O320" s="660">
        <f>O321+O327+O330+O325</f>
        <v>64204457.939999998</v>
      </c>
      <c r="P320" s="660">
        <f>E320+J320</f>
        <v>67971622.939999998</v>
      </c>
      <c r="Q320" s="503" t="b">
        <f>P320=P322+P334+P337+P326</f>
        <v>0</v>
      </c>
      <c r="R320" s="46"/>
    </row>
    <row r="321" spans="1:18" ht="47.25" thickTop="1" thickBot="1" x14ac:dyDescent="0.25">
      <c r="A321" s="311" t="s">
        <v>813</v>
      </c>
      <c r="B321" s="311" t="s">
        <v>684</v>
      </c>
      <c r="C321" s="311"/>
      <c r="D321" s="311" t="s">
        <v>685</v>
      </c>
      <c r="E321" s="328">
        <f t="shared" ref="E321:P321" si="334">SUM(E322:E324)</f>
        <v>3767165</v>
      </c>
      <c r="F321" s="328">
        <f t="shared" si="334"/>
        <v>3767165</v>
      </c>
      <c r="G321" s="328">
        <f t="shared" si="334"/>
        <v>2744545</v>
      </c>
      <c r="H321" s="328">
        <f t="shared" si="334"/>
        <v>129800</v>
      </c>
      <c r="I321" s="328">
        <f t="shared" si="334"/>
        <v>0</v>
      </c>
      <c r="J321" s="328">
        <f t="shared" si="334"/>
        <v>0</v>
      </c>
      <c r="K321" s="328">
        <f t="shared" si="334"/>
        <v>0</v>
      </c>
      <c r="L321" s="328">
        <f t="shared" si="334"/>
        <v>0</v>
      </c>
      <c r="M321" s="328">
        <f t="shared" si="334"/>
        <v>0</v>
      </c>
      <c r="N321" s="328">
        <f t="shared" si="334"/>
        <v>0</v>
      </c>
      <c r="O321" s="328">
        <f t="shared" si="334"/>
        <v>0</v>
      </c>
      <c r="P321" s="328">
        <f t="shared" si="334"/>
        <v>3767165</v>
      </c>
      <c r="Q321" s="47"/>
      <c r="R321" s="46"/>
    </row>
    <row r="322" spans="1:18" ht="93" thickTop="1" thickBot="1" x14ac:dyDescent="0.25">
      <c r="A322" s="103" t="s">
        <v>417</v>
      </c>
      <c r="B322" s="103" t="s">
        <v>236</v>
      </c>
      <c r="C322" s="103" t="s">
        <v>234</v>
      </c>
      <c r="D322" s="103" t="s">
        <v>235</v>
      </c>
      <c r="E322" s="328">
        <f>F322</f>
        <v>3767165</v>
      </c>
      <c r="F322" s="462">
        <v>3767165</v>
      </c>
      <c r="G322" s="462">
        <v>2744545</v>
      </c>
      <c r="H322" s="462">
        <v>129800</v>
      </c>
      <c r="I322" s="462"/>
      <c r="J322" s="328">
        <f t="shared" ref="J322:J338" si="335">L322+O322</f>
        <v>0</v>
      </c>
      <c r="K322" s="462"/>
      <c r="L322" s="462"/>
      <c r="M322" s="462"/>
      <c r="N322" s="462"/>
      <c r="O322" s="459">
        <f>K322</f>
        <v>0</v>
      </c>
      <c r="P322" s="328">
        <f t="shared" ref="P322:P338" si="336">E322+J322</f>
        <v>3767165</v>
      </c>
      <c r="Q322" s="47"/>
      <c r="R322" s="50"/>
    </row>
    <row r="323" spans="1:18" ht="93" hidden="1" thickTop="1" thickBot="1" x14ac:dyDescent="0.25">
      <c r="A323" s="128" t="s">
        <v>630</v>
      </c>
      <c r="B323" s="128" t="s">
        <v>362</v>
      </c>
      <c r="C323" s="128" t="s">
        <v>625</v>
      </c>
      <c r="D323" s="128" t="s">
        <v>626</v>
      </c>
      <c r="E323" s="152">
        <f>F323</f>
        <v>0</v>
      </c>
      <c r="F323" s="129">
        <v>0</v>
      </c>
      <c r="G323" s="129"/>
      <c r="H323" s="129"/>
      <c r="I323" s="129"/>
      <c r="J323" s="127">
        <f t="shared" si="335"/>
        <v>0</v>
      </c>
      <c r="K323" s="129"/>
      <c r="L323" s="130"/>
      <c r="M323" s="130"/>
      <c r="N323" s="130"/>
      <c r="O323" s="132">
        <f t="shared" ref="O323" si="337">K323</f>
        <v>0</v>
      </c>
      <c r="P323" s="127">
        <f t="shared" ref="P323" si="338">+J323+E323</f>
        <v>0</v>
      </c>
      <c r="Q323" s="47"/>
      <c r="R323" s="50"/>
    </row>
    <row r="324" spans="1:18" ht="48" hidden="1" thickTop="1" thickBot="1" x14ac:dyDescent="0.25">
      <c r="A324" s="128" t="s">
        <v>928</v>
      </c>
      <c r="B324" s="128" t="s">
        <v>43</v>
      </c>
      <c r="C324" s="128" t="s">
        <v>42</v>
      </c>
      <c r="D324" s="128" t="s">
        <v>248</v>
      </c>
      <c r="E324" s="127">
        <f>F324</f>
        <v>0</v>
      </c>
      <c r="F324" s="134">
        <v>0</v>
      </c>
      <c r="G324" s="134"/>
      <c r="H324" s="134"/>
      <c r="I324" s="134"/>
      <c r="J324" s="127">
        <f t="shared" ref="J324" si="339">L324+O324</f>
        <v>0</v>
      </c>
      <c r="K324" s="129"/>
      <c r="L324" s="130"/>
      <c r="M324" s="130"/>
      <c r="N324" s="130"/>
      <c r="O324" s="132">
        <f t="shared" ref="O324" si="340">K324</f>
        <v>0</v>
      </c>
      <c r="P324" s="127">
        <f t="shared" ref="P324" si="341">+J324+E324</f>
        <v>0</v>
      </c>
      <c r="Q324" s="47"/>
      <c r="R324" s="50"/>
    </row>
    <row r="325" spans="1:18" ht="47.25" thickTop="1" thickBot="1" x14ac:dyDescent="0.25">
      <c r="A325" s="311" t="s">
        <v>1235</v>
      </c>
      <c r="B325" s="311" t="s">
        <v>711</v>
      </c>
      <c r="C325" s="311"/>
      <c r="D325" s="311" t="s">
        <v>712</v>
      </c>
      <c r="E325" s="328">
        <f t="shared" ref="E325:P325" si="342">SUM(E326:E326)</f>
        <v>0</v>
      </c>
      <c r="F325" s="328">
        <f t="shared" si="342"/>
        <v>0</v>
      </c>
      <c r="G325" s="328">
        <f t="shared" si="342"/>
        <v>0</v>
      </c>
      <c r="H325" s="328">
        <f t="shared" si="342"/>
        <v>0</v>
      </c>
      <c r="I325" s="328">
        <f t="shared" si="342"/>
        <v>0</v>
      </c>
      <c r="J325" s="328">
        <f t="shared" si="342"/>
        <v>8052064</v>
      </c>
      <c r="K325" s="328">
        <f t="shared" si="342"/>
        <v>8052064</v>
      </c>
      <c r="L325" s="328">
        <f t="shared" si="342"/>
        <v>0</v>
      </c>
      <c r="M325" s="328">
        <f t="shared" si="342"/>
        <v>0</v>
      </c>
      <c r="N325" s="328">
        <f t="shared" si="342"/>
        <v>0</v>
      </c>
      <c r="O325" s="328">
        <f t="shared" si="342"/>
        <v>8052064</v>
      </c>
      <c r="P325" s="328">
        <f t="shared" si="342"/>
        <v>8052064</v>
      </c>
      <c r="Q325" s="47"/>
      <c r="R325" s="50"/>
    </row>
    <row r="326" spans="1:18" ht="93" thickTop="1" thickBot="1" x14ac:dyDescent="0.25">
      <c r="A326" s="103" t="s">
        <v>1236</v>
      </c>
      <c r="B326" s="103" t="s">
        <v>1200</v>
      </c>
      <c r="C326" s="103" t="s">
        <v>206</v>
      </c>
      <c r="D326" s="470" t="s">
        <v>1201</v>
      </c>
      <c r="E326" s="328">
        <f t="shared" ref="E326" si="343">F326</f>
        <v>0</v>
      </c>
      <c r="F326" s="462">
        <v>0</v>
      </c>
      <c r="G326" s="462"/>
      <c r="H326" s="462"/>
      <c r="I326" s="462"/>
      <c r="J326" s="328">
        <f>L326+O326</f>
        <v>8052064</v>
      </c>
      <c r="K326" s="462">
        <f>((0)+2000000-100000)+6152064</f>
        <v>8052064</v>
      </c>
      <c r="L326" s="462"/>
      <c r="M326" s="462"/>
      <c r="N326" s="462"/>
      <c r="O326" s="459">
        <f>K326</f>
        <v>8052064</v>
      </c>
      <c r="P326" s="328">
        <f>E326+J326</f>
        <v>8052064</v>
      </c>
      <c r="Q326" s="47"/>
      <c r="R326" s="50"/>
    </row>
    <row r="327" spans="1:18" ht="47.25" hidden="1" thickTop="1" thickBot="1" x14ac:dyDescent="0.25">
      <c r="A327" s="125" t="s">
        <v>814</v>
      </c>
      <c r="B327" s="125" t="s">
        <v>770</v>
      </c>
      <c r="C327" s="128"/>
      <c r="D327" s="125" t="s">
        <v>771</v>
      </c>
      <c r="E327" s="152">
        <f>E328</f>
        <v>0</v>
      </c>
      <c r="F327" s="152">
        <f t="shared" ref="F327:P328" si="344">F328</f>
        <v>0</v>
      </c>
      <c r="G327" s="152">
        <f t="shared" si="344"/>
        <v>0</v>
      </c>
      <c r="H327" s="152">
        <f t="shared" si="344"/>
        <v>0</v>
      </c>
      <c r="I327" s="152">
        <f t="shared" si="344"/>
        <v>0</v>
      </c>
      <c r="J327" s="152">
        <f t="shared" si="344"/>
        <v>0</v>
      </c>
      <c r="K327" s="152">
        <f t="shared" si="344"/>
        <v>0</v>
      </c>
      <c r="L327" s="152">
        <f t="shared" si="344"/>
        <v>0</v>
      </c>
      <c r="M327" s="152">
        <f t="shared" si="344"/>
        <v>0</v>
      </c>
      <c r="N327" s="152">
        <f t="shared" si="344"/>
        <v>0</v>
      </c>
      <c r="O327" s="152">
        <f t="shared" si="344"/>
        <v>0</v>
      </c>
      <c r="P327" s="152">
        <f t="shared" si="344"/>
        <v>0</v>
      </c>
      <c r="Q327" s="47"/>
      <c r="R327" s="50"/>
    </row>
    <row r="328" spans="1:18" ht="48" hidden="1" thickTop="1" thickBot="1" x14ac:dyDescent="0.25">
      <c r="A328" s="140" t="s">
        <v>815</v>
      </c>
      <c r="B328" s="140" t="s">
        <v>816</v>
      </c>
      <c r="C328" s="140"/>
      <c r="D328" s="140" t="s">
        <v>817</v>
      </c>
      <c r="E328" s="158">
        <f>E329</f>
        <v>0</v>
      </c>
      <c r="F328" s="158">
        <f t="shared" si="344"/>
        <v>0</v>
      </c>
      <c r="G328" s="158">
        <f t="shared" si="344"/>
        <v>0</v>
      </c>
      <c r="H328" s="158">
        <f t="shared" si="344"/>
        <v>0</v>
      </c>
      <c r="I328" s="158">
        <f t="shared" si="344"/>
        <v>0</v>
      </c>
      <c r="J328" s="158">
        <f t="shared" si="344"/>
        <v>0</v>
      </c>
      <c r="K328" s="158">
        <f t="shared" si="344"/>
        <v>0</v>
      </c>
      <c r="L328" s="158">
        <f t="shared" si="344"/>
        <v>0</v>
      </c>
      <c r="M328" s="158">
        <f t="shared" si="344"/>
        <v>0</v>
      </c>
      <c r="N328" s="158">
        <f t="shared" si="344"/>
        <v>0</v>
      </c>
      <c r="O328" s="158">
        <f t="shared" si="344"/>
        <v>0</v>
      </c>
      <c r="P328" s="158">
        <f t="shared" si="344"/>
        <v>0</v>
      </c>
      <c r="Q328" s="47"/>
      <c r="R328" s="50"/>
    </row>
    <row r="329" spans="1:18" ht="184.5" hidden="1" thickTop="1" thickBot="1" x14ac:dyDescent="0.25">
      <c r="A329" s="128" t="s">
        <v>433</v>
      </c>
      <c r="B329" s="128" t="s">
        <v>434</v>
      </c>
      <c r="C329" s="128" t="s">
        <v>195</v>
      </c>
      <c r="D329" s="128" t="s">
        <v>1178</v>
      </c>
      <c r="E329" s="127">
        <f t="shared" ref="E329:E336" si="345">F329</f>
        <v>0</v>
      </c>
      <c r="F329" s="134"/>
      <c r="G329" s="134"/>
      <c r="H329" s="134"/>
      <c r="I329" s="134"/>
      <c r="J329" s="127">
        <f t="shared" si="335"/>
        <v>0</v>
      </c>
      <c r="K329" s="134">
        <v>0</v>
      </c>
      <c r="L329" s="134"/>
      <c r="M329" s="134"/>
      <c r="N329" s="134"/>
      <c r="O329" s="132">
        <f t="shared" ref="O329" si="346">K329</f>
        <v>0</v>
      </c>
      <c r="P329" s="127">
        <f t="shared" si="336"/>
        <v>0</v>
      </c>
      <c r="Q329" s="47"/>
      <c r="R329" s="46"/>
    </row>
    <row r="330" spans="1:18" ht="47.25" thickTop="1" thickBot="1" x14ac:dyDescent="0.25">
      <c r="A330" s="311" t="s">
        <v>818</v>
      </c>
      <c r="B330" s="311" t="s">
        <v>748</v>
      </c>
      <c r="C330" s="103"/>
      <c r="D330" s="311" t="s">
        <v>794</v>
      </c>
      <c r="E330" s="328">
        <f>E331+E339</f>
        <v>0</v>
      </c>
      <c r="F330" s="328">
        <f t="shared" ref="F330:I330" si="347">F331+F339</f>
        <v>0</v>
      </c>
      <c r="G330" s="328">
        <f t="shared" si="347"/>
        <v>0</v>
      </c>
      <c r="H330" s="328">
        <f t="shared" si="347"/>
        <v>0</v>
      </c>
      <c r="I330" s="328">
        <f t="shared" si="347"/>
        <v>0</v>
      </c>
      <c r="J330" s="328">
        <f t="shared" ref="J330" si="348">J331+J339</f>
        <v>56152393.939999998</v>
      </c>
      <c r="K330" s="328">
        <f t="shared" ref="K330" si="349">K331+K339</f>
        <v>56152393.939999998</v>
      </c>
      <c r="L330" s="328">
        <f t="shared" ref="L330" si="350">L331+L339</f>
        <v>0</v>
      </c>
      <c r="M330" s="328">
        <f t="shared" ref="M330" si="351">M331+M339</f>
        <v>0</v>
      </c>
      <c r="N330" s="328">
        <f t="shared" ref="N330" si="352">N331+N339</f>
        <v>0</v>
      </c>
      <c r="O330" s="328">
        <f t="shared" ref="O330" si="353">O331+O339</f>
        <v>56152393.939999998</v>
      </c>
      <c r="P330" s="328">
        <f t="shared" ref="P330" si="354">P331+P339</f>
        <v>56152393.939999998</v>
      </c>
      <c r="Q330" s="45"/>
      <c r="R330" s="46"/>
    </row>
    <row r="331" spans="1:18" ht="47.25" thickTop="1" thickBot="1" x14ac:dyDescent="0.25">
      <c r="A331" s="313" t="s">
        <v>819</v>
      </c>
      <c r="B331" s="313" t="s">
        <v>803</v>
      </c>
      <c r="C331" s="313"/>
      <c r="D331" s="313" t="s">
        <v>804</v>
      </c>
      <c r="E331" s="315">
        <f t="shared" ref="E331:P331" si="355">SUM(E332:E338)-E333</f>
        <v>0</v>
      </c>
      <c r="F331" s="315">
        <f t="shared" si="355"/>
        <v>0</v>
      </c>
      <c r="G331" s="315">
        <f t="shared" si="355"/>
        <v>0</v>
      </c>
      <c r="H331" s="315">
        <f t="shared" si="355"/>
        <v>0</v>
      </c>
      <c r="I331" s="315">
        <f t="shared" si="355"/>
        <v>0</v>
      </c>
      <c r="J331" s="315">
        <f t="shared" si="355"/>
        <v>56152393.939999998</v>
      </c>
      <c r="K331" s="315">
        <f t="shared" si="355"/>
        <v>56152393.939999998</v>
      </c>
      <c r="L331" s="315">
        <f t="shared" si="355"/>
        <v>0</v>
      </c>
      <c r="M331" s="315">
        <f t="shared" si="355"/>
        <v>0</v>
      </c>
      <c r="N331" s="315">
        <f t="shared" si="355"/>
        <v>0</v>
      </c>
      <c r="O331" s="315">
        <f t="shared" si="355"/>
        <v>56152393.939999998</v>
      </c>
      <c r="P331" s="315">
        <f t="shared" si="355"/>
        <v>56152393.939999998</v>
      </c>
      <c r="Q331" s="45"/>
      <c r="R331" s="46"/>
    </row>
    <row r="332" spans="1:18" ht="54" hidden="1" thickTop="1" thickBot="1" x14ac:dyDescent="0.25">
      <c r="A332" s="103" t="s">
        <v>927</v>
      </c>
      <c r="B332" s="103" t="s">
        <v>305</v>
      </c>
      <c r="C332" s="103" t="s">
        <v>304</v>
      </c>
      <c r="D332" s="103" t="s">
        <v>1502</v>
      </c>
      <c r="E332" s="328">
        <f t="shared" ref="E332" si="356">F332</f>
        <v>0</v>
      </c>
      <c r="F332" s="462"/>
      <c r="G332" s="462"/>
      <c r="H332" s="462"/>
      <c r="I332" s="462"/>
      <c r="J332" s="328">
        <f t="shared" ref="J332" si="357">L332+O332</f>
        <v>0</v>
      </c>
      <c r="K332" s="462">
        <v>0</v>
      </c>
      <c r="L332" s="462"/>
      <c r="M332" s="462"/>
      <c r="N332" s="462"/>
      <c r="O332" s="459">
        <f>K332</f>
        <v>0</v>
      </c>
      <c r="P332" s="328">
        <f t="shared" ref="P332" si="358">E332+J332</f>
        <v>0</v>
      </c>
      <c r="Q332" s="45"/>
      <c r="R332" s="46"/>
    </row>
    <row r="333" spans="1:18" ht="54.75" thickTop="1" thickBot="1" x14ac:dyDescent="0.25">
      <c r="A333" s="329" t="s">
        <v>820</v>
      </c>
      <c r="B333" s="329" t="s">
        <v>821</v>
      </c>
      <c r="C333" s="329"/>
      <c r="D333" s="329" t="s">
        <v>1508</v>
      </c>
      <c r="E333" s="325">
        <f>SUM(E334:E335)</f>
        <v>0</v>
      </c>
      <c r="F333" s="325">
        <f t="shared" ref="F333:P333" si="359">SUM(F334:F335)</f>
        <v>0</v>
      </c>
      <c r="G333" s="325">
        <f t="shared" si="359"/>
        <v>0</v>
      </c>
      <c r="H333" s="325">
        <f t="shared" si="359"/>
        <v>0</v>
      </c>
      <c r="I333" s="325">
        <f t="shared" si="359"/>
        <v>0</v>
      </c>
      <c r="J333" s="325">
        <f t="shared" si="359"/>
        <v>50425815.939999998</v>
      </c>
      <c r="K333" s="325">
        <f t="shared" si="359"/>
        <v>50425815.939999998</v>
      </c>
      <c r="L333" s="325">
        <f t="shared" si="359"/>
        <v>0</v>
      </c>
      <c r="M333" s="325">
        <f t="shared" si="359"/>
        <v>0</v>
      </c>
      <c r="N333" s="325">
        <f t="shared" si="359"/>
        <v>0</v>
      </c>
      <c r="O333" s="325">
        <f t="shared" si="359"/>
        <v>50425815.939999998</v>
      </c>
      <c r="P333" s="325">
        <f t="shared" si="359"/>
        <v>50425815.939999998</v>
      </c>
      <c r="Q333" s="45"/>
      <c r="R333" s="46"/>
    </row>
    <row r="334" spans="1:18" ht="54" thickTop="1" thickBot="1" x14ac:dyDescent="0.25">
      <c r="A334" s="103" t="s">
        <v>310</v>
      </c>
      <c r="B334" s="103" t="s">
        <v>311</v>
      </c>
      <c r="C334" s="103" t="s">
        <v>304</v>
      </c>
      <c r="D334" s="103" t="s">
        <v>1504</v>
      </c>
      <c r="E334" s="328">
        <f t="shared" si="345"/>
        <v>0</v>
      </c>
      <c r="F334" s="462"/>
      <c r="G334" s="462"/>
      <c r="H334" s="462"/>
      <c r="I334" s="462"/>
      <c r="J334" s="328">
        <f t="shared" si="335"/>
        <v>49425815.939999998</v>
      </c>
      <c r="K334" s="462">
        <f>((13000000)+27425815.94)+9000000</f>
        <v>49425815.939999998</v>
      </c>
      <c r="L334" s="462"/>
      <c r="M334" s="462"/>
      <c r="N334" s="462"/>
      <c r="O334" s="459">
        <f>K334</f>
        <v>49425815.939999998</v>
      </c>
      <c r="P334" s="328">
        <f t="shared" si="336"/>
        <v>49425815.939999998</v>
      </c>
      <c r="Q334" s="477"/>
      <c r="R334" s="46"/>
    </row>
    <row r="335" spans="1:18" ht="54" thickTop="1" thickBot="1" x14ac:dyDescent="0.25">
      <c r="A335" s="103" t="s">
        <v>516</v>
      </c>
      <c r="B335" s="103" t="s">
        <v>517</v>
      </c>
      <c r="C335" s="103" t="s">
        <v>304</v>
      </c>
      <c r="D335" s="103" t="s">
        <v>1509</v>
      </c>
      <c r="E335" s="328">
        <f t="shared" si="345"/>
        <v>0</v>
      </c>
      <c r="F335" s="462"/>
      <c r="G335" s="462"/>
      <c r="H335" s="462"/>
      <c r="I335" s="462"/>
      <c r="J335" s="328">
        <f t="shared" si="335"/>
        <v>1000000</v>
      </c>
      <c r="K335" s="462">
        <f>(0)+1000000</f>
        <v>1000000</v>
      </c>
      <c r="L335" s="462"/>
      <c r="M335" s="462"/>
      <c r="N335" s="462"/>
      <c r="O335" s="459">
        <f>K335</f>
        <v>1000000</v>
      </c>
      <c r="P335" s="328">
        <f t="shared" si="336"/>
        <v>1000000</v>
      </c>
      <c r="Q335" s="126"/>
      <c r="R335" s="46"/>
    </row>
    <row r="336" spans="1:18" ht="54" hidden="1" thickTop="1" thickBot="1" x14ac:dyDescent="0.25">
      <c r="A336" s="103" t="s">
        <v>312</v>
      </c>
      <c r="B336" s="103" t="s">
        <v>313</v>
      </c>
      <c r="C336" s="103" t="s">
        <v>304</v>
      </c>
      <c r="D336" s="103" t="s">
        <v>1510</v>
      </c>
      <c r="E336" s="328">
        <f t="shared" si="345"/>
        <v>0</v>
      </c>
      <c r="F336" s="462"/>
      <c r="G336" s="462"/>
      <c r="H336" s="462"/>
      <c r="I336" s="462"/>
      <c r="J336" s="328">
        <f t="shared" si="335"/>
        <v>0</v>
      </c>
      <c r="K336" s="462"/>
      <c r="L336" s="462"/>
      <c r="M336" s="462"/>
      <c r="N336" s="462"/>
      <c r="O336" s="459">
        <f>K336</f>
        <v>0</v>
      </c>
      <c r="P336" s="328">
        <f t="shared" si="336"/>
        <v>0</v>
      </c>
      <c r="Q336" s="126"/>
    </row>
    <row r="337" spans="1:18" ht="54" thickTop="1" thickBot="1" x14ac:dyDescent="0.3">
      <c r="A337" s="103" t="s">
        <v>314</v>
      </c>
      <c r="B337" s="103" t="s">
        <v>315</v>
      </c>
      <c r="C337" s="103" t="s">
        <v>304</v>
      </c>
      <c r="D337" s="103" t="s">
        <v>1505</v>
      </c>
      <c r="E337" s="328">
        <f>F337</f>
        <v>0</v>
      </c>
      <c r="F337" s="462"/>
      <c r="G337" s="462"/>
      <c r="H337" s="462"/>
      <c r="I337" s="462"/>
      <c r="J337" s="328">
        <f t="shared" si="335"/>
        <v>5726578</v>
      </c>
      <c r="K337" s="462">
        <f>(((3000000)+100000)+26578)+2600000</f>
        <v>5726578</v>
      </c>
      <c r="L337" s="462"/>
      <c r="M337" s="462"/>
      <c r="N337" s="462"/>
      <c r="O337" s="459">
        <f>K337</f>
        <v>5726578</v>
      </c>
      <c r="P337" s="328">
        <f t="shared" si="336"/>
        <v>5726578</v>
      </c>
      <c r="Q337" s="162"/>
      <c r="R337" s="46"/>
    </row>
    <row r="338" spans="1:18" ht="93" hidden="1" thickTop="1" thickBot="1" x14ac:dyDescent="0.25">
      <c r="A338" s="41" t="s">
        <v>437</v>
      </c>
      <c r="B338" s="41" t="s">
        <v>350</v>
      </c>
      <c r="C338" s="41" t="s">
        <v>170</v>
      </c>
      <c r="D338" s="41" t="s">
        <v>262</v>
      </c>
      <c r="E338" s="42">
        <f>F338</f>
        <v>0</v>
      </c>
      <c r="F338" s="43"/>
      <c r="G338" s="43"/>
      <c r="H338" s="43"/>
      <c r="I338" s="43"/>
      <c r="J338" s="42">
        <f t="shared" si="335"/>
        <v>0</v>
      </c>
      <c r="K338" s="43">
        <v>0</v>
      </c>
      <c r="L338" s="43"/>
      <c r="M338" s="43"/>
      <c r="N338" s="43"/>
      <c r="O338" s="44">
        <f>K338</f>
        <v>0</v>
      </c>
      <c r="P338" s="42">
        <f t="shared" si="336"/>
        <v>0</v>
      </c>
      <c r="Q338" s="20"/>
      <c r="R338" s="46"/>
    </row>
    <row r="339" spans="1:18" ht="47.25" hidden="1" thickTop="1" thickBot="1" x14ac:dyDescent="0.25">
      <c r="A339" s="136" t="s">
        <v>988</v>
      </c>
      <c r="B339" s="136" t="s">
        <v>691</v>
      </c>
      <c r="C339" s="136"/>
      <c r="D339" s="136" t="s">
        <v>689</v>
      </c>
      <c r="E339" s="159">
        <f>E340</f>
        <v>0</v>
      </c>
      <c r="F339" s="159">
        <f>F340</f>
        <v>0</v>
      </c>
      <c r="G339" s="159">
        <f>G340</f>
        <v>0</v>
      </c>
      <c r="H339" s="159">
        <f>H340</f>
        <v>0</v>
      </c>
      <c r="I339" s="159">
        <f>I340</f>
        <v>0</v>
      </c>
      <c r="J339" s="159">
        <f t="shared" ref="J339:O339" si="360">J340</f>
        <v>0</v>
      </c>
      <c r="K339" s="159">
        <f t="shared" si="360"/>
        <v>0</v>
      </c>
      <c r="L339" s="159">
        <f t="shared" si="360"/>
        <v>0</v>
      </c>
      <c r="M339" s="159">
        <f t="shared" si="360"/>
        <v>0</v>
      </c>
      <c r="N339" s="159">
        <f t="shared" si="360"/>
        <v>0</v>
      </c>
      <c r="O339" s="159">
        <f t="shared" si="360"/>
        <v>0</v>
      </c>
      <c r="P339" s="159">
        <f>P340</f>
        <v>0</v>
      </c>
      <c r="Q339" s="20"/>
      <c r="R339" s="46"/>
    </row>
    <row r="340" spans="1:18" ht="48" hidden="1" thickTop="1" thickBot="1" x14ac:dyDescent="0.25">
      <c r="A340" s="140" t="s">
        <v>989</v>
      </c>
      <c r="B340" s="140" t="s">
        <v>694</v>
      </c>
      <c r="C340" s="140"/>
      <c r="D340" s="140" t="s">
        <v>797</v>
      </c>
      <c r="E340" s="158">
        <f>E341+E343</f>
        <v>0</v>
      </c>
      <c r="F340" s="158">
        <f t="shared" ref="F340:P340" si="361">F341+F343</f>
        <v>0</v>
      </c>
      <c r="G340" s="158">
        <f t="shared" si="361"/>
        <v>0</v>
      </c>
      <c r="H340" s="158">
        <f t="shared" si="361"/>
        <v>0</v>
      </c>
      <c r="I340" s="158">
        <f t="shared" si="361"/>
        <v>0</v>
      </c>
      <c r="J340" s="158">
        <f t="shared" si="361"/>
        <v>0</v>
      </c>
      <c r="K340" s="158">
        <f t="shared" si="361"/>
        <v>0</v>
      </c>
      <c r="L340" s="158">
        <f t="shared" si="361"/>
        <v>0</v>
      </c>
      <c r="M340" s="158">
        <f t="shared" si="361"/>
        <v>0</v>
      </c>
      <c r="N340" s="158">
        <f t="shared" si="361"/>
        <v>0</v>
      </c>
      <c r="O340" s="158">
        <f t="shared" si="361"/>
        <v>0</v>
      </c>
      <c r="P340" s="158">
        <f t="shared" si="361"/>
        <v>0</v>
      </c>
      <c r="Q340" s="20"/>
      <c r="R340" s="46"/>
    </row>
    <row r="341" spans="1:18" ht="184.5" hidden="1" thickTop="1" thickBot="1" x14ac:dyDescent="0.7">
      <c r="A341" s="793" t="s">
        <v>990</v>
      </c>
      <c r="B341" s="793" t="s">
        <v>338</v>
      </c>
      <c r="C341" s="793" t="s">
        <v>170</v>
      </c>
      <c r="D341" s="163" t="s">
        <v>440</v>
      </c>
      <c r="E341" s="794">
        <f t="shared" ref="E341" si="362">F341</f>
        <v>0</v>
      </c>
      <c r="F341" s="795"/>
      <c r="G341" s="795"/>
      <c r="H341" s="795"/>
      <c r="I341" s="795"/>
      <c r="J341" s="794">
        <f t="shared" ref="J341" si="363">L341+O341</f>
        <v>0</v>
      </c>
      <c r="K341" s="795"/>
      <c r="L341" s="795"/>
      <c r="M341" s="795"/>
      <c r="N341" s="795"/>
      <c r="O341" s="799">
        <f>K341</f>
        <v>0</v>
      </c>
      <c r="P341" s="792">
        <f>E341+J341</f>
        <v>0</v>
      </c>
      <c r="Q341" s="20"/>
      <c r="R341" s="46"/>
    </row>
    <row r="342" spans="1:18" ht="93" hidden="1" thickTop="1" thickBot="1" x14ac:dyDescent="0.25">
      <c r="A342" s="793"/>
      <c r="B342" s="793"/>
      <c r="C342" s="793"/>
      <c r="D342" s="164" t="s">
        <v>441</v>
      </c>
      <c r="E342" s="794"/>
      <c r="F342" s="795"/>
      <c r="G342" s="795"/>
      <c r="H342" s="795"/>
      <c r="I342" s="795"/>
      <c r="J342" s="794"/>
      <c r="K342" s="795"/>
      <c r="L342" s="795"/>
      <c r="M342" s="795"/>
      <c r="N342" s="795"/>
      <c r="O342" s="799"/>
      <c r="P342" s="792"/>
      <c r="Q342" s="20"/>
      <c r="R342" s="46"/>
    </row>
    <row r="343" spans="1:18" ht="48" hidden="1" thickTop="1" thickBot="1" x14ac:dyDescent="0.25">
      <c r="A343" s="128" t="s">
        <v>1193</v>
      </c>
      <c r="B343" s="128" t="s">
        <v>257</v>
      </c>
      <c r="C343" s="128" t="s">
        <v>170</v>
      </c>
      <c r="D343" s="156" t="s">
        <v>255</v>
      </c>
      <c r="E343" s="127">
        <f>F343</f>
        <v>0</v>
      </c>
      <c r="F343" s="134"/>
      <c r="G343" s="134"/>
      <c r="H343" s="134"/>
      <c r="I343" s="134"/>
      <c r="J343" s="127">
        <f t="shared" ref="J343" si="364">L343+O343</f>
        <v>0</v>
      </c>
      <c r="K343" s="134"/>
      <c r="L343" s="134"/>
      <c r="M343" s="134"/>
      <c r="N343" s="134"/>
      <c r="O343" s="132">
        <f>K343</f>
        <v>0</v>
      </c>
      <c r="P343" s="127">
        <f t="shared" ref="P343" si="365">E343+J343</f>
        <v>0</v>
      </c>
      <c r="Q343" s="20"/>
      <c r="R343" s="46"/>
    </row>
    <row r="344" spans="1:18" ht="120" customHeight="1" thickTop="1" thickBot="1" x14ac:dyDescent="0.25">
      <c r="A344" s="661" t="s">
        <v>160</v>
      </c>
      <c r="B344" s="661"/>
      <c r="C344" s="661"/>
      <c r="D344" s="662" t="s">
        <v>893</v>
      </c>
      <c r="E344" s="663">
        <f>E345</f>
        <v>8309836</v>
      </c>
      <c r="F344" s="664">
        <f t="shared" ref="F344:G344" si="366">F345</f>
        <v>8309836</v>
      </c>
      <c r="G344" s="664">
        <f t="shared" si="366"/>
        <v>6132550</v>
      </c>
      <c r="H344" s="664">
        <f>H345</f>
        <v>245635</v>
      </c>
      <c r="I344" s="664">
        <f t="shared" ref="I344" si="367">I345</f>
        <v>0</v>
      </c>
      <c r="J344" s="663">
        <f>J345</f>
        <v>0</v>
      </c>
      <c r="K344" s="664">
        <f>K345</f>
        <v>0</v>
      </c>
      <c r="L344" s="664">
        <f>L345</f>
        <v>0</v>
      </c>
      <c r="M344" s="664">
        <f t="shared" ref="M344" si="368">M345</f>
        <v>0</v>
      </c>
      <c r="N344" s="664">
        <f>N345</f>
        <v>0</v>
      </c>
      <c r="O344" s="663">
        <f>O345</f>
        <v>0</v>
      </c>
      <c r="P344" s="664">
        <f t="shared" ref="P344" si="369">P345</f>
        <v>8309836</v>
      </c>
      <c r="Q344" s="20"/>
    </row>
    <row r="345" spans="1:18" ht="120" customHeight="1" thickTop="1" thickBot="1" x14ac:dyDescent="0.25">
      <c r="A345" s="658" t="s">
        <v>161</v>
      </c>
      <c r="B345" s="658"/>
      <c r="C345" s="658"/>
      <c r="D345" s="659" t="s">
        <v>894</v>
      </c>
      <c r="E345" s="660">
        <f>E346+E350</f>
        <v>8309836</v>
      </c>
      <c r="F345" s="660">
        <f>F346+F350</f>
        <v>8309836</v>
      </c>
      <c r="G345" s="660">
        <f>G346+G350</f>
        <v>6132550</v>
      </c>
      <c r="H345" s="660">
        <f>H346+H350</f>
        <v>245635</v>
      </c>
      <c r="I345" s="660">
        <f>I346+I350</f>
        <v>0</v>
      </c>
      <c r="J345" s="660">
        <f>L345+O345</f>
        <v>0</v>
      </c>
      <c r="K345" s="660">
        <f>K346+K350</f>
        <v>0</v>
      </c>
      <c r="L345" s="660">
        <f>L346+L350</f>
        <v>0</v>
      </c>
      <c r="M345" s="660">
        <f>M346+M350</f>
        <v>0</v>
      </c>
      <c r="N345" s="660">
        <f>N346+N350</f>
        <v>0</v>
      </c>
      <c r="O345" s="660">
        <f>O346+O350</f>
        <v>0</v>
      </c>
      <c r="P345" s="660">
        <f>E345+J345</f>
        <v>8309836</v>
      </c>
      <c r="Q345" s="503" t="b">
        <f>P345=P347+P349</f>
        <v>1</v>
      </c>
      <c r="R345" s="46"/>
    </row>
    <row r="346" spans="1:18" ht="47.25" thickTop="1" thickBot="1" x14ac:dyDescent="0.25">
      <c r="A346" s="311" t="s">
        <v>822</v>
      </c>
      <c r="B346" s="311" t="s">
        <v>684</v>
      </c>
      <c r="C346" s="311"/>
      <c r="D346" s="311" t="s">
        <v>685</v>
      </c>
      <c r="E346" s="328">
        <f>SUM(E347:E349)</f>
        <v>8309836</v>
      </c>
      <c r="F346" s="328">
        <f t="shared" ref="F346:N346" si="370">SUM(F347:F349)</f>
        <v>8309836</v>
      </c>
      <c r="G346" s="328">
        <f t="shared" si="370"/>
        <v>6132550</v>
      </c>
      <c r="H346" s="328">
        <f t="shared" si="370"/>
        <v>245635</v>
      </c>
      <c r="I346" s="328">
        <f t="shared" si="370"/>
        <v>0</v>
      </c>
      <c r="J346" s="328">
        <f t="shared" si="370"/>
        <v>0</v>
      </c>
      <c r="K346" s="328">
        <f t="shared" si="370"/>
        <v>0</v>
      </c>
      <c r="L346" s="328">
        <f t="shared" si="370"/>
        <v>0</v>
      </c>
      <c r="M346" s="328">
        <f t="shared" si="370"/>
        <v>0</v>
      </c>
      <c r="N346" s="328">
        <f t="shared" si="370"/>
        <v>0</v>
      </c>
      <c r="O346" s="328">
        <f>SUM(O347:O349)</f>
        <v>0</v>
      </c>
      <c r="P346" s="328">
        <f>SUM(P347:P349)</f>
        <v>8309836</v>
      </c>
      <c r="Q346" s="47"/>
      <c r="R346" s="46"/>
    </row>
    <row r="347" spans="1:18" ht="93" thickTop="1" thickBot="1" x14ac:dyDescent="0.25">
      <c r="A347" s="103" t="s">
        <v>419</v>
      </c>
      <c r="B347" s="103" t="s">
        <v>236</v>
      </c>
      <c r="C347" s="103" t="s">
        <v>234</v>
      </c>
      <c r="D347" s="103" t="s">
        <v>235</v>
      </c>
      <c r="E347" s="328">
        <f>F347</f>
        <v>8209936</v>
      </c>
      <c r="F347" s="462">
        <v>8209936</v>
      </c>
      <c r="G347" s="462">
        <v>6132550</v>
      </c>
      <c r="H347" s="462">
        <v>245635</v>
      </c>
      <c r="I347" s="462"/>
      <c r="J347" s="328">
        <f>L347+O347</f>
        <v>0</v>
      </c>
      <c r="K347" s="462">
        <v>0</v>
      </c>
      <c r="L347" s="462"/>
      <c r="M347" s="462"/>
      <c r="N347" s="462"/>
      <c r="O347" s="459">
        <f>K347</f>
        <v>0</v>
      </c>
      <c r="P347" s="328">
        <f>E347+J347</f>
        <v>8209936</v>
      </c>
      <c r="Q347" s="47"/>
      <c r="R347" s="46"/>
    </row>
    <row r="348" spans="1:18" ht="93" hidden="1" thickTop="1" thickBot="1" x14ac:dyDescent="0.25">
      <c r="A348" s="128" t="s">
        <v>631</v>
      </c>
      <c r="B348" s="128" t="s">
        <v>362</v>
      </c>
      <c r="C348" s="128" t="s">
        <v>625</v>
      </c>
      <c r="D348" s="128" t="s">
        <v>626</v>
      </c>
      <c r="E348" s="152">
        <f>F348</f>
        <v>0</v>
      </c>
      <c r="F348" s="129">
        <v>0</v>
      </c>
      <c r="G348" s="129"/>
      <c r="H348" s="129"/>
      <c r="I348" s="129"/>
      <c r="J348" s="127">
        <f t="shared" ref="J348:J349" si="371">L348+O348</f>
        <v>0</v>
      </c>
      <c r="K348" s="129"/>
      <c r="L348" s="130"/>
      <c r="M348" s="130"/>
      <c r="N348" s="130"/>
      <c r="O348" s="132">
        <f t="shared" ref="O348:O349" si="372">K348</f>
        <v>0</v>
      </c>
      <c r="P348" s="127">
        <f t="shared" ref="P348" si="373">+J348+E348</f>
        <v>0</v>
      </c>
      <c r="Q348" s="47"/>
      <c r="R348" s="46"/>
    </row>
    <row r="349" spans="1:18" ht="69.75" customHeight="1" thickTop="1" thickBot="1" x14ac:dyDescent="0.25">
      <c r="A349" s="735" t="s">
        <v>1260</v>
      </c>
      <c r="B349" s="735" t="s">
        <v>43</v>
      </c>
      <c r="C349" s="735" t="s">
        <v>42</v>
      </c>
      <c r="D349" s="735" t="s">
        <v>248</v>
      </c>
      <c r="E349" s="736">
        <f t="shared" ref="E349" si="374">F349</f>
        <v>99900</v>
      </c>
      <c r="F349" s="737">
        <f>(0)+99900</f>
        <v>99900</v>
      </c>
      <c r="G349" s="737"/>
      <c r="H349" s="737"/>
      <c r="I349" s="737"/>
      <c r="J349" s="736">
        <f t="shared" si="371"/>
        <v>0</v>
      </c>
      <c r="K349" s="737"/>
      <c r="L349" s="737"/>
      <c r="M349" s="737"/>
      <c r="N349" s="737"/>
      <c r="O349" s="739">
        <f t="shared" si="372"/>
        <v>0</v>
      </c>
      <c r="P349" s="736">
        <f>E349+J349</f>
        <v>99900</v>
      </c>
      <c r="Q349" s="47"/>
      <c r="R349" s="46"/>
    </row>
    <row r="350" spans="1:18" ht="47.25" hidden="1" thickTop="1" thickBot="1" x14ac:dyDescent="0.25">
      <c r="A350" s="125" t="s">
        <v>909</v>
      </c>
      <c r="B350" s="125" t="s">
        <v>748</v>
      </c>
      <c r="C350" s="128"/>
      <c r="D350" s="125" t="s">
        <v>794</v>
      </c>
      <c r="E350" s="127">
        <f>E351</f>
        <v>0</v>
      </c>
      <c r="F350" s="127">
        <f t="shared" ref="F350:P351" si="375">F351</f>
        <v>0</v>
      </c>
      <c r="G350" s="127">
        <f t="shared" si="375"/>
        <v>0</v>
      </c>
      <c r="H350" s="127">
        <f t="shared" si="375"/>
        <v>0</v>
      </c>
      <c r="I350" s="127">
        <f t="shared" si="375"/>
        <v>0</v>
      </c>
      <c r="J350" s="127">
        <f t="shared" si="375"/>
        <v>0</v>
      </c>
      <c r="K350" s="127">
        <f t="shared" si="375"/>
        <v>0</v>
      </c>
      <c r="L350" s="127">
        <f t="shared" si="375"/>
        <v>0</v>
      </c>
      <c r="M350" s="127">
        <f t="shared" si="375"/>
        <v>0</v>
      </c>
      <c r="N350" s="127">
        <f t="shared" si="375"/>
        <v>0</v>
      </c>
      <c r="O350" s="127">
        <f t="shared" si="375"/>
        <v>0</v>
      </c>
      <c r="P350" s="127">
        <f t="shared" si="375"/>
        <v>0</v>
      </c>
      <c r="Q350" s="47"/>
      <c r="R350" s="46"/>
    </row>
    <row r="351" spans="1:18" ht="47.25" hidden="1" thickTop="1" thickBot="1" x14ac:dyDescent="0.25">
      <c r="A351" s="136" t="s">
        <v>910</v>
      </c>
      <c r="B351" s="136" t="s">
        <v>803</v>
      </c>
      <c r="C351" s="136"/>
      <c r="D351" s="136" t="s">
        <v>804</v>
      </c>
      <c r="E351" s="137">
        <f>E352</f>
        <v>0</v>
      </c>
      <c r="F351" s="137">
        <f t="shared" si="375"/>
        <v>0</v>
      </c>
      <c r="G351" s="137">
        <f t="shared" si="375"/>
        <v>0</v>
      </c>
      <c r="H351" s="137">
        <f t="shared" si="375"/>
        <v>0</v>
      </c>
      <c r="I351" s="137">
        <f t="shared" si="375"/>
        <v>0</v>
      </c>
      <c r="J351" s="137">
        <f t="shared" si="375"/>
        <v>0</v>
      </c>
      <c r="K351" s="137">
        <f t="shared" si="375"/>
        <v>0</v>
      </c>
      <c r="L351" s="137">
        <f t="shared" si="375"/>
        <v>0</v>
      </c>
      <c r="M351" s="137">
        <f t="shared" si="375"/>
        <v>0</v>
      </c>
      <c r="N351" s="137">
        <f t="shared" si="375"/>
        <v>0</v>
      </c>
      <c r="O351" s="137">
        <f t="shared" si="375"/>
        <v>0</v>
      </c>
      <c r="P351" s="137">
        <f t="shared" si="375"/>
        <v>0</v>
      </c>
      <c r="Q351" s="47"/>
      <c r="R351" s="46"/>
    </row>
    <row r="352" spans="1:18" ht="93" hidden="1" thickTop="1" thickBot="1" x14ac:dyDescent="0.25">
      <c r="A352" s="128" t="s">
        <v>911</v>
      </c>
      <c r="B352" s="128" t="s">
        <v>912</v>
      </c>
      <c r="C352" s="128" t="s">
        <v>304</v>
      </c>
      <c r="D352" s="128" t="s">
        <v>913</v>
      </c>
      <c r="E352" s="152">
        <f>F352</f>
        <v>0</v>
      </c>
      <c r="F352" s="129"/>
      <c r="G352" s="129"/>
      <c r="H352" s="129"/>
      <c r="I352" s="129"/>
      <c r="J352" s="127">
        <f t="shared" ref="J352" si="376">L352+O352</f>
        <v>0</v>
      </c>
      <c r="K352" s="129">
        <v>0</v>
      </c>
      <c r="L352" s="130"/>
      <c r="M352" s="130"/>
      <c r="N352" s="130"/>
      <c r="O352" s="132">
        <f t="shared" ref="O352" si="377">K352</f>
        <v>0</v>
      </c>
      <c r="P352" s="127">
        <f t="shared" ref="P352" si="378">+J352+E352</f>
        <v>0</v>
      </c>
      <c r="Q352" s="47"/>
      <c r="R352" s="46"/>
    </row>
    <row r="353" spans="1:18" ht="120" customHeight="1" thickTop="1" thickBot="1" x14ac:dyDescent="0.25">
      <c r="A353" s="661" t="s">
        <v>444</v>
      </c>
      <c r="B353" s="661"/>
      <c r="C353" s="661"/>
      <c r="D353" s="662" t="s">
        <v>446</v>
      </c>
      <c r="E353" s="663">
        <f>E354</f>
        <v>170804882</v>
      </c>
      <c r="F353" s="664">
        <f t="shared" ref="F353:G353" si="379">F354</f>
        <v>170804882</v>
      </c>
      <c r="G353" s="664">
        <f t="shared" si="379"/>
        <v>4332271</v>
      </c>
      <c r="H353" s="664">
        <f>H354</f>
        <v>189628</v>
      </c>
      <c r="I353" s="664">
        <f t="shared" ref="I353" si="380">I354</f>
        <v>0</v>
      </c>
      <c r="J353" s="663">
        <f>J354</f>
        <v>156500</v>
      </c>
      <c r="K353" s="664">
        <f>K354</f>
        <v>156500</v>
      </c>
      <c r="L353" s="664">
        <f>L354</f>
        <v>0</v>
      </c>
      <c r="M353" s="664">
        <f t="shared" ref="M353" si="381">M354</f>
        <v>0</v>
      </c>
      <c r="N353" s="664">
        <f>N354</f>
        <v>0</v>
      </c>
      <c r="O353" s="663">
        <f>O354</f>
        <v>156500</v>
      </c>
      <c r="P353" s="664">
        <f t="shared" ref="P353" si="382">P354</f>
        <v>170961382</v>
      </c>
      <c r="Q353" s="20"/>
    </row>
    <row r="354" spans="1:18" ht="120" customHeight="1" thickTop="1" thickBot="1" x14ac:dyDescent="0.25">
      <c r="A354" s="658" t="s">
        <v>445</v>
      </c>
      <c r="B354" s="658"/>
      <c r="C354" s="658"/>
      <c r="D354" s="659" t="s">
        <v>447</v>
      </c>
      <c r="E354" s="660">
        <f t="shared" ref="E354:O354" si="383">E355+E358+E367+E370</f>
        <v>170804882</v>
      </c>
      <c r="F354" s="660">
        <f t="shared" si="383"/>
        <v>170804882</v>
      </c>
      <c r="G354" s="660">
        <f t="shared" si="383"/>
        <v>4332271</v>
      </c>
      <c r="H354" s="660">
        <f t="shared" si="383"/>
        <v>189628</v>
      </c>
      <c r="I354" s="660">
        <f t="shared" si="383"/>
        <v>0</v>
      </c>
      <c r="J354" s="660">
        <f t="shared" si="383"/>
        <v>156500</v>
      </c>
      <c r="K354" s="660">
        <f t="shared" si="383"/>
        <v>156500</v>
      </c>
      <c r="L354" s="660">
        <f t="shared" si="383"/>
        <v>0</v>
      </c>
      <c r="M354" s="660">
        <f t="shared" si="383"/>
        <v>0</v>
      </c>
      <c r="N354" s="660">
        <f t="shared" si="383"/>
        <v>0</v>
      </c>
      <c r="O354" s="660">
        <f t="shared" si="383"/>
        <v>156500</v>
      </c>
      <c r="P354" s="660">
        <f>E354+J354</f>
        <v>170961382</v>
      </c>
      <c r="Q354" s="503" t="b">
        <f>P354=P356+P361+P363+P369+P366</f>
        <v>1</v>
      </c>
      <c r="R354" s="46"/>
    </row>
    <row r="355" spans="1:18" ht="47.25" thickTop="1" thickBot="1" x14ac:dyDescent="0.25">
      <c r="A355" s="311" t="s">
        <v>823</v>
      </c>
      <c r="B355" s="311" t="s">
        <v>684</v>
      </c>
      <c r="C355" s="311"/>
      <c r="D355" s="311" t="s">
        <v>685</v>
      </c>
      <c r="E355" s="328">
        <f>SUM(E356:E357)</f>
        <v>9955335</v>
      </c>
      <c r="F355" s="328">
        <f t="shared" ref="F355" si="384">SUM(F356:F357)</f>
        <v>9955335</v>
      </c>
      <c r="G355" s="328">
        <f t="shared" ref="G355" si="385">SUM(G356:G357)</f>
        <v>4332271</v>
      </c>
      <c r="H355" s="328">
        <f t="shared" ref="H355" si="386">SUM(H356:H357)</f>
        <v>189628</v>
      </c>
      <c r="I355" s="328">
        <f t="shared" ref="I355" si="387">SUM(I356:I357)</f>
        <v>0</v>
      </c>
      <c r="J355" s="328">
        <f t="shared" ref="J355" si="388">SUM(J356:J357)</f>
        <v>0</v>
      </c>
      <c r="K355" s="328">
        <f t="shared" ref="K355" si="389">SUM(K356:K357)</f>
        <v>0</v>
      </c>
      <c r="L355" s="328">
        <f t="shared" ref="L355" si="390">SUM(L356:L357)</f>
        <v>0</v>
      </c>
      <c r="M355" s="328">
        <f t="shared" ref="M355" si="391">SUM(M356:M357)</f>
        <v>0</v>
      </c>
      <c r="N355" s="328">
        <f t="shared" ref="N355" si="392">SUM(N356:N357)</f>
        <v>0</v>
      </c>
      <c r="O355" s="328">
        <f t="shared" ref="O355" si="393">SUM(O356:O357)</f>
        <v>0</v>
      </c>
      <c r="P355" s="328">
        <f t="shared" ref="P355" si="394">SUM(P356:P357)</f>
        <v>9955335</v>
      </c>
      <c r="Q355" s="47"/>
      <c r="R355" s="46"/>
    </row>
    <row r="356" spans="1:18" ht="93" thickTop="1" thickBot="1" x14ac:dyDescent="0.25">
      <c r="A356" s="103" t="s">
        <v>448</v>
      </c>
      <c r="B356" s="103" t="s">
        <v>236</v>
      </c>
      <c r="C356" s="103" t="s">
        <v>234</v>
      </c>
      <c r="D356" s="103" t="s">
        <v>235</v>
      </c>
      <c r="E356" s="328">
        <f>F356</f>
        <v>9955335</v>
      </c>
      <c r="F356" s="462">
        <v>9955335</v>
      </c>
      <c r="G356" s="462">
        <v>4332271</v>
      </c>
      <c r="H356" s="462">
        <v>189628</v>
      </c>
      <c r="I356" s="462"/>
      <c r="J356" s="328">
        <f>L356+O356</f>
        <v>0</v>
      </c>
      <c r="K356" s="462">
        <v>0</v>
      </c>
      <c r="L356" s="462"/>
      <c r="M356" s="462"/>
      <c r="N356" s="462"/>
      <c r="O356" s="459">
        <f>K356</f>
        <v>0</v>
      </c>
      <c r="P356" s="328">
        <f>E356+J356</f>
        <v>9955335</v>
      </c>
      <c r="Q356" s="47"/>
      <c r="R356" s="46"/>
    </row>
    <row r="357" spans="1:18" ht="93" hidden="1" thickTop="1" thickBot="1" x14ac:dyDescent="0.25">
      <c r="A357" s="128" t="s">
        <v>632</v>
      </c>
      <c r="B357" s="128" t="s">
        <v>362</v>
      </c>
      <c r="C357" s="128" t="s">
        <v>625</v>
      </c>
      <c r="D357" s="128" t="s">
        <v>626</v>
      </c>
      <c r="E357" s="127">
        <f>F357</f>
        <v>0</v>
      </c>
      <c r="F357" s="134">
        <v>0</v>
      </c>
      <c r="G357" s="134"/>
      <c r="H357" s="134"/>
      <c r="I357" s="134"/>
      <c r="J357" s="127">
        <f t="shared" ref="J357" si="395">L357+O357</f>
        <v>0</v>
      </c>
      <c r="K357" s="134"/>
      <c r="L357" s="134"/>
      <c r="M357" s="134"/>
      <c r="N357" s="134"/>
      <c r="O357" s="132">
        <f t="shared" ref="O357" si="396">K357</f>
        <v>0</v>
      </c>
      <c r="P357" s="127">
        <f t="shared" ref="P357" si="397">+J357+E357</f>
        <v>0</v>
      </c>
      <c r="Q357" s="47"/>
      <c r="R357" s="46"/>
    </row>
    <row r="358" spans="1:18" ht="47.25" thickTop="1" thickBot="1" x14ac:dyDescent="0.25">
      <c r="A358" s="311" t="s">
        <v>824</v>
      </c>
      <c r="B358" s="311" t="s">
        <v>748</v>
      </c>
      <c r="C358" s="103"/>
      <c r="D358" s="311" t="s">
        <v>794</v>
      </c>
      <c r="E358" s="328">
        <f>E359+E365</f>
        <v>158660533</v>
      </c>
      <c r="F358" s="328">
        <f t="shared" ref="F358:P358" si="398">F359+F365</f>
        <v>158660533</v>
      </c>
      <c r="G358" s="328">
        <f t="shared" si="398"/>
        <v>0</v>
      </c>
      <c r="H358" s="328">
        <f t="shared" si="398"/>
        <v>0</v>
      </c>
      <c r="I358" s="328">
        <f t="shared" si="398"/>
        <v>0</v>
      </c>
      <c r="J358" s="328">
        <f t="shared" si="398"/>
        <v>156500</v>
      </c>
      <c r="K358" s="328">
        <f t="shared" si="398"/>
        <v>156500</v>
      </c>
      <c r="L358" s="328">
        <f t="shared" si="398"/>
        <v>0</v>
      </c>
      <c r="M358" s="328">
        <f t="shared" si="398"/>
        <v>0</v>
      </c>
      <c r="N358" s="328">
        <f t="shared" si="398"/>
        <v>0</v>
      </c>
      <c r="O358" s="328">
        <f t="shared" si="398"/>
        <v>156500</v>
      </c>
      <c r="P358" s="328">
        <f t="shared" si="398"/>
        <v>158817033</v>
      </c>
      <c r="Q358" s="47"/>
      <c r="R358" s="50"/>
    </row>
    <row r="359" spans="1:18" ht="91.5" thickTop="1" thickBot="1" x14ac:dyDescent="0.25">
      <c r="A359" s="313" t="s">
        <v>825</v>
      </c>
      <c r="B359" s="313" t="s">
        <v>806</v>
      </c>
      <c r="C359" s="313"/>
      <c r="D359" s="313" t="s">
        <v>807</v>
      </c>
      <c r="E359" s="315">
        <f>E362+E364+E360</f>
        <v>158660533</v>
      </c>
      <c r="F359" s="315">
        <f t="shared" ref="F359:P359" si="399">F362+F364+F360</f>
        <v>158660533</v>
      </c>
      <c r="G359" s="315">
        <f t="shared" si="399"/>
        <v>0</v>
      </c>
      <c r="H359" s="315">
        <f t="shared" si="399"/>
        <v>0</v>
      </c>
      <c r="I359" s="315">
        <f t="shared" si="399"/>
        <v>0</v>
      </c>
      <c r="J359" s="315">
        <f t="shared" si="399"/>
        <v>0</v>
      </c>
      <c r="K359" s="315">
        <f t="shared" si="399"/>
        <v>0</v>
      </c>
      <c r="L359" s="315">
        <f t="shared" si="399"/>
        <v>0</v>
      </c>
      <c r="M359" s="315">
        <f t="shared" si="399"/>
        <v>0</v>
      </c>
      <c r="N359" s="315">
        <f t="shared" si="399"/>
        <v>0</v>
      </c>
      <c r="O359" s="315">
        <f t="shared" si="399"/>
        <v>0</v>
      </c>
      <c r="P359" s="315">
        <f t="shared" si="399"/>
        <v>158660533</v>
      </c>
      <c r="Q359" s="47"/>
      <c r="R359" s="50"/>
    </row>
    <row r="360" spans="1:18" ht="93" thickTop="1" thickBot="1" x14ac:dyDescent="0.25">
      <c r="A360" s="329" t="s">
        <v>1014</v>
      </c>
      <c r="B360" s="329" t="s">
        <v>1015</v>
      </c>
      <c r="C360" s="329"/>
      <c r="D360" s="329" t="s">
        <v>1013</v>
      </c>
      <c r="E360" s="325">
        <f>E361</f>
        <v>300000</v>
      </c>
      <c r="F360" s="325">
        <f t="shared" ref="F360:O360" si="400">F361</f>
        <v>300000</v>
      </c>
      <c r="G360" s="325">
        <f t="shared" si="400"/>
        <v>0</v>
      </c>
      <c r="H360" s="325">
        <f t="shared" si="400"/>
        <v>0</v>
      </c>
      <c r="I360" s="325">
        <f t="shared" si="400"/>
        <v>0</v>
      </c>
      <c r="J360" s="325">
        <f t="shared" si="400"/>
        <v>0</v>
      </c>
      <c r="K360" s="325">
        <f t="shared" si="400"/>
        <v>0</v>
      </c>
      <c r="L360" s="325">
        <f t="shared" si="400"/>
        <v>0</v>
      </c>
      <c r="M360" s="325">
        <f t="shared" si="400"/>
        <v>0</v>
      </c>
      <c r="N360" s="325">
        <f t="shared" si="400"/>
        <v>0</v>
      </c>
      <c r="O360" s="325">
        <f t="shared" si="400"/>
        <v>0</v>
      </c>
      <c r="P360" s="325">
        <f t="shared" ref="F360:P362" si="401">P361</f>
        <v>300000</v>
      </c>
      <c r="Q360" s="47"/>
      <c r="R360" s="50"/>
    </row>
    <row r="361" spans="1:18" ht="48" thickTop="1" thickBot="1" x14ac:dyDescent="0.25">
      <c r="A361" s="103" t="s">
        <v>467</v>
      </c>
      <c r="B361" s="103" t="s">
        <v>412</v>
      </c>
      <c r="C361" s="103" t="s">
        <v>413</v>
      </c>
      <c r="D361" s="103" t="s">
        <v>414</v>
      </c>
      <c r="E361" s="328">
        <f>F361</f>
        <v>300000</v>
      </c>
      <c r="F361" s="462">
        <v>300000</v>
      </c>
      <c r="G361" s="462"/>
      <c r="H361" s="462"/>
      <c r="I361" s="462"/>
      <c r="J361" s="328">
        <f>L361+O361</f>
        <v>0</v>
      </c>
      <c r="K361" s="462"/>
      <c r="L361" s="462"/>
      <c r="M361" s="462"/>
      <c r="N361" s="462"/>
      <c r="O361" s="459">
        <f>K361</f>
        <v>0</v>
      </c>
      <c r="P361" s="328">
        <f>E361+J361</f>
        <v>300000</v>
      </c>
      <c r="Q361" s="47"/>
      <c r="R361" s="50"/>
    </row>
    <row r="362" spans="1:18" ht="93" thickTop="1" thickBot="1" x14ac:dyDescent="0.25">
      <c r="A362" s="329" t="s">
        <v>826</v>
      </c>
      <c r="B362" s="329" t="s">
        <v>827</v>
      </c>
      <c r="C362" s="329"/>
      <c r="D362" s="329" t="s">
        <v>828</v>
      </c>
      <c r="E362" s="325">
        <f>E363</f>
        <v>158360533</v>
      </c>
      <c r="F362" s="325">
        <f t="shared" si="401"/>
        <v>158360533</v>
      </c>
      <c r="G362" s="325">
        <f t="shared" si="401"/>
        <v>0</v>
      </c>
      <c r="H362" s="325">
        <f t="shared" si="401"/>
        <v>0</v>
      </c>
      <c r="I362" s="325">
        <f t="shared" si="401"/>
        <v>0</v>
      </c>
      <c r="J362" s="325">
        <f t="shared" si="401"/>
        <v>0</v>
      </c>
      <c r="K362" s="325">
        <f t="shared" si="401"/>
        <v>0</v>
      </c>
      <c r="L362" s="325">
        <f t="shared" si="401"/>
        <v>0</v>
      </c>
      <c r="M362" s="325">
        <f t="shared" si="401"/>
        <v>0</v>
      </c>
      <c r="N362" s="325">
        <f t="shared" si="401"/>
        <v>0</v>
      </c>
      <c r="O362" s="325">
        <f t="shared" si="401"/>
        <v>0</v>
      </c>
      <c r="P362" s="325">
        <f t="shared" si="401"/>
        <v>158360533</v>
      </c>
      <c r="Q362" s="47"/>
      <c r="R362" s="50"/>
    </row>
    <row r="363" spans="1:18" ht="48" thickTop="1" thickBot="1" x14ac:dyDescent="0.25">
      <c r="A363" s="103" t="s">
        <v>468</v>
      </c>
      <c r="B363" s="103" t="s">
        <v>291</v>
      </c>
      <c r="C363" s="103" t="s">
        <v>1367</v>
      </c>
      <c r="D363" s="103" t="s">
        <v>292</v>
      </c>
      <c r="E363" s="328">
        <f>F363</f>
        <v>158360533</v>
      </c>
      <c r="F363" s="462">
        <v>158360533</v>
      </c>
      <c r="G363" s="462"/>
      <c r="H363" s="462"/>
      <c r="I363" s="462"/>
      <c r="J363" s="328">
        <f>L363+O363</f>
        <v>0</v>
      </c>
      <c r="K363" s="462"/>
      <c r="L363" s="462"/>
      <c r="M363" s="462"/>
      <c r="N363" s="462"/>
      <c r="O363" s="459">
        <f>K363</f>
        <v>0</v>
      </c>
      <c r="P363" s="328">
        <f>E363+J363</f>
        <v>158360533</v>
      </c>
      <c r="Q363" s="47"/>
      <c r="R363" s="50"/>
    </row>
    <row r="364" spans="1:18" ht="48" hidden="1" thickTop="1" thickBot="1" x14ac:dyDescent="0.25">
      <c r="A364" s="128" t="s">
        <v>1097</v>
      </c>
      <c r="B364" s="128" t="s">
        <v>1098</v>
      </c>
      <c r="C364" s="128" t="s">
        <v>295</v>
      </c>
      <c r="D364" s="128" t="s">
        <v>1096</v>
      </c>
      <c r="E364" s="127">
        <f>F364</f>
        <v>0</v>
      </c>
      <c r="F364" s="134"/>
      <c r="G364" s="134"/>
      <c r="H364" s="134"/>
      <c r="I364" s="134"/>
      <c r="J364" s="127">
        <f>L364+O364</f>
        <v>0</v>
      </c>
      <c r="K364" s="134"/>
      <c r="L364" s="134"/>
      <c r="M364" s="134"/>
      <c r="N364" s="134"/>
      <c r="O364" s="132">
        <f>K364</f>
        <v>0</v>
      </c>
      <c r="P364" s="127">
        <f>E364+J364</f>
        <v>0</v>
      </c>
      <c r="Q364" s="47"/>
      <c r="R364" s="50"/>
    </row>
    <row r="365" spans="1:18" ht="47.25" thickTop="1" thickBot="1" x14ac:dyDescent="0.25">
      <c r="A365" s="740" t="s">
        <v>1173</v>
      </c>
      <c r="B365" s="740" t="s">
        <v>691</v>
      </c>
      <c r="C365" s="740"/>
      <c r="D365" s="740" t="s">
        <v>689</v>
      </c>
      <c r="E365" s="741">
        <f>E366</f>
        <v>0</v>
      </c>
      <c r="F365" s="741">
        <f t="shared" ref="F365:P365" si="402">F366</f>
        <v>0</v>
      </c>
      <c r="G365" s="741">
        <f t="shared" si="402"/>
        <v>0</v>
      </c>
      <c r="H365" s="741">
        <f t="shared" si="402"/>
        <v>0</v>
      </c>
      <c r="I365" s="741">
        <f t="shared" si="402"/>
        <v>0</v>
      </c>
      <c r="J365" s="741">
        <f t="shared" si="402"/>
        <v>156500</v>
      </c>
      <c r="K365" s="741">
        <f t="shared" si="402"/>
        <v>156500</v>
      </c>
      <c r="L365" s="741">
        <f t="shared" si="402"/>
        <v>0</v>
      </c>
      <c r="M365" s="741">
        <f t="shared" si="402"/>
        <v>0</v>
      </c>
      <c r="N365" s="741">
        <f t="shared" si="402"/>
        <v>0</v>
      </c>
      <c r="O365" s="741">
        <f t="shared" si="402"/>
        <v>156500</v>
      </c>
      <c r="P365" s="741">
        <f t="shared" si="402"/>
        <v>156500</v>
      </c>
      <c r="Q365" s="47"/>
      <c r="R365" s="50"/>
    </row>
    <row r="366" spans="1:18" ht="48" thickTop="1" thickBot="1" x14ac:dyDescent="0.25">
      <c r="A366" s="735" t="s">
        <v>1174</v>
      </c>
      <c r="B366" s="735" t="s">
        <v>197</v>
      </c>
      <c r="C366" s="735" t="s">
        <v>170</v>
      </c>
      <c r="D366" s="735" t="s">
        <v>1175</v>
      </c>
      <c r="E366" s="736">
        <f>F366</f>
        <v>0</v>
      </c>
      <c r="F366" s="737">
        <v>0</v>
      </c>
      <c r="G366" s="737"/>
      <c r="H366" s="737"/>
      <c r="I366" s="737"/>
      <c r="J366" s="736">
        <f>L366+O366</f>
        <v>156500</v>
      </c>
      <c r="K366" s="737">
        <f>(0)+156500</f>
        <v>156500</v>
      </c>
      <c r="L366" s="737"/>
      <c r="M366" s="737"/>
      <c r="N366" s="737"/>
      <c r="O366" s="739">
        <f>K366</f>
        <v>156500</v>
      </c>
      <c r="P366" s="736">
        <f>E366+J366</f>
        <v>156500</v>
      </c>
      <c r="Q366" s="47"/>
      <c r="R366" s="50"/>
    </row>
    <row r="367" spans="1:18" ht="47.25" thickTop="1" thickBot="1" x14ac:dyDescent="0.25">
      <c r="A367" s="311" t="s">
        <v>1219</v>
      </c>
      <c r="B367" s="311" t="s">
        <v>696</v>
      </c>
      <c r="C367" s="311"/>
      <c r="D367" s="311" t="s">
        <v>697</v>
      </c>
      <c r="E367" s="328">
        <f>E368</f>
        <v>2189014</v>
      </c>
      <c r="F367" s="328">
        <f t="shared" ref="F367:P367" si="403">F368</f>
        <v>2189014</v>
      </c>
      <c r="G367" s="328">
        <f t="shared" si="403"/>
        <v>0</v>
      </c>
      <c r="H367" s="328">
        <f t="shared" si="403"/>
        <v>0</v>
      </c>
      <c r="I367" s="328">
        <f t="shared" si="403"/>
        <v>0</v>
      </c>
      <c r="J367" s="328">
        <f t="shared" si="403"/>
        <v>0</v>
      </c>
      <c r="K367" s="328">
        <f t="shared" si="403"/>
        <v>0</v>
      </c>
      <c r="L367" s="328">
        <f t="shared" si="403"/>
        <v>0</v>
      </c>
      <c r="M367" s="328">
        <f t="shared" si="403"/>
        <v>0</v>
      </c>
      <c r="N367" s="328">
        <f t="shared" si="403"/>
        <v>0</v>
      </c>
      <c r="O367" s="328">
        <f t="shared" si="403"/>
        <v>0</v>
      </c>
      <c r="P367" s="328">
        <f t="shared" si="403"/>
        <v>2189014</v>
      </c>
      <c r="Q367" s="47"/>
      <c r="R367" s="50"/>
    </row>
    <row r="368" spans="1:18" ht="47.25" thickTop="1" thickBot="1" x14ac:dyDescent="0.25">
      <c r="A368" s="313" t="s">
        <v>1220</v>
      </c>
      <c r="B368" s="313" t="s">
        <v>1186</v>
      </c>
      <c r="C368" s="313"/>
      <c r="D368" s="313" t="s">
        <v>1184</v>
      </c>
      <c r="E368" s="315">
        <f>E369</f>
        <v>2189014</v>
      </c>
      <c r="F368" s="315">
        <f>F369</f>
        <v>2189014</v>
      </c>
      <c r="G368" s="315">
        <f t="shared" ref="G368:O368" si="404">G369</f>
        <v>0</v>
      </c>
      <c r="H368" s="315">
        <f t="shared" si="404"/>
        <v>0</v>
      </c>
      <c r="I368" s="315">
        <f t="shared" si="404"/>
        <v>0</v>
      </c>
      <c r="J368" s="315">
        <f t="shared" si="404"/>
        <v>0</v>
      </c>
      <c r="K368" s="315">
        <f t="shared" si="404"/>
        <v>0</v>
      </c>
      <c r="L368" s="315">
        <f t="shared" si="404"/>
        <v>0</v>
      </c>
      <c r="M368" s="315">
        <f t="shared" si="404"/>
        <v>0</v>
      </c>
      <c r="N368" s="315">
        <f t="shared" si="404"/>
        <v>0</v>
      </c>
      <c r="O368" s="315">
        <f t="shared" si="404"/>
        <v>0</v>
      </c>
      <c r="P368" s="315">
        <f>P369</f>
        <v>2189014</v>
      </c>
      <c r="Q368" s="47"/>
      <c r="R368" s="50"/>
    </row>
    <row r="369" spans="1:18" ht="48" thickTop="1" thickBot="1" x14ac:dyDescent="0.25">
      <c r="A369" s="103" t="s">
        <v>1221</v>
      </c>
      <c r="B369" s="103" t="s">
        <v>1222</v>
      </c>
      <c r="C369" s="103" t="s">
        <v>1188</v>
      </c>
      <c r="D369" s="103" t="s">
        <v>1223</v>
      </c>
      <c r="E369" s="328">
        <f>F369</f>
        <v>2189014</v>
      </c>
      <c r="F369" s="462">
        <v>2189014</v>
      </c>
      <c r="G369" s="462"/>
      <c r="H369" s="462"/>
      <c r="I369" s="462"/>
      <c r="J369" s="328">
        <f>L369+O369</f>
        <v>0</v>
      </c>
      <c r="K369" s="462"/>
      <c r="L369" s="462"/>
      <c r="M369" s="462"/>
      <c r="N369" s="462"/>
      <c r="O369" s="459">
        <f>K369</f>
        <v>0</v>
      </c>
      <c r="P369" s="328">
        <f>E369+J369</f>
        <v>2189014</v>
      </c>
      <c r="Q369" s="47"/>
      <c r="R369" s="50"/>
    </row>
    <row r="370" spans="1:18" ht="47.25" hidden="1" thickTop="1" thickBot="1" x14ac:dyDescent="0.25">
      <c r="A370" s="125" t="s">
        <v>1334</v>
      </c>
      <c r="B370" s="125" t="s">
        <v>702</v>
      </c>
      <c r="C370" s="125"/>
      <c r="D370" s="125" t="s">
        <v>703</v>
      </c>
      <c r="E370" s="127">
        <f t="shared" ref="E370:P370" si="405">E371</f>
        <v>0</v>
      </c>
      <c r="F370" s="127">
        <f t="shared" si="405"/>
        <v>0</v>
      </c>
      <c r="G370" s="127">
        <f t="shared" si="405"/>
        <v>0</v>
      </c>
      <c r="H370" s="127">
        <f t="shared" si="405"/>
        <v>0</v>
      </c>
      <c r="I370" s="127">
        <f t="shared" si="405"/>
        <v>0</v>
      </c>
      <c r="J370" s="127">
        <f t="shared" si="405"/>
        <v>0</v>
      </c>
      <c r="K370" s="127">
        <f t="shared" si="405"/>
        <v>0</v>
      </c>
      <c r="L370" s="127">
        <f t="shared" si="405"/>
        <v>0</v>
      </c>
      <c r="M370" s="127">
        <f t="shared" si="405"/>
        <v>0</v>
      </c>
      <c r="N370" s="127">
        <f t="shared" si="405"/>
        <v>0</v>
      </c>
      <c r="O370" s="127">
        <f t="shared" si="405"/>
        <v>0</v>
      </c>
      <c r="P370" s="127">
        <f t="shared" si="405"/>
        <v>0</v>
      </c>
      <c r="Q370" s="47"/>
      <c r="R370" s="50"/>
    </row>
    <row r="371" spans="1:18" ht="91.5" hidden="1" thickTop="1" thickBot="1" x14ac:dyDescent="0.25">
      <c r="A371" s="136" t="s">
        <v>1335</v>
      </c>
      <c r="B371" s="136" t="s">
        <v>514</v>
      </c>
      <c r="C371" s="136" t="s">
        <v>43</v>
      </c>
      <c r="D371" s="136" t="s">
        <v>515</v>
      </c>
      <c r="E371" s="137">
        <f t="shared" ref="E371" si="406">F371</f>
        <v>0</v>
      </c>
      <c r="F371" s="137">
        <v>0</v>
      </c>
      <c r="G371" s="137"/>
      <c r="H371" s="137"/>
      <c r="I371" s="137"/>
      <c r="J371" s="137">
        <f>L371+O371</f>
        <v>0</v>
      </c>
      <c r="K371" s="134"/>
      <c r="L371" s="137"/>
      <c r="M371" s="137"/>
      <c r="N371" s="137"/>
      <c r="O371" s="137">
        <f>(K371+0)</f>
        <v>0</v>
      </c>
      <c r="P371" s="137">
        <f>E371+J371</f>
        <v>0</v>
      </c>
      <c r="Q371" s="47"/>
      <c r="R371" s="50"/>
    </row>
    <row r="372" spans="1:18" ht="120" customHeight="1" thickTop="1" thickBot="1" x14ac:dyDescent="0.25">
      <c r="A372" s="661" t="s">
        <v>166</v>
      </c>
      <c r="B372" s="661"/>
      <c r="C372" s="661"/>
      <c r="D372" s="662" t="s">
        <v>354</v>
      </c>
      <c r="E372" s="663">
        <f>E373</f>
        <v>10220842</v>
      </c>
      <c r="F372" s="664">
        <f t="shared" ref="F372:G372" si="407">F373</f>
        <v>10220842</v>
      </c>
      <c r="G372" s="664">
        <f t="shared" si="407"/>
        <v>0</v>
      </c>
      <c r="H372" s="664">
        <f>H373</f>
        <v>0</v>
      </c>
      <c r="I372" s="664">
        <f t="shared" ref="I372" si="408">I373</f>
        <v>0</v>
      </c>
      <c r="J372" s="663">
        <f>J373</f>
        <v>4469958</v>
      </c>
      <c r="K372" s="664">
        <f>K373</f>
        <v>4469958</v>
      </c>
      <c r="L372" s="664">
        <f>L373</f>
        <v>0</v>
      </c>
      <c r="M372" s="664">
        <f t="shared" ref="M372" si="409">M373</f>
        <v>0</v>
      </c>
      <c r="N372" s="664">
        <f>N373</f>
        <v>0</v>
      </c>
      <c r="O372" s="663">
        <f>O373</f>
        <v>4469958</v>
      </c>
      <c r="P372" s="664">
        <f t="shared" ref="P372" si="410">P373</f>
        <v>14690800</v>
      </c>
      <c r="Q372" s="20"/>
    </row>
    <row r="373" spans="1:18" ht="120" customHeight="1" thickTop="1" thickBot="1" x14ac:dyDescent="0.25">
      <c r="A373" s="658" t="s">
        <v>167</v>
      </c>
      <c r="B373" s="658"/>
      <c r="C373" s="658"/>
      <c r="D373" s="659" t="s">
        <v>355</v>
      </c>
      <c r="E373" s="660">
        <f>E377+E389+E386+E374</f>
        <v>10220842</v>
      </c>
      <c r="F373" s="660">
        <f>F377+F389+F386+F374</f>
        <v>10220842</v>
      </c>
      <c r="G373" s="660">
        <f>G377+G389+G386+G374</f>
        <v>0</v>
      </c>
      <c r="H373" s="660">
        <f>H377+H389+H386+H374</f>
        <v>0</v>
      </c>
      <c r="I373" s="660">
        <f>I377+I389+I386+I374</f>
        <v>0</v>
      </c>
      <c r="J373" s="660">
        <f>L373+O373</f>
        <v>4469958</v>
      </c>
      <c r="K373" s="660">
        <f>K377+K389+K386+K374</f>
        <v>4469958</v>
      </c>
      <c r="L373" s="660">
        <f>L377+L389+L386+L374</f>
        <v>0</v>
      </c>
      <c r="M373" s="660">
        <f>M377+M389+M386+M374</f>
        <v>0</v>
      </c>
      <c r="N373" s="660">
        <f>N377+N389+N386+N374</f>
        <v>0</v>
      </c>
      <c r="O373" s="660">
        <f>O377+O389+O386+O374</f>
        <v>4469958</v>
      </c>
      <c r="P373" s="660">
        <f>E373+J373</f>
        <v>14690800</v>
      </c>
      <c r="Q373" s="503" t="b">
        <f>P373=P379+P381+P382+P383+P375+P388+P376</f>
        <v>1</v>
      </c>
      <c r="R373" s="46"/>
    </row>
    <row r="374" spans="1:18" ht="47.25" thickTop="1" thickBot="1" x14ac:dyDescent="0.25">
      <c r="A374" s="311" t="s">
        <v>1308</v>
      </c>
      <c r="B374" s="311" t="s">
        <v>711</v>
      </c>
      <c r="C374" s="311"/>
      <c r="D374" s="311" t="s">
        <v>712</v>
      </c>
      <c r="E374" s="328">
        <f t="shared" ref="E374:P374" si="411">SUM(E375:E376)</f>
        <v>1004802</v>
      </c>
      <c r="F374" s="328">
        <f t="shared" si="411"/>
        <v>1004802</v>
      </c>
      <c r="G374" s="328">
        <f t="shared" si="411"/>
        <v>0</v>
      </c>
      <c r="H374" s="328">
        <f t="shared" si="411"/>
        <v>0</v>
      </c>
      <c r="I374" s="328">
        <f t="shared" si="411"/>
        <v>0</v>
      </c>
      <c r="J374" s="328">
        <f t="shared" si="411"/>
        <v>345998</v>
      </c>
      <c r="K374" s="328">
        <f t="shared" si="411"/>
        <v>345998</v>
      </c>
      <c r="L374" s="328">
        <f t="shared" si="411"/>
        <v>0</v>
      </c>
      <c r="M374" s="328">
        <f t="shared" si="411"/>
        <v>0</v>
      </c>
      <c r="N374" s="328">
        <f t="shared" si="411"/>
        <v>0</v>
      </c>
      <c r="O374" s="328">
        <f t="shared" si="411"/>
        <v>345998</v>
      </c>
      <c r="P374" s="328">
        <f t="shared" si="411"/>
        <v>1350800</v>
      </c>
      <c r="Q374" s="47"/>
      <c r="R374" s="46"/>
    </row>
    <row r="375" spans="1:18" ht="93" thickTop="1" thickBot="1" x14ac:dyDescent="0.25">
      <c r="A375" s="103" t="s">
        <v>1309</v>
      </c>
      <c r="B375" s="103" t="s">
        <v>1200</v>
      </c>
      <c r="C375" s="103" t="s">
        <v>206</v>
      </c>
      <c r="D375" s="470" t="s">
        <v>1201</v>
      </c>
      <c r="E375" s="328">
        <f t="shared" ref="E375:E376" si="412">F375</f>
        <v>376502</v>
      </c>
      <c r="F375" s="462">
        <f>(500000)+6668-130166</f>
        <v>376502</v>
      </c>
      <c r="G375" s="462"/>
      <c r="H375" s="462"/>
      <c r="I375" s="462"/>
      <c r="J375" s="328">
        <f>L375+O375</f>
        <v>122498</v>
      </c>
      <c r="K375" s="462">
        <f>(350000)-227502</f>
        <v>122498</v>
      </c>
      <c r="L375" s="462"/>
      <c r="M375" s="462"/>
      <c r="N375" s="462"/>
      <c r="O375" s="459">
        <f>K375</f>
        <v>122498</v>
      </c>
      <c r="P375" s="328">
        <f>E375+J375</f>
        <v>499000</v>
      </c>
      <c r="Q375" s="47"/>
      <c r="R375" s="46"/>
    </row>
    <row r="376" spans="1:18" ht="54" customHeight="1" thickTop="1" thickBot="1" x14ac:dyDescent="0.25">
      <c r="A376" s="735" t="s">
        <v>1621</v>
      </c>
      <c r="B376" s="735" t="s">
        <v>330</v>
      </c>
      <c r="C376" s="735" t="s">
        <v>191</v>
      </c>
      <c r="D376" s="470" t="s">
        <v>332</v>
      </c>
      <c r="E376" s="736">
        <f t="shared" si="412"/>
        <v>628300</v>
      </c>
      <c r="F376" s="737">
        <f>(0)+219180+409120</f>
        <v>628300</v>
      </c>
      <c r="G376" s="738"/>
      <c r="H376" s="738"/>
      <c r="I376" s="738"/>
      <c r="J376" s="736">
        <f t="shared" ref="J376" si="413">L376+O376</f>
        <v>223500</v>
      </c>
      <c r="K376" s="737">
        <f>(0)+223500</f>
        <v>223500</v>
      </c>
      <c r="L376" s="737"/>
      <c r="M376" s="737"/>
      <c r="N376" s="737"/>
      <c r="O376" s="739">
        <f t="shared" ref="O376" si="414">K376</f>
        <v>223500</v>
      </c>
      <c r="P376" s="736">
        <f t="shared" ref="P376" si="415">E376+J376</f>
        <v>851800</v>
      </c>
      <c r="Q376" s="47"/>
      <c r="R376" s="46"/>
    </row>
    <row r="377" spans="1:18" ht="44.25" customHeight="1" thickTop="1" thickBot="1" x14ac:dyDescent="0.25">
      <c r="A377" s="311" t="s">
        <v>829</v>
      </c>
      <c r="B377" s="311" t="s">
        <v>748</v>
      </c>
      <c r="C377" s="103"/>
      <c r="D377" s="311" t="s">
        <v>794</v>
      </c>
      <c r="E377" s="587">
        <f t="shared" ref="E377:P377" si="416">E380+E378</f>
        <v>8800000</v>
      </c>
      <c r="F377" s="587">
        <f t="shared" si="416"/>
        <v>8800000</v>
      </c>
      <c r="G377" s="587">
        <f t="shared" si="416"/>
        <v>0</v>
      </c>
      <c r="H377" s="587">
        <f t="shared" si="416"/>
        <v>0</v>
      </c>
      <c r="I377" s="587">
        <f t="shared" si="416"/>
        <v>0</v>
      </c>
      <c r="J377" s="587">
        <f t="shared" si="416"/>
        <v>4000000</v>
      </c>
      <c r="K377" s="587">
        <f t="shared" si="416"/>
        <v>4000000</v>
      </c>
      <c r="L377" s="587">
        <f t="shared" si="416"/>
        <v>0</v>
      </c>
      <c r="M377" s="587">
        <f t="shared" si="416"/>
        <v>0</v>
      </c>
      <c r="N377" s="587">
        <f t="shared" si="416"/>
        <v>0</v>
      </c>
      <c r="O377" s="587">
        <f t="shared" si="416"/>
        <v>4000000</v>
      </c>
      <c r="P377" s="587">
        <f t="shared" si="416"/>
        <v>12800000</v>
      </c>
      <c r="Q377" s="47"/>
      <c r="R377" s="46"/>
    </row>
    <row r="378" spans="1:18" ht="47.25" thickTop="1" thickBot="1" x14ac:dyDescent="0.25">
      <c r="A378" s="313" t="s">
        <v>1011</v>
      </c>
      <c r="B378" s="313" t="s">
        <v>803</v>
      </c>
      <c r="C378" s="313"/>
      <c r="D378" s="313" t="s">
        <v>804</v>
      </c>
      <c r="E378" s="586">
        <f>E379</f>
        <v>50000</v>
      </c>
      <c r="F378" s="586">
        <f>F379</f>
        <v>50000</v>
      </c>
      <c r="G378" s="586">
        <f t="shared" ref="G378:O378" si="417">G379</f>
        <v>0</v>
      </c>
      <c r="H378" s="586">
        <f t="shared" si="417"/>
        <v>0</v>
      </c>
      <c r="I378" s="586">
        <f t="shared" si="417"/>
        <v>0</v>
      </c>
      <c r="J378" s="586">
        <f t="shared" si="417"/>
        <v>4000000</v>
      </c>
      <c r="K378" s="586">
        <f t="shared" si="417"/>
        <v>4000000</v>
      </c>
      <c r="L378" s="586">
        <f t="shared" si="417"/>
        <v>0</v>
      </c>
      <c r="M378" s="586">
        <f t="shared" si="417"/>
        <v>0</v>
      </c>
      <c r="N378" s="586">
        <f t="shared" si="417"/>
        <v>0</v>
      </c>
      <c r="O378" s="586">
        <f t="shared" si="417"/>
        <v>4000000</v>
      </c>
      <c r="P378" s="586">
        <f>P379</f>
        <v>4050000</v>
      </c>
      <c r="Q378" s="47"/>
      <c r="R378" s="46"/>
    </row>
    <row r="379" spans="1:18" ht="93" thickTop="1" thickBot="1" x14ac:dyDescent="0.25">
      <c r="A379" s="103" t="s">
        <v>1012</v>
      </c>
      <c r="B379" s="103" t="s">
        <v>350</v>
      </c>
      <c r="C379" s="103" t="s">
        <v>170</v>
      </c>
      <c r="D379" s="103" t="s">
        <v>262</v>
      </c>
      <c r="E379" s="328">
        <f t="shared" ref="E379" si="418">F379</f>
        <v>50000</v>
      </c>
      <c r="F379" s="462">
        <f>(50000)</f>
        <v>50000</v>
      </c>
      <c r="G379" s="462"/>
      <c r="H379" s="462"/>
      <c r="I379" s="462"/>
      <c r="J379" s="328">
        <f t="shared" ref="J379" si="419">L379+O379</f>
        <v>4000000</v>
      </c>
      <c r="K379" s="462">
        <f>(0)+5000000-1000000</f>
        <v>4000000</v>
      </c>
      <c r="L379" s="462"/>
      <c r="M379" s="462"/>
      <c r="N379" s="462"/>
      <c r="O379" s="459">
        <f>K379</f>
        <v>4000000</v>
      </c>
      <c r="P379" s="328">
        <f t="shared" ref="P379" si="420">E379+J379</f>
        <v>4050000</v>
      </c>
      <c r="Q379" s="47"/>
      <c r="R379" s="46"/>
    </row>
    <row r="380" spans="1:18" ht="47.25" thickTop="1" thickBot="1" x14ac:dyDescent="0.25">
      <c r="A380" s="313" t="s">
        <v>830</v>
      </c>
      <c r="B380" s="313" t="s">
        <v>691</v>
      </c>
      <c r="C380" s="313"/>
      <c r="D380" s="313" t="s">
        <v>689</v>
      </c>
      <c r="E380" s="586">
        <f>SUM(E381:E385)-E384</f>
        <v>8750000</v>
      </c>
      <c r="F380" s="586">
        <f t="shared" ref="F380:P380" si="421">SUM(F381:F385)-F384</f>
        <v>8750000</v>
      </c>
      <c r="G380" s="586">
        <f t="shared" si="421"/>
        <v>0</v>
      </c>
      <c r="H380" s="586">
        <f t="shared" si="421"/>
        <v>0</v>
      </c>
      <c r="I380" s="586">
        <f t="shared" si="421"/>
        <v>0</v>
      </c>
      <c r="J380" s="586">
        <f>SUM(J381:J385)-J384</f>
        <v>0</v>
      </c>
      <c r="K380" s="586">
        <f t="shared" si="421"/>
        <v>0</v>
      </c>
      <c r="L380" s="586">
        <f t="shared" si="421"/>
        <v>0</v>
      </c>
      <c r="M380" s="586">
        <f t="shared" si="421"/>
        <v>0</v>
      </c>
      <c r="N380" s="586">
        <f t="shared" si="421"/>
        <v>0</v>
      </c>
      <c r="O380" s="586">
        <f t="shared" si="421"/>
        <v>0</v>
      </c>
      <c r="P380" s="586">
        <f t="shared" si="421"/>
        <v>8750000</v>
      </c>
      <c r="Q380" s="47"/>
      <c r="R380" s="46"/>
    </row>
    <row r="381" spans="1:18" ht="48" thickTop="1" thickBot="1" x14ac:dyDescent="0.25">
      <c r="A381" s="103" t="s">
        <v>260</v>
      </c>
      <c r="B381" s="103" t="s">
        <v>261</v>
      </c>
      <c r="C381" s="103" t="s">
        <v>259</v>
      </c>
      <c r="D381" s="103" t="s">
        <v>258</v>
      </c>
      <c r="E381" s="328">
        <f t="shared" ref="E381:E385" si="422">F381</f>
        <v>8245000</v>
      </c>
      <c r="F381" s="462">
        <f>(2045000)+6200000</f>
        <v>8245000</v>
      </c>
      <c r="G381" s="462"/>
      <c r="H381" s="462"/>
      <c r="I381" s="462"/>
      <c r="J381" s="328">
        <f t="shared" ref="J381:J385" si="423">L381+O381</f>
        <v>0</v>
      </c>
      <c r="K381" s="462"/>
      <c r="L381" s="462"/>
      <c r="M381" s="462"/>
      <c r="N381" s="462"/>
      <c r="O381" s="459">
        <f>K381</f>
        <v>0</v>
      </c>
      <c r="P381" s="328">
        <f t="shared" ref="P381:P385" si="424">E381+J381</f>
        <v>8245000</v>
      </c>
      <c r="Q381" s="20"/>
      <c r="R381" s="46"/>
    </row>
    <row r="382" spans="1:18" ht="48" thickTop="1" thickBot="1" x14ac:dyDescent="0.25">
      <c r="A382" s="103" t="s">
        <v>252</v>
      </c>
      <c r="B382" s="103" t="s">
        <v>254</v>
      </c>
      <c r="C382" s="103" t="s">
        <v>213</v>
      </c>
      <c r="D382" s="103" t="s">
        <v>253</v>
      </c>
      <c r="E382" s="328">
        <f t="shared" si="422"/>
        <v>505000</v>
      </c>
      <c r="F382" s="462">
        <v>505000</v>
      </c>
      <c r="G382" s="462"/>
      <c r="H382" s="462"/>
      <c r="I382" s="462"/>
      <c r="J382" s="328">
        <f t="shared" si="423"/>
        <v>0</v>
      </c>
      <c r="K382" s="462"/>
      <c r="L382" s="462"/>
      <c r="M382" s="462"/>
      <c r="N382" s="462"/>
      <c r="O382" s="459">
        <f>K382</f>
        <v>0</v>
      </c>
      <c r="P382" s="328">
        <f t="shared" si="424"/>
        <v>505000</v>
      </c>
      <c r="Q382" s="20"/>
      <c r="R382" s="46"/>
    </row>
    <row r="383" spans="1:18" ht="48" hidden="1" thickTop="1" thickBot="1" x14ac:dyDescent="0.25">
      <c r="A383" s="103" t="s">
        <v>1303</v>
      </c>
      <c r="B383" s="103" t="s">
        <v>212</v>
      </c>
      <c r="C383" s="103" t="s">
        <v>213</v>
      </c>
      <c r="D383" s="103" t="s">
        <v>41</v>
      </c>
      <c r="E383" s="328">
        <f t="shared" ref="E383" si="425">F383</f>
        <v>0</v>
      </c>
      <c r="F383" s="462">
        <f>(200000)-200000</f>
        <v>0</v>
      </c>
      <c r="G383" s="462"/>
      <c r="H383" s="462"/>
      <c r="I383" s="462"/>
      <c r="J383" s="328">
        <f t="shared" ref="J383" si="426">L383+O383</f>
        <v>0</v>
      </c>
      <c r="K383" s="462">
        <f>(100000)-100000</f>
        <v>0</v>
      </c>
      <c r="L383" s="462"/>
      <c r="M383" s="462"/>
      <c r="N383" s="462"/>
      <c r="O383" s="459">
        <f>K383</f>
        <v>0</v>
      </c>
      <c r="P383" s="328">
        <f t="shared" ref="P383" si="427">E383+J383</f>
        <v>0</v>
      </c>
      <c r="Q383" s="20"/>
      <c r="R383" s="46"/>
    </row>
    <row r="384" spans="1:18" ht="48" hidden="1" thickTop="1" thickBot="1" x14ac:dyDescent="0.25">
      <c r="A384" s="140" t="s">
        <v>831</v>
      </c>
      <c r="B384" s="140" t="s">
        <v>694</v>
      </c>
      <c r="C384" s="140"/>
      <c r="D384" s="140" t="s">
        <v>692</v>
      </c>
      <c r="E384" s="141">
        <f>E385</f>
        <v>0</v>
      </c>
      <c r="F384" s="141">
        <f t="shared" ref="F384:P384" si="428">F385</f>
        <v>0</v>
      </c>
      <c r="G384" s="141">
        <f t="shared" si="428"/>
        <v>0</v>
      </c>
      <c r="H384" s="141">
        <f t="shared" si="428"/>
        <v>0</v>
      </c>
      <c r="I384" s="141">
        <f t="shared" si="428"/>
        <v>0</v>
      </c>
      <c r="J384" s="141">
        <f t="shared" si="428"/>
        <v>0</v>
      </c>
      <c r="K384" s="141">
        <f t="shared" si="428"/>
        <v>0</v>
      </c>
      <c r="L384" s="141">
        <f t="shared" si="428"/>
        <v>0</v>
      </c>
      <c r="M384" s="141">
        <f t="shared" si="428"/>
        <v>0</v>
      </c>
      <c r="N384" s="141">
        <f t="shared" si="428"/>
        <v>0</v>
      </c>
      <c r="O384" s="141">
        <f t="shared" si="428"/>
        <v>0</v>
      </c>
      <c r="P384" s="141">
        <f t="shared" si="428"/>
        <v>0</v>
      </c>
      <c r="Q384" s="20"/>
      <c r="R384" s="46"/>
    </row>
    <row r="385" spans="1:18" ht="48" hidden="1" thickTop="1" thickBot="1" x14ac:dyDescent="0.25">
      <c r="A385" s="128" t="s">
        <v>256</v>
      </c>
      <c r="B385" s="128" t="s">
        <v>257</v>
      </c>
      <c r="C385" s="128" t="s">
        <v>170</v>
      </c>
      <c r="D385" s="128" t="s">
        <v>255</v>
      </c>
      <c r="E385" s="127">
        <f t="shared" si="422"/>
        <v>0</v>
      </c>
      <c r="F385" s="134"/>
      <c r="G385" s="134"/>
      <c r="H385" s="134"/>
      <c r="I385" s="134"/>
      <c r="J385" s="127">
        <f t="shared" si="423"/>
        <v>0</v>
      </c>
      <c r="K385" s="134"/>
      <c r="L385" s="134"/>
      <c r="M385" s="134"/>
      <c r="N385" s="134"/>
      <c r="O385" s="132">
        <f>K385</f>
        <v>0</v>
      </c>
      <c r="P385" s="127">
        <f t="shared" si="424"/>
        <v>0</v>
      </c>
      <c r="Q385" s="20"/>
      <c r="R385" s="46"/>
    </row>
    <row r="386" spans="1:18" ht="47.25" thickTop="1" thickBot="1" x14ac:dyDescent="0.25">
      <c r="A386" s="311" t="s">
        <v>1305</v>
      </c>
      <c r="B386" s="311" t="s">
        <v>696</v>
      </c>
      <c r="C386" s="311"/>
      <c r="D386" s="311" t="s">
        <v>697</v>
      </c>
      <c r="E386" s="328">
        <f t="shared" ref="E386:P387" si="429">E387</f>
        <v>416040</v>
      </c>
      <c r="F386" s="328">
        <f t="shared" si="429"/>
        <v>416040</v>
      </c>
      <c r="G386" s="328">
        <f t="shared" si="429"/>
        <v>0</v>
      </c>
      <c r="H386" s="328">
        <f t="shared" si="429"/>
        <v>0</v>
      </c>
      <c r="I386" s="328">
        <f t="shared" si="429"/>
        <v>0</v>
      </c>
      <c r="J386" s="328">
        <f t="shared" si="429"/>
        <v>123960</v>
      </c>
      <c r="K386" s="328">
        <f t="shared" si="429"/>
        <v>123960</v>
      </c>
      <c r="L386" s="328">
        <f t="shared" si="429"/>
        <v>0</v>
      </c>
      <c r="M386" s="328">
        <f t="shared" si="429"/>
        <v>0</v>
      </c>
      <c r="N386" s="328">
        <f t="shared" si="429"/>
        <v>0</v>
      </c>
      <c r="O386" s="328">
        <f t="shared" si="429"/>
        <v>123960</v>
      </c>
      <c r="P386" s="328">
        <f t="shared" si="429"/>
        <v>540000</v>
      </c>
      <c r="Q386" s="20"/>
      <c r="R386" s="46"/>
    </row>
    <row r="387" spans="1:18" ht="47.25" thickTop="1" thickBot="1" x14ac:dyDescent="0.25">
      <c r="A387" s="313" t="s">
        <v>1306</v>
      </c>
      <c r="B387" s="313" t="s">
        <v>1186</v>
      </c>
      <c r="C387" s="313"/>
      <c r="D387" s="313" t="s">
        <v>1184</v>
      </c>
      <c r="E387" s="315">
        <f t="shared" si="429"/>
        <v>416040</v>
      </c>
      <c r="F387" s="315">
        <f t="shared" si="429"/>
        <v>416040</v>
      </c>
      <c r="G387" s="315">
        <f t="shared" si="429"/>
        <v>0</v>
      </c>
      <c r="H387" s="315">
        <f t="shared" si="429"/>
        <v>0</v>
      </c>
      <c r="I387" s="315">
        <f t="shared" si="429"/>
        <v>0</v>
      </c>
      <c r="J387" s="315">
        <f t="shared" si="429"/>
        <v>123960</v>
      </c>
      <c r="K387" s="315">
        <f t="shared" si="429"/>
        <v>123960</v>
      </c>
      <c r="L387" s="315">
        <f t="shared" si="429"/>
        <v>0</v>
      </c>
      <c r="M387" s="315">
        <f t="shared" si="429"/>
        <v>0</v>
      </c>
      <c r="N387" s="315">
        <f t="shared" si="429"/>
        <v>0</v>
      </c>
      <c r="O387" s="315">
        <f t="shared" si="429"/>
        <v>123960</v>
      </c>
      <c r="P387" s="315">
        <f t="shared" si="429"/>
        <v>540000</v>
      </c>
      <c r="Q387" s="20"/>
      <c r="R387" s="46"/>
    </row>
    <row r="388" spans="1:18" ht="48" thickTop="1" thickBot="1" x14ac:dyDescent="0.25">
      <c r="A388" s="103" t="s">
        <v>1307</v>
      </c>
      <c r="B388" s="103" t="s">
        <v>1190</v>
      </c>
      <c r="C388" s="103" t="s">
        <v>1188</v>
      </c>
      <c r="D388" s="103" t="s">
        <v>1187</v>
      </c>
      <c r="E388" s="328">
        <f>F388</f>
        <v>416040</v>
      </c>
      <c r="F388" s="462">
        <f>(500000)+150230-234190</f>
        <v>416040</v>
      </c>
      <c r="G388" s="462"/>
      <c r="H388" s="462"/>
      <c r="I388" s="462"/>
      <c r="J388" s="328">
        <f>L388+O388</f>
        <v>123960</v>
      </c>
      <c r="K388" s="462">
        <f>(350000)-226040</f>
        <v>123960</v>
      </c>
      <c r="L388" s="462"/>
      <c r="M388" s="462"/>
      <c r="N388" s="462"/>
      <c r="O388" s="459">
        <f>K388</f>
        <v>123960</v>
      </c>
      <c r="P388" s="328">
        <f>E388+J388</f>
        <v>540000</v>
      </c>
      <c r="Q388" s="20"/>
      <c r="R388" s="46"/>
    </row>
    <row r="389" spans="1:18" ht="47.25" hidden="1" thickTop="1" thickBot="1" x14ac:dyDescent="0.25">
      <c r="A389" s="125" t="s">
        <v>906</v>
      </c>
      <c r="B389" s="125" t="s">
        <v>702</v>
      </c>
      <c r="C389" s="125"/>
      <c r="D389" s="125" t="s">
        <v>703</v>
      </c>
      <c r="E389" s="127">
        <f>E390</f>
        <v>0</v>
      </c>
      <c r="F389" s="127">
        <f t="shared" ref="F389:P390" si="430">F390</f>
        <v>0</v>
      </c>
      <c r="G389" s="127">
        <f t="shared" si="430"/>
        <v>0</v>
      </c>
      <c r="H389" s="127">
        <f t="shared" si="430"/>
        <v>0</v>
      </c>
      <c r="I389" s="127">
        <f t="shared" si="430"/>
        <v>0</v>
      </c>
      <c r="J389" s="127">
        <f t="shared" si="430"/>
        <v>0</v>
      </c>
      <c r="K389" s="127">
        <f t="shared" si="430"/>
        <v>0</v>
      </c>
      <c r="L389" s="127">
        <f t="shared" si="430"/>
        <v>0</v>
      </c>
      <c r="M389" s="127">
        <f t="shared" si="430"/>
        <v>0</v>
      </c>
      <c r="N389" s="127">
        <f t="shared" si="430"/>
        <v>0</v>
      </c>
      <c r="O389" s="127">
        <f t="shared" si="430"/>
        <v>0</v>
      </c>
      <c r="P389" s="127">
        <f t="shared" si="430"/>
        <v>0</v>
      </c>
      <c r="Q389" s="20"/>
      <c r="R389" s="46"/>
    </row>
    <row r="390" spans="1:18" ht="136.5" hidden="1" thickTop="1" thickBot="1" x14ac:dyDescent="0.25">
      <c r="A390" s="136" t="s">
        <v>907</v>
      </c>
      <c r="B390" s="136" t="s">
        <v>705</v>
      </c>
      <c r="C390" s="136"/>
      <c r="D390" s="136" t="s">
        <v>706</v>
      </c>
      <c r="E390" s="137">
        <f>E391</f>
        <v>0</v>
      </c>
      <c r="F390" s="137">
        <f t="shared" si="430"/>
        <v>0</v>
      </c>
      <c r="G390" s="137">
        <f t="shared" si="430"/>
        <v>0</v>
      </c>
      <c r="H390" s="137">
        <f t="shared" si="430"/>
        <v>0</v>
      </c>
      <c r="I390" s="137">
        <f t="shared" si="430"/>
        <v>0</v>
      </c>
      <c r="J390" s="137">
        <f t="shared" si="430"/>
        <v>0</v>
      </c>
      <c r="K390" s="137">
        <f t="shared" si="430"/>
        <v>0</v>
      </c>
      <c r="L390" s="137">
        <f t="shared" si="430"/>
        <v>0</v>
      </c>
      <c r="M390" s="137">
        <f t="shared" si="430"/>
        <v>0</v>
      </c>
      <c r="N390" s="137">
        <f t="shared" si="430"/>
        <v>0</v>
      </c>
      <c r="O390" s="137">
        <f t="shared" si="430"/>
        <v>0</v>
      </c>
      <c r="P390" s="137">
        <f t="shared" si="430"/>
        <v>0</v>
      </c>
      <c r="Q390" s="20"/>
      <c r="R390" s="46"/>
    </row>
    <row r="391" spans="1:18" ht="48" hidden="1" thickTop="1" thickBot="1" x14ac:dyDescent="0.25">
      <c r="A391" s="128" t="s">
        <v>908</v>
      </c>
      <c r="B391" s="128" t="s">
        <v>363</v>
      </c>
      <c r="C391" s="128" t="s">
        <v>43</v>
      </c>
      <c r="D391" s="128" t="s">
        <v>364</v>
      </c>
      <c r="E391" s="127">
        <f t="shared" ref="E391" si="431">F391</f>
        <v>0</v>
      </c>
      <c r="F391" s="134"/>
      <c r="G391" s="134"/>
      <c r="H391" s="134"/>
      <c r="I391" s="134"/>
      <c r="J391" s="127">
        <f>L391+O391</f>
        <v>0</v>
      </c>
      <c r="K391" s="134"/>
      <c r="L391" s="134"/>
      <c r="M391" s="134"/>
      <c r="N391" s="134"/>
      <c r="O391" s="132">
        <f>K391</f>
        <v>0</v>
      </c>
      <c r="P391" s="127">
        <f>E391+J391</f>
        <v>0</v>
      </c>
      <c r="Q391" s="20"/>
      <c r="R391" s="46"/>
    </row>
    <row r="392" spans="1:18" ht="120" customHeight="1" thickTop="1" thickBot="1" x14ac:dyDescent="0.25">
      <c r="A392" s="661" t="s">
        <v>164</v>
      </c>
      <c r="B392" s="661"/>
      <c r="C392" s="661"/>
      <c r="D392" s="662" t="s">
        <v>887</v>
      </c>
      <c r="E392" s="663">
        <f>E393</f>
        <v>7070528</v>
      </c>
      <c r="F392" s="664">
        <f t="shared" ref="F392:G392" si="432">F393</f>
        <v>7070528</v>
      </c>
      <c r="G392" s="664">
        <f t="shared" si="432"/>
        <v>5498880</v>
      </c>
      <c r="H392" s="664">
        <f>H393</f>
        <v>121573</v>
      </c>
      <c r="I392" s="664">
        <f t="shared" ref="I392" si="433">I393</f>
        <v>0</v>
      </c>
      <c r="J392" s="663">
        <f>J393</f>
        <v>1200000</v>
      </c>
      <c r="K392" s="664">
        <f>K393</f>
        <v>0</v>
      </c>
      <c r="L392" s="664">
        <f>L393</f>
        <v>1200000</v>
      </c>
      <c r="M392" s="664">
        <f t="shared" ref="M392" si="434">M393</f>
        <v>0</v>
      </c>
      <c r="N392" s="664">
        <f>N393</f>
        <v>0</v>
      </c>
      <c r="O392" s="663">
        <f>O393</f>
        <v>0</v>
      </c>
      <c r="P392" s="664">
        <f t="shared" ref="P392" si="435">P393</f>
        <v>8270528</v>
      </c>
      <c r="Q392" s="20"/>
    </row>
    <row r="393" spans="1:18" ht="120" customHeight="1" thickTop="1" thickBot="1" x14ac:dyDescent="0.25">
      <c r="A393" s="658" t="s">
        <v>165</v>
      </c>
      <c r="B393" s="658"/>
      <c r="C393" s="658"/>
      <c r="D393" s="659" t="s">
        <v>886</v>
      </c>
      <c r="E393" s="660">
        <f>E394+E397+E400</f>
        <v>7070528</v>
      </c>
      <c r="F393" s="660">
        <f t="shared" ref="F393:P393" si="436">F394+F397+F400</f>
        <v>7070528</v>
      </c>
      <c r="G393" s="660">
        <f>G394+G397+G400</f>
        <v>5498880</v>
      </c>
      <c r="H393" s="660">
        <f t="shared" si="436"/>
        <v>121573</v>
      </c>
      <c r="I393" s="660">
        <f t="shared" si="436"/>
        <v>0</v>
      </c>
      <c r="J393" s="660">
        <f>J394+J397+J400</f>
        <v>1200000</v>
      </c>
      <c r="K393" s="660">
        <f t="shared" si="436"/>
        <v>0</v>
      </c>
      <c r="L393" s="660">
        <f>L394+L397+L400</f>
        <v>1200000</v>
      </c>
      <c r="M393" s="660">
        <f t="shared" si="436"/>
        <v>0</v>
      </c>
      <c r="N393" s="660">
        <f t="shared" si="436"/>
        <v>0</v>
      </c>
      <c r="O393" s="660">
        <f t="shared" si="436"/>
        <v>0</v>
      </c>
      <c r="P393" s="660">
        <f t="shared" si="436"/>
        <v>8270528</v>
      </c>
      <c r="Q393" s="503" t="b">
        <f>P393=P395+P399</f>
        <v>1</v>
      </c>
      <c r="R393" s="46"/>
    </row>
    <row r="394" spans="1:18" ht="47.25" thickTop="1" thickBot="1" x14ac:dyDescent="0.25">
      <c r="A394" s="311" t="s">
        <v>832</v>
      </c>
      <c r="B394" s="311" t="s">
        <v>684</v>
      </c>
      <c r="C394" s="311"/>
      <c r="D394" s="311" t="s">
        <v>685</v>
      </c>
      <c r="E394" s="328">
        <f>SUM(E395:E396)</f>
        <v>7070528</v>
      </c>
      <c r="F394" s="328">
        <f t="shared" ref="F394" si="437">SUM(F395:F396)</f>
        <v>7070528</v>
      </c>
      <c r="G394" s="328">
        <f t="shared" ref="G394" si="438">SUM(G395:G396)</f>
        <v>5498880</v>
      </c>
      <c r="H394" s="328">
        <f t="shared" ref="H394" si="439">SUM(H395:H396)</f>
        <v>121573</v>
      </c>
      <c r="I394" s="328">
        <f t="shared" ref="I394" si="440">SUM(I395:I396)</f>
        <v>0</v>
      </c>
      <c r="J394" s="328">
        <f t="shared" ref="J394" si="441">SUM(J395:J396)</f>
        <v>0</v>
      </c>
      <c r="K394" s="328">
        <f t="shared" ref="K394" si="442">SUM(K395:K396)</f>
        <v>0</v>
      </c>
      <c r="L394" s="328">
        <f t="shared" ref="L394" si="443">SUM(L395:L396)</f>
        <v>0</v>
      </c>
      <c r="M394" s="328">
        <f t="shared" ref="M394" si="444">SUM(M395:M396)</f>
        <v>0</v>
      </c>
      <c r="N394" s="328">
        <f t="shared" ref="N394" si="445">SUM(N395:N396)</f>
        <v>0</v>
      </c>
      <c r="O394" s="328">
        <f>SUM(O395:O396)</f>
        <v>0</v>
      </c>
      <c r="P394" s="328">
        <f t="shared" ref="P394" si="446">SUM(P395:P396)</f>
        <v>7070528</v>
      </c>
      <c r="Q394" s="47"/>
      <c r="R394" s="46"/>
    </row>
    <row r="395" spans="1:18" ht="93" thickTop="1" thickBot="1" x14ac:dyDescent="0.25">
      <c r="A395" s="103" t="s">
        <v>422</v>
      </c>
      <c r="B395" s="103" t="s">
        <v>236</v>
      </c>
      <c r="C395" s="103" t="s">
        <v>234</v>
      </c>
      <c r="D395" s="103" t="s">
        <v>235</v>
      </c>
      <c r="E395" s="328">
        <f>F395</f>
        <v>7070528</v>
      </c>
      <c r="F395" s="462">
        <v>7070528</v>
      </c>
      <c r="G395" s="462">
        <v>5498880</v>
      </c>
      <c r="H395" s="462">
        <v>121573</v>
      </c>
      <c r="I395" s="462"/>
      <c r="J395" s="328">
        <f t="shared" ref="J395:J399" si="447">L395+O395</f>
        <v>0</v>
      </c>
      <c r="K395" s="462"/>
      <c r="L395" s="462"/>
      <c r="M395" s="462"/>
      <c r="N395" s="462"/>
      <c r="O395" s="459">
        <f>K395</f>
        <v>0</v>
      </c>
      <c r="P395" s="328">
        <f t="shared" ref="P395:P399" si="448">E395+J395</f>
        <v>7070528</v>
      </c>
      <c r="Q395" s="47"/>
      <c r="R395" s="46"/>
    </row>
    <row r="396" spans="1:18" ht="93" hidden="1" thickTop="1" thickBot="1" x14ac:dyDescent="0.25">
      <c r="A396" s="41" t="s">
        <v>633</v>
      </c>
      <c r="B396" s="41" t="s">
        <v>362</v>
      </c>
      <c r="C396" s="41" t="s">
        <v>625</v>
      </c>
      <c r="D396" s="41" t="s">
        <v>626</v>
      </c>
      <c r="E396" s="152">
        <f>F396</f>
        <v>0</v>
      </c>
      <c r="F396" s="129">
        <v>0</v>
      </c>
      <c r="G396" s="129"/>
      <c r="H396" s="129"/>
      <c r="I396" s="129"/>
      <c r="J396" s="127">
        <f t="shared" si="447"/>
        <v>0</v>
      </c>
      <c r="K396" s="129"/>
      <c r="L396" s="130"/>
      <c r="M396" s="130"/>
      <c r="N396" s="130"/>
      <c r="O396" s="132">
        <f t="shared" ref="O396" si="449">K396</f>
        <v>0</v>
      </c>
      <c r="P396" s="127">
        <f t="shared" ref="P396" si="450">+J396+E396</f>
        <v>0</v>
      </c>
      <c r="Q396" s="47"/>
      <c r="R396" s="46"/>
    </row>
    <row r="397" spans="1:18" ht="47.25" thickTop="1" thickBot="1" x14ac:dyDescent="0.25">
      <c r="A397" s="311" t="s">
        <v>833</v>
      </c>
      <c r="B397" s="311" t="s">
        <v>696</v>
      </c>
      <c r="C397" s="311"/>
      <c r="D397" s="311" t="s">
        <v>697</v>
      </c>
      <c r="E397" s="312">
        <f>E398</f>
        <v>0</v>
      </c>
      <c r="F397" s="312">
        <f t="shared" ref="F397:P398" si="451">F398</f>
        <v>0</v>
      </c>
      <c r="G397" s="312">
        <f t="shared" si="451"/>
        <v>0</v>
      </c>
      <c r="H397" s="312">
        <f t="shared" si="451"/>
        <v>0</v>
      </c>
      <c r="I397" s="312">
        <f t="shared" si="451"/>
        <v>0</v>
      </c>
      <c r="J397" s="312">
        <f t="shared" si="451"/>
        <v>1200000</v>
      </c>
      <c r="K397" s="312">
        <f t="shared" si="451"/>
        <v>0</v>
      </c>
      <c r="L397" s="312">
        <f t="shared" si="451"/>
        <v>1200000</v>
      </c>
      <c r="M397" s="312">
        <f t="shared" si="451"/>
        <v>0</v>
      </c>
      <c r="N397" s="312">
        <f t="shared" si="451"/>
        <v>0</v>
      </c>
      <c r="O397" s="312">
        <f t="shared" si="451"/>
        <v>0</v>
      </c>
      <c r="P397" s="312">
        <f t="shared" si="451"/>
        <v>1200000</v>
      </c>
      <c r="Q397" s="47"/>
      <c r="R397" s="46"/>
    </row>
    <row r="398" spans="1:18" ht="47.25" thickTop="1" thickBot="1" x14ac:dyDescent="0.25">
      <c r="A398" s="313" t="s">
        <v>834</v>
      </c>
      <c r="B398" s="313" t="s">
        <v>835</v>
      </c>
      <c r="C398" s="313"/>
      <c r="D398" s="313" t="s">
        <v>836</v>
      </c>
      <c r="E398" s="314">
        <f>E399</f>
        <v>0</v>
      </c>
      <c r="F398" s="314">
        <f t="shared" si="451"/>
        <v>0</v>
      </c>
      <c r="G398" s="314">
        <f t="shared" si="451"/>
        <v>0</v>
      </c>
      <c r="H398" s="314">
        <f t="shared" si="451"/>
        <v>0</v>
      </c>
      <c r="I398" s="314">
        <f t="shared" si="451"/>
        <v>0</v>
      </c>
      <c r="J398" s="314">
        <f t="shared" si="451"/>
        <v>1200000</v>
      </c>
      <c r="K398" s="314">
        <f t="shared" ref="K398:P398" si="452">K399</f>
        <v>0</v>
      </c>
      <c r="L398" s="314">
        <f t="shared" si="452"/>
        <v>1200000</v>
      </c>
      <c r="M398" s="314">
        <f t="shared" si="452"/>
        <v>0</v>
      </c>
      <c r="N398" s="314">
        <f t="shared" si="452"/>
        <v>0</v>
      </c>
      <c r="O398" s="314">
        <f t="shared" si="452"/>
        <v>0</v>
      </c>
      <c r="P398" s="314">
        <f t="shared" si="452"/>
        <v>1200000</v>
      </c>
      <c r="Q398" s="47"/>
      <c r="R398" s="46"/>
    </row>
    <row r="399" spans="1:18" ht="48" thickTop="1" thickBot="1" x14ac:dyDescent="0.25">
      <c r="A399" s="103" t="s">
        <v>1127</v>
      </c>
      <c r="B399" s="103" t="s">
        <v>1128</v>
      </c>
      <c r="C399" s="103" t="s">
        <v>51</v>
      </c>
      <c r="D399" s="103" t="s">
        <v>1129</v>
      </c>
      <c r="E399" s="328">
        <v>0</v>
      </c>
      <c r="F399" s="462"/>
      <c r="G399" s="462"/>
      <c r="H399" s="462"/>
      <c r="I399" s="462"/>
      <c r="J399" s="328">
        <f t="shared" si="447"/>
        <v>1200000</v>
      </c>
      <c r="K399" s="328"/>
      <c r="L399" s="462">
        <f>80000+60000+60000+80000+20000+100000+500000+300000</f>
        <v>1200000</v>
      </c>
      <c r="M399" s="462"/>
      <c r="N399" s="462"/>
      <c r="O399" s="459">
        <f>K399</f>
        <v>0</v>
      </c>
      <c r="P399" s="328">
        <f t="shared" si="448"/>
        <v>1200000</v>
      </c>
      <c r="Q399" s="503" t="b">
        <f>J399='d9'!F20</f>
        <v>1</v>
      </c>
    </row>
    <row r="400" spans="1:18" ht="47.25" hidden="1" thickTop="1" thickBot="1" x14ac:dyDescent="0.25">
      <c r="A400" s="125" t="s">
        <v>1249</v>
      </c>
      <c r="B400" s="125" t="s">
        <v>702</v>
      </c>
      <c r="C400" s="125"/>
      <c r="D400" s="125" t="s">
        <v>703</v>
      </c>
      <c r="E400" s="127">
        <f t="shared" ref="E400:L400" si="453">E401</f>
        <v>0</v>
      </c>
      <c r="F400" s="127">
        <f t="shared" si="453"/>
        <v>0</v>
      </c>
      <c r="G400" s="127">
        <f t="shared" si="453"/>
        <v>0</v>
      </c>
      <c r="H400" s="127">
        <f t="shared" si="453"/>
        <v>0</v>
      </c>
      <c r="I400" s="127">
        <f t="shared" si="453"/>
        <v>0</v>
      </c>
      <c r="J400" s="127">
        <f t="shared" si="453"/>
        <v>0</v>
      </c>
      <c r="K400" s="127">
        <f t="shared" si="453"/>
        <v>0</v>
      </c>
      <c r="L400" s="127">
        <f t="shared" si="453"/>
        <v>0</v>
      </c>
      <c r="M400" s="127">
        <f t="shared" ref="M400:P400" si="454">M401</f>
        <v>0</v>
      </c>
      <c r="N400" s="127">
        <f t="shared" si="454"/>
        <v>0</v>
      </c>
      <c r="O400" s="127">
        <f t="shared" si="454"/>
        <v>0</v>
      </c>
      <c r="P400" s="127">
        <f t="shared" si="454"/>
        <v>0</v>
      </c>
      <c r="Q400" s="47"/>
    </row>
    <row r="401" spans="1:19" ht="91.5" hidden="1" thickTop="1" thickBot="1" x14ac:dyDescent="0.25">
      <c r="A401" s="136" t="s">
        <v>1248</v>
      </c>
      <c r="B401" s="136" t="s">
        <v>514</v>
      </c>
      <c r="C401" s="136" t="s">
        <v>43</v>
      </c>
      <c r="D401" s="136" t="s">
        <v>515</v>
      </c>
      <c r="E401" s="137">
        <f t="shared" ref="E401" si="455">F401</f>
        <v>0</v>
      </c>
      <c r="F401" s="137">
        <v>0</v>
      </c>
      <c r="G401" s="137"/>
      <c r="H401" s="137"/>
      <c r="I401" s="137"/>
      <c r="J401" s="137">
        <f>L401+O401</f>
        <v>0</v>
      </c>
      <c r="K401" s="134">
        <v>0</v>
      </c>
      <c r="L401" s="137"/>
      <c r="M401" s="137"/>
      <c r="N401" s="137"/>
      <c r="O401" s="137">
        <f>(K401+0)</f>
        <v>0</v>
      </c>
      <c r="P401" s="137">
        <f>E401+J401</f>
        <v>0</v>
      </c>
      <c r="Q401" s="47"/>
    </row>
    <row r="402" spans="1:19" ht="120" customHeight="1" thickTop="1" thickBot="1" x14ac:dyDescent="0.25">
      <c r="A402" s="661" t="s">
        <v>162</v>
      </c>
      <c r="B402" s="661"/>
      <c r="C402" s="661"/>
      <c r="D402" s="662" t="s">
        <v>896</v>
      </c>
      <c r="E402" s="663">
        <f>E403</f>
        <v>10319624</v>
      </c>
      <c r="F402" s="664">
        <f t="shared" ref="F402:G402" si="456">F403</f>
        <v>10319624</v>
      </c>
      <c r="G402" s="664">
        <f t="shared" si="456"/>
        <v>7843804</v>
      </c>
      <c r="H402" s="664">
        <f>H403</f>
        <v>329783</v>
      </c>
      <c r="I402" s="664">
        <f t="shared" ref="I402" si="457">I403</f>
        <v>0</v>
      </c>
      <c r="J402" s="663">
        <f>J403</f>
        <v>65000</v>
      </c>
      <c r="K402" s="664">
        <f>K403</f>
        <v>65000</v>
      </c>
      <c r="L402" s="664">
        <f>L403</f>
        <v>0</v>
      </c>
      <c r="M402" s="664">
        <f t="shared" ref="M402" si="458">M403</f>
        <v>0</v>
      </c>
      <c r="N402" s="664">
        <f>N403</f>
        <v>0</v>
      </c>
      <c r="O402" s="663">
        <f>O403</f>
        <v>65000</v>
      </c>
      <c r="P402" s="664">
        <f t="shared" ref="P402" si="459">P403</f>
        <v>10384624</v>
      </c>
      <c r="Q402" s="20"/>
    </row>
    <row r="403" spans="1:19" ht="120" customHeight="1" thickTop="1" thickBot="1" x14ac:dyDescent="0.25">
      <c r="A403" s="658" t="s">
        <v>163</v>
      </c>
      <c r="B403" s="658"/>
      <c r="C403" s="658"/>
      <c r="D403" s="659" t="s">
        <v>895</v>
      </c>
      <c r="E403" s="660">
        <f>E404+E406</f>
        <v>10319624</v>
      </c>
      <c r="F403" s="660">
        <f t="shared" ref="F403:I403" si="460">F404+F406</f>
        <v>10319624</v>
      </c>
      <c r="G403" s="660">
        <f t="shared" si="460"/>
        <v>7843804</v>
      </c>
      <c r="H403" s="660">
        <f t="shared" si="460"/>
        <v>329783</v>
      </c>
      <c r="I403" s="660">
        <f t="shared" si="460"/>
        <v>0</v>
      </c>
      <c r="J403" s="660">
        <f>L403+O403</f>
        <v>65000</v>
      </c>
      <c r="K403" s="660">
        <f t="shared" ref="K403:O403" si="461">K404+K406</f>
        <v>65000</v>
      </c>
      <c r="L403" s="660">
        <f t="shared" si="461"/>
        <v>0</v>
      </c>
      <c r="M403" s="660">
        <f t="shared" si="461"/>
        <v>0</v>
      </c>
      <c r="N403" s="660">
        <f t="shared" si="461"/>
        <v>0</v>
      </c>
      <c r="O403" s="660">
        <f t="shared" si="461"/>
        <v>65000</v>
      </c>
      <c r="P403" s="660">
        <f>E403+J403</f>
        <v>10384624</v>
      </c>
      <c r="Q403" s="503" t="b">
        <f>P403=P405+P408+P410</f>
        <v>1</v>
      </c>
      <c r="R403" s="45"/>
    </row>
    <row r="404" spans="1:19" ht="47.25" thickTop="1" thickBot="1" x14ac:dyDescent="0.25">
      <c r="A404" s="311" t="s">
        <v>837</v>
      </c>
      <c r="B404" s="311" t="s">
        <v>684</v>
      </c>
      <c r="C404" s="311"/>
      <c r="D404" s="311" t="s">
        <v>685</v>
      </c>
      <c r="E404" s="328">
        <f>SUM(E405)</f>
        <v>10159624</v>
      </c>
      <c r="F404" s="328">
        <f t="shared" ref="F404:P404" si="462">SUM(F405)</f>
        <v>10159624</v>
      </c>
      <c r="G404" s="328">
        <f t="shared" si="462"/>
        <v>7843804</v>
      </c>
      <c r="H404" s="328">
        <f t="shared" si="462"/>
        <v>329783</v>
      </c>
      <c r="I404" s="328">
        <f t="shared" si="462"/>
        <v>0</v>
      </c>
      <c r="J404" s="328">
        <f t="shared" si="462"/>
        <v>0</v>
      </c>
      <c r="K404" s="328">
        <f t="shared" si="462"/>
        <v>0</v>
      </c>
      <c r="L404" s="328">
        <f t="shared" si="462"/>
        <v>0</v>
      </c>
      <c r="M404" s="328">
        <f t="shared" si="462"/>
        <v>0</v>
      </c>
      <c r="N404" s="328">
        <f t="shared" si="462"/>
        <v>0</v>
      </c>
      <c r="O404" s="328">
        <f t="shared" si="462"/>
        <v>0</v>
      </c>
      <c r="P404" s="328">
        <f t="shared" si="462"/>
        <v>10159624</v>
      </c>
      <c r="Q404" s="47"/>
      <c r="R404" s="45"/>
    </row>
    <row r="405" spans="1:19" ht="93" thickTop="1" thickBot="1" x14ac:dyDescent="0.25">
      <c r="A405" s="103" t="s">
        <v>418</v>
      </c>
      <c r="B405" s="103" t="s">
        <v>236</v>
      </c>
      <c r="C405" s="103" t="s">
        <v>234</v>
      </c>
      <c r="D405" s="103" t="s">
        <v>235</v>
      </c>
      <c r="E405" s="328">
        <f>F405</f>
        <v>10159624</v>
      </c>
      <c r="F405" s="462">
        <v>10159624</v>
      </c>
      <c r="G405" s="462">
        <v>7843804</v>
      </c>
      <c r="H405" s="462">
        <v>329783</v>
      </c>
      <c r="I405" s="462"/>
      <c r="J405" s="328">
        <f>L405+O405</f>
        <v>0</v>
      </c>
      <c r="K405" s="462">
        <v>0</v>
      </c>
      <c r="L405" s="462"/>
      <c r="M405" s="462"/>
      <c r="N405" s="462"/>
      <c r="O405" s="459">
        <f>K405</f>
        <v>0</v>
      </c>
      <c r="P405" s="328">
        <f>E405+J405</f>
        <v>10159624</v>
      </c>
      <c r="Q405" s="20"/>
      <c r="R405" s="45"/>
    </row>
    <row r="406" spans="1:19" ht="47.25" thickTop="1" thickBot="1" x14ac:dyDescent="0.25">
      <c r="A406" s="311" t="s">
        <v>838</v>
      </c>
      <c r="B406" s="311" t="s">
        <v>748</v>
      </c>
      <c r="C406" s="103"/>
      <c r="D406" s="311" t="s">
        <v>794</v>
      </c>
      <c r="E406" s="328">
        <f t="shared" ref="E406:P406" si="463">E407+E409</f>
        <v>160000</v>
      </c>
      <c r="F406" s="328">
        <f t="shared" si="463"/>
        <v>160000</v>
      </c>
      <c r="G406" s="328">
        <f t="shared" si="463"/>
        <v>0</v>
      </c>
      <c r="H406" s="328">
        <f t="shared" si="463"/>
        <v>0</v>
      </c>
      <c r="I406" s="328">
        <f t="shared" si="463"/>
        <v>0</v>
      </c>
      <c r="J406" s="328">
        <f t="shared" si="463"/>
        <v>65000</v>
      </c>
      <c r="K406" s="328">
        <f t="shared" si="463"/>
        <v>65000</v>
      </c>
      <c r="L406" s="328">
        <f t="shared" si="463"/>
        <v>0</v>
      </c>
      <c r="M406" s="328">
        <f t="shared" si="463"/>
        <v>0</v>
      </c>
      <c r="N406" s="328">
        <f t="shared" si="463"/>
        <v>0</v>
      </c>
      <c r="O406" s="328">
        <f t="shared" si="463"/>
        <v>65000</v>
      </c>
      <c r="P406" s="328">
        <f t="shared" si="463"/>
        <v>225000</v>
      </c>
      <c r="Q406" s="20"/>
      <c r="R406" s="47"/>
    </row>
    <row r="407" spans="1:19" ht="47.25" thickTop="1" thickBot="1" x14ac:dyDescent="0.25">
      <c r="A407" s="313" t="s">
        <v>839</v>
      </c>
      <c r="B407" s="313" t="s">
        <v>840</v>
      </c>
      <c r="C407" s="313"/>
      <c r="D407" s="313" t="s">
        <v>841</v>
      </c>
      <c r="E407" s="315">
        <f>SUM(E408)</f>
        <v>160000</v>
      </c>
      <c r="F407" s="315">
        <f t="shared" ref="F407:P407" si="464">SUM(F408)</f>
        <v>160000</v>
      </c>
      <c r="G407" s="315">
        <f t="shared" si="464"/>
        <v>0</v>
      </c>
      <c r="H407" s="315">
        <f t="shared" si="464"/>
        <v>0</v>
      </c>
      <c r="I407" s="315">
        <f t="shared" si="464"/>
        <v>0</v>
      </c>
      <c r="J407" s="315">
        <f t="shared" si="464"/>
        <v>0</v>
      </c>
      <c r="K407" s="315">
        <f t="shared" si="464"/>
        <v>0</v>
      </c>
      <c r="L407" s="315">
        <f t="shared" si="464"/>
        <v>0</v>
      </c>
      <c r="M407" s="315">
        <f t="shared" si="464"/>
        <v>0</v>
      </c>
      <c r="N407" s="315">
        <f t="shared" si="464"/>
        <v>0</v>
      </c>
      <c r="O407" s="315">
        <f t="shared" si="464"/>
        <v>0</v>
      </c>
      <c r="P407" s="315">
        <f t="shared" si="464"/>
        <v>160000</v>
      </c>
      <c r="Q407" s="20"/>
      <c r="R407" s="47"/>
    </row>
    <row r="408" spans="1:19" ht="48" thickTop="1" thickBot="1" x14ac:dyDescent="0.25">
      <c r="A408" s="103" t="s">
        <v>306</v>
      </c>
      <c r="B408" s="103" t="s">
        <v>307</v>
      </c>
      <c r="C408" s="103" t="s">
        <v>308</v>
      </c>
      <c r="D408" s="103" t="s">
        <v>461</v>
      </c>
      <c r="E408" s="328">
        <f>F408</f>
        <v>160000</v>
      </c>
      <c r="F408" s="462">
        <f>(30000)+80000+50000</f>
        <v>160000</v>
      </c>
      <c r="G408" s="462"/>
      <c r="H408" s="462"/>
      <c r="I408" s="462"/>
      <c r="J408" s="328">
        <f>L408+O408</f>
        <v>0</v>
      </c>
      <c r="K408" s="462">
        <f>(30000)-30000</f>
        <v>0</v>
      </c>
      <c r="L408" s="462"/>
      <c r="M408" s="462"/>
      <c r="N408" s="462"/>
      <c r="O408" s="459">
        <f>(K408)</f>
        <v>0</v>
      </c>
      <c r="P408" s="328">
        <f>E408+J408</f>
        <v>160000</v>
      </c>
      <c r="Q408" s="20"/>
      <c r="R408" s="45"/>
    </row>
    <row r="409" spans="1:19" ht="47.25" thickTop="1" thickBot="1" x14ac:dyDescent="0.25">
      <c r="A409" s="313" t="s">
        <v>842</v>
      </c>
      <c r="B409" s="313" t="s">
        <v>691</v>
      </c>
      <c r="C409" s="103"/>
      <c r="D409" s="313" t="s">
        <v>843</v>
      </c>
      <c r="E409" s="315">
        <f>SUM(E410)</f>
        <v>0</v>
      </c>
      <c r="F409" s="315">
        <f t="shared" ref="F409:P409" si="465">SUM(F410)</f>
        <v>0</v>
      </c>
      <c r="G409" s="315">
        <f t="shared" si="465"/>
        <v>0</v>
      </c>
      <c r="H409" s="315">
        <f t="shared" si="465"/>
        <v>0</v>
      </c>
      <c r="I409" s="315">
        <f t="shared" si="465"/>
        <v>0</v>
      </c>
      <c r="J409" s="315">
        <f t="shared" si="465"/>
        <v>65000</v>
      </c>
      <c r="K409" s="315">
        <f t="shared" si="465"/>
        <v>65000</v>
      </c>
      <c r="L409" s="315">
        <f t="shared" si="465"/>
        <v>0</v>
      </c>
      <c r="M409" s="315">
        <f t="shared" si="465"/>
        <v>0</v>
      </c>
      <c r="N409" s="315">
        <f t="shared" si="465"/>
        <v>0</v>
      </c>
      <c r="O409" s="315">
        <f t="shared" si="465"/>
        <v>65000</v>
      </c>
      <c r="P409" s="315">
        <f t="shared" si="465"/>
        <v>65000</v>
      </c>
      <c r="Q409" s="20"/>
    </row>
    <row r="410" spans="1:19" ht="93" thickTop="1" thickBot="1" x14ac:dyDescent="0.25">
      <c r="A410" s="103" t="s">
        <v>368</v>
      </c>
      <c r="B410" s="103" t="s">
        <v>369</v>
      </c>
      <c r="C410" s="103" t="s">
        <v>170</v>
      </c>
      <c r="D410" s="103" t="s">
        <v>370</v>
      </c>
      <c r="E410" s="328">
        <f>F410</f>
        <v>0</v>
      </c>
      <c r="F410" s="462"/>
      <c r="G410" s="462"/>
      <c r="H410" s="462"/>
      <c r="I410" s="462"/>
      <c r="J410" s="328">
        <f>L410+O410</f>
        <v>65000</v>
      </c>
      <c r="K410" s="462">
        <f>((5000)+10000)+50000</f>
        <v>65000</v>
      </c>
      <c r="L410" s="462"/>
      <c r="M410" s="462"/>
      <c r="N410" s="462"/>
      <c r="O410" s="459">
        <f>K410</f>
        <v>65000</v>
      </c>
      <c r="P410" s="328">
        <f>E410+J410</f>
        <v>65000</v>
      </c>
      <c r="Q410" s="20"/>
      <c r="R410" s="45"/>
    </row>
    <row r="411" spans="1:19" ht="120" customHeight="1" thickTop="1" thickBot="1" x14ac:dyDescent="0.25">
      <c r="A411" s="661" t="s">
        <v>168</v>
      </c>
      <c r="B411" s="661"/>
      <c r="C411" s="661"/>
      <c r="D411" s="662" t="s">
        <v>27</v>
      </c>
      <c r="E411" s="663">
        <f>E412</f>
        <v>20994679.010000002</v>
      </c>
      <c r="F411" s="664">
        <f t="shared" ref="F411:G411" si="466">F412</f>
        <v>20994679.010000002</v>
      </c>
      <c r="G411" s="664">
        <f t="shared" si="466"/>
        <v>8214383</v>
      </c>
      <c r="H411" s="664">
        <f>H412</f>
        <v>258373</v>
      </c>
      <c r="I411" s="664">
        <f t="shared" ref="I411" si="467">I412</f>
        <v>0</v>
      </c>
      <c r="J411" s="663">
        <f>J412</f>
        <v>0</v>
      </c>
      <c r="K411" s="664">
        <f>K412</f>
        <v>0</v>
      </c>
      <c r="L411" s="664">
        <f>L412</f>
        <v>0</v>
      </c>
      <c r="M411" s="664">
        <f t="shared" ref="M411" si="468">M412</f>
        <v>0</v>
      </c>
      <c r="N411" s="664">
        <f>N412</f>
        <v>0</v>
      </c>
      <c r="O411" s="663">
        <f>O412</f>
        <v>0</v>
      </c>
      <c r="P411" s="664">
        <f t="shared" ref="P411" si="469">P412</f>
        <v>20994679.010000002</v>
      </c>
      <c r="Q411" s="20"/>
    </row>
    <row r="412" spans="1:19" ht="120" customHeight="1" thickTop="1" thickBot="1" x14ac:dyDescent="0.25">
      <c r="A412" s="658" t="s">
        <v>169</v>
      </c>
      <c r="B412" s="658"/>
      <c r="C412" s="658"/>
      <c r="D412" s="659" t="s">
        <v>40</v>
      </c>
      <c r="E412" s="660">
        <f>E413+E419+E426+E416</f>
        <v>20994679.010000002</v>
      </c>
      <c r="F412" s="660">
        <f t="shared" ref="F412:P412" si="470">F413+F419+F426+F416</f>
        <v>20994679.010000002</v>
      </c>
      <c r="G412" s="660">
        <f t="shared" si="470"/>
        <v>8214383</v>
      </c>
      <c r="H412" s="660">
        <f t="shared" si="470"/>
        <v>258373</v>
      </c>
      <c r="I412" s="660">
        <f t="shared" si="470"/>
        <v>0</v>
      </c>
      <c r="J412" s="660">
        <f t="shared" si="470"/>
        <v>0</v>
      </c>
      <c r="K412" s="660">
        <f t="shared" si="470"/>
        <v>0</v>
      </c>
      <c r="L412" s="660">
        <f t="shared" si="470"/>
        <v>0</v>
      </c>
      <c r="M412" s="660">
        <f t="shared" si="470"/>
        <v>0</v>
      </c>
      <c r="N412" s="660">
        <f t="shared" si="470"/>
        <v>0</v>
      </c>
      <c r="O412" s="660">
        <f t="shared" si="470"/>
        <v>0</v>
      </c>
      <c r="P412" s="660">
        <f t="shared" si="470"/>
        <v>20994679.010000002</v>
      </c>
      <c r="Q412" s="503" t="b">
        <f>P412=P414+P420+P422</f>
        <v>1</v>
      </c>
      <c r="R412" s="45"/>
    </row>
    <row r="413" spans="1:19" ht="47.25" thickTop="1" thickBot="1" x14ac:dyDescent="0.25">
      <c r="A413" s="311" t="s">
        <v>844</v>
      </c>
      <c r="B413" s="311" t="s">
        <v>684</v>
      </c>
      <c r="C413" s="311"/>
      <c r="D413" s="311" t="s">
        <v>685</v>
      </c>
      <c r="E413" s="328">
        <f>SUM(E414:E415)</f>
        <v>10337342</v>
      </c>
      <c r="F413" s="328">
        <f t="shared" ref="F413:P413" si="471">SUM(F414:F415)</f>
        <v>10337342</v>
      </c>
      <c r="G413" s="328">
        <f t="shared" si="471"/>
        <v>8214383</v>
      </c>
      <c r="H413" s="328">
        <f t="shared" si="471"/>
        <v>258373</v>
      </c>
      <c r="I413" s="328">
        <f t="shared" si="471"/>
        <v>0</v>
      </c>
      <c r="J413" s="328">
        <f t="shared" si="471"/>
        <v>0</v>
      </c>
      <c r="K413" s="328">
        <f t="shared" si="471"/>
        <v>0</v>
      </c>
      <c r="L413" s="328">
        <f t="shared" si="471"/>
        <v>0</v>
      </c>
      <c r="M413" s="328">
        <f t="shared" si="471"/>
        <v>0</v>
      </c>
      <c r="N413" s="328">
        <f t="shared" si="471"/>
        <v>0</v>
      </c>
      <c r="O413" s="328">
        <f t="shared" si="471"/>
        <v>0</v>
      </c>
      <c r="P413" s="328">
        <f t="shared" si="471"/>
        <v>10337342</v>
      </c>
      <c r="Q413" s="47"/>
      <c r="R413" s="50"/>
    </row>
    <row r="414" spans="1:19" ht="93" thickTop="1" thickBot="1" x14ac:dyDescent="0.25">
      <c r="A414" s="103" t="s">
        <v>420</v>
      </c>
      <c r="B414" s="103" t="s">
        <v>236</v>
      </c>
      <c r="C414" s="103" t="s">
        <v>234</v>
      </c>
      <c r="D414" s="103" t="s">
        <v>235</v>
      </c>
      <c r="E414" s="328">
        <f>F414</f>
        <v>10337342</v>
      </c>
      <c r="F414" s="462">
        <v>10337342</v>
      </c>
      <c r="G414" s="462">
        <v>8214383</v>
      </c>
      <c r="H414" s="462">
        <v>258373</v>
      </c>
      <c r="I414" s="462"/>
      <c r="J414" s="328">
        <f>L414+O414</f>
        <v>0</v>
      </c>
      <c r="K414" s="462">
        <v>0</v>
      </c>
      <c r="L414" s="462"/>
      <c r="M414" s="462"/>
      <c r="N414" s="462"/>
      <c r="O414" s="459">
        <f>K414</f>
        <v>0</v>
      </c>
      <c r="P414" s="328">
        <f>E414+J414</f>
        <v>10337342</v>
      </c>
      <c r="Q414" s="47"/>
      <c r="R414" s="50"/>
      <c r="S414" s="47"/>
    </row>
    <row r="415" spans="1:19" ht="93" hidden="1" thickTop="1" thickBot="1" x14ac:dyDescent="0.25">
      <c r="A415" s="128" t="s">
        <v>634</v>
      </c>
      <c r="B415" s="128" t="s">
        <v>362</v>
      </c>
      <c r="C415" s="128" t="s">
        <v>625</v>
      </c>
      <c r="D415" s="128" t="s">
        <v>626</v>
      </c>
      <c r="E415" s="152">
        <f>F415</f>
        <v>0</v>
      </c>
      <c r="F415" s="129"/>
      <c r="G415" s="129"/>
      <c r="H415" s="129"/>
      <c r="I415" s="129"/>
      <c r="J415" s="127">
        <f t="shared" ref="J415" si="472">L415+O415</f>
        <v>0</v>
      </c>
      <c r="K415" s="129"/>
      <c r="L415" s="130"/>
      <c r="M415" s="130"/>
      <c r="N415" s="130"/>
      <c r="O415" s="132">
        <f t="shared" ref="O415" si="473">K415</f>
        <v>0</v>
      </c>
      <c r="P415" s="127">
        <f t="shared" ref="P415" si="474">+J415+E415</f>
        <v>0</v>
      </c>
      <c r="Q415" s="47"/>
      <c r="R415" s="50"/>
    </row>
    <row r="416" spans="1:19" ht="47.25" hidden="1" thickTop="1" thickBot="1" x14ac:dyDescent="0.25">
      <c r="A416" s="136" t="s">
        <v>1204</v>
      </c>
      <c r="B416" s="136" t="s">
        <v>691</v>
      </c>
      <c r="C416" s="136"/>
      <c r="D416" s="136" t="s">
        <v>689</v>
      </c>
      <c r="E416" s="165">
        <f>E417</f>
        <v>0</v>
      </c>
      <c r="F416" s="165">
        <f t="shared" ref="F416:P417" si="475">F417</f>
        <v>0</v>
      </c>
      <c r="G416" s="165">
        <f t="shared" si="475"/>
        <v>0</v>
      </c>
      <c r="H416" s="165">
        <f t="shared" si="475"/>
        <v>0</v>
      </c>
      <c r="I416" s="165">
        <f t="shared" si="475"/>
        <v>0</v>
      </c>
      <c r="J416" s="165">
        <f t="shared" si="475"/>
        <v>0</v>
      </c>
      <c r="K416" s="165">
        <f t="shared" si="475"/>
        <v>0</v>
      </c>
      <c r="L416" s="165">
        <f t="shared" si="475"/>
        <v>0</v>
      </c>
      <c r="M416" s="165">
        <f t="shared" si="475"/>
        <v>0</v>
      </c>
      <c r="N416" s="165">
        <f t="shared" si="475"/>
        <v>0</v>
      </c>
      <c r="O416" s="165">
        <f t="shared" si="475"/>
        <v>0</v>
      </c>
      <c r="P416" s="165">
        <f t="shared" si="475"/>
        <v>0</v>
      </c>
      <c r="Q416" s="47"/>
      <c r="R416" s="50"/>
    </row>
    <row r="417" spans="1:18" ht="48" hidden="1" thickTop="1" thickBot="1" x14ac:dyDescent="0.25">
      <c r="A417" s="140" t="s">
        <v>1205</v>
      </c>
      <c r="B417" s="140" t="s">
        <v>694</v>
      </c>
      <c r="C417" s="140"/>
      <c r="D417" s="140" t="s">
        <v>692</v>
      </c>
      <c r="E417" s="141">
        <f>E418</f>
        <v>0</v>
      </c>
      <c r="F417" s="141">
        <f t="shared" si="475"/>
        <v>0</v>
      </c>
      <c r="G417" s="141">
        <f t="shared" si="475"/>
        <v>0</v>
      </c>
      <c r="H417" s="141">
        <f t="shared" si="475"/>
        <v>0</v>
      </c>
      <c r="I417" s="141">
        <f t="shared" si="475"/>
        <v>0</v>
      </c>
      <c r="J417" s="141">
        <f t="shared" si="475"/>
        <v>0</v>
      </c>
      <c r="K417" s="141">
        <f t="shared" si="475"/>
        <v>0</v>
      </c>
      <c r="L417" s="141">
        <f t="shared" si="475"/>
        <v>0</v>
      </c>
      <c r="M417" s="141">
        <f t="shared" si="475"/>
        <v>0</v>
      </c>
      <c r="N417" s="141">
        <f t="shared" si="475"/>
        <v>0</v>
      </c>
      <c r="O417" s="141">
        <f t="shared" si="475"/>
        <v>0</v>
      </c>
      <c r="P417" s="141">
        <f t="shared" si="475"/>
        <v>0</v>
      </c>
      <c r="Q417" s="47"/>
      <c r="R417" s="50"/>
    </row>
    <row r="418" spans="1:18" ht="48" hidden="1" thickTop="1" thickBot="1" x14ac:dyDescent="0.25">
      <c r="A418" s="128" t="s">
        <v>1206</v>
      </c>
      <c r="B418" s="128" t="s">
        <v>257</v>
      </c>
      <c r="C418" s="128" t="s">
        <v>170</v>
      </c>
      <c r="D418" s="128" t="s">
        <v>255</v>
      </c>
      <c r="E418" s="127">
        <f t="shared" ref="E418" si="476">F418</f>
        <v>0</v>
      </c>
      <c r="F418" s="134"/>
      <c r="G418" s="134"/>
      <c r="H418" s="134"/>
      <c r="I418" s="134"/>
      <c r="J418" s="127">
        <f t="shared" ref="J418" si="477">L418+O418</f>
        <v>0</v>
      </c>
      <c r="K418" s="134"/>
      <c r="L418" s="134"/>
      <c r="M418" s="134"/>
      <c r="N418" s="134"/>
      <c r="O418" s="132">
        <f>K418</f>
        <v>0</v>
      </c>
      <c r="P418" s="127">
        <f t="shared" ref="P418" si="478">E418+J418</f>
        <v>0</v>
      </c>
      <c r="Q418" s="47"/>
      <c r="R418" s="50"/>
    </row>
    <row r="419" spans="1:18" ht="47.25" thickTop="1" thickBot="1" x14ac:dyDescent="0.25">
      <c r="A419" s="311" t="s">
        <v>845</v>
      </c>
      <c r="B419" s="311" t="s">
        <v>696</v>
      </c>
      <c r="C419" s="311"/>
      <c r="D419" s="311" t="s">
        <v>697</v>
      </c>
      <c r="E419" s="312">
        <f t="shared" ref="E419:P419" si="479">E420+E421+E423</f>
        <v>10657337.010000002</v>
      </c>
      <c r="F419" s="312">
        <f t="shared" si="479"/>
        <v>10657337.010000002</v>
      </c>
      <c r="G419" s="312">
        <f t="shared" si="479"/>
        <v>0</v>
      </c>
      <c r="H419" s="312">
        <f t="shared" si="479"/>
        <v>0</v>
      </c>
      <c r="I419" s="312">
        <f t="shared" si="479"/>
        <v>0</v>
      </c>
      <c r="J419" s="312">
        <f t="shared" si="479"/>
        <v>0</v>
      </c>
      <c r="K419" s="312">
        <f t="shared" si="479"/>
        <v>0</v>
      </c>
      <c r="L419" s="312">
        <f t="shared" si="479"/>
        <v>0</v>
      </c>
      <c r="M419" s="312">
        <f t="shared" si="479"/>
        <v>0</v>
      </c>
      <c r="N419" s="312">
        <f t="shared" si="479"/>
        <v>0</v>
      </c>
      <c r="O419" s="312">
        <f t="shared" si="479"/>
        <v>0</v>
      </c>
      <c r="P419" s="312">
        <f t="shared" si="479"/>
        <v>10657337.010000002</v>
      </c>
      <c r="Q419" s="47"/>
      <c r="R419" s="50"/>
    </row>
    <row r="420" spans="1:18" ht="47.25" thickTop="1" thickBot="1" x14ac:dyDescent="0.25">
      <c r="A420" s="526">
        <v>3718600</v>
      </c>
      <c r="B420" s="526">
        <v>8600</v>
      </c>
      <c r="C420" s="313" t="s">
        <v>362</v>
      </c>
      <c r="D420" s="526" t="s">
        <v>452</v>
      </c>
      <c r="E420" s="315">
        <f>F420</f>
        <v>525644</v>
      </c>
      <c r="F420" s="315">
        <v>525644</v>
      </c>
      <c r="G420" s="315"/>
      <c r="H420" s="315"/>
      <c r="I420" s="315"/>
      <c r="J420" s="315">
        <f>L420+O420</f>
        <v>0</v>
      </c>
      <c r="K420" s="315"/>
      <c r="L420" s="315"/>
      <c r="M420" s="315"/>
      <c r="N420" s="315"/>
      <c r="O420" s="527">
        <f>K420</f>
        <v>0</v>
      </c>
      <c r="P420" s="315">
        <f>E420+J420</f>
        <v>525644</v>
      </c>
      <c r="Q420" s="20"/>
    </row>
    <row r="421" spans="1:18" ht="47.25" thickTop="1" thickBot="1" x14ac:dyDescent="0.25">
      <c r="A421" s="526">
        <v>3718700</v>
      </c>
      <c r="B421" s="526">
        <v>8700</v>
      </c>
      <c r="C421" s="313"/>
      <c r="D421" s="526" t="s">
        <v>846</v>
      </c>
      <c r="E421" s="315">
        <f t="shared" ref="E421:P421" si="480">E422</f>
        <v>10131693.010000002</v>
      </c>
      <c r="F421" s="315">
        <f t="shared" si="480"/>
        <v>10131693.010000002</v>
      </c>
      <c r="G421" s="315">
        <f t="shared" si="480"/>
        <v>0</v>
      </c>
      <c r="H421" s="315">
        <f t="shared" si="480"/>
        <v>0</v>
      </c>
      <c r="I421" s="315">
        <f t="shared" si="480"/>
        <v>0</v>
      </c>
      <c r="J421" s="315">
        <f t="shared" si="480"/>
        <v>0</v>
      </c>
      <c r="K421" s="315">
        <f t="shared" si="480"/>
        <v>0</v>
      </c>
      <c r="L421" s="315">
        <f t="shared" si="480"/>
        <v>0</v>
      </c>
      <c r="M421" s="315">
        <f t="shared" si="480"/>
        <v>0</v>
      </c>
      <c r="N421" s="315">
        <f t="shared" si="480"/>
        <v>0</v>
      </c>
      <c r="O421" s="315">
        <f t="shared" si="480"/>
        <v>0</v>
      </c>
      <c r="P421" s="315">
        <f t="shared" si="480"/>
        <v>10131693.010000002</v>
      </c>
      <c r="Q421" s="20"/>
    </row>
    <row r="422" spans="1:18" ht="69" customHeight="1" thickTop="1" thickBot="1" x14ac:dyDescent="0.25">
      <c r="A422" s="330">
        <v>3718710</v>
      </c>
      <c r="B422" s="330">
        <v>8710</v>
      </c>
      <c r="C422" s="103" t="s">
        <v>42</v>
      </c>
      <c r="D422" s="470" t="s">
        <v>640</v>
      </c>
      <c r="E422" s="328">
        <f>F422</f>
        <v>10131693.010000002</v>
      </c>
      <c r="F422" s="462">
        <f>(50431231.78-20000000-8000000)-12299538.77</f>
        <v>10131693.010000002</v>
      </c>
      <c r="G422" s="462"/>
      <c r="H422" s="462"/>
      <c r="I422" s="462"/>
      <c r="J422" s="328">
        <f>L422+O422</f>
        <v>0</v>
      </c>
      <c r="K422" s="462"/>
      <c r="L422" s="462"/>
      <c r="M422" s="462"/>
      <c r="N422" s="462"/>
      <c r="O422" s="459">
        <f>K422</f>
        <v>0</v>
      </c>
      <c r="P422" s="328">
        <f>E422+J422</f>
        <v>10131693.010000002</v>
      </c>
      <c r="Q422" s="20"/>
    </row>
    <row r="423" spans="1:18" ht="47.25" hidden="1" thickTop="1" thickBot="1" x14ac:dyDescent="0.25">
      <c r="A423" s="166">
        <v>3718800</v>
      </c>
      <c r="B423" s="166">
        <v>8800</v>
      </c>
      <c r="C423" s="136"/>
      <c r="D423" s="166" t="s">
        <v>854</v>
      </c>
      <c r="E423" s="137">
        <f>E424</f>
        <v>0</v>
      </c>
      <c r="F423" s="137">
        <f>F424</f>
        <v>0</v>
      </c>
      <c r="G423" s="137">
        <f t="shared" ref="G423:P424" si="481">G424</f>
        <v>0</v>
      </c>
      <c r="H423" s="137">
        <f t="shared" si="481"/>
        <v>0</v>
      </c>
      <c r="I423" s="137">
        <f t="shared" si="481"/>
        <v>0</v>
      </c>
      <c r="J423" s="137">
        <f t="shared" si="481"/>
        <v>0</v>
      </c>
      <c r="K423" s="137">
        <f t="shared" si="481"/>
        <v>0</v>
      </c>
      <c r="L423" s="137">
        <f t="shared" si="481"/>
        <v>0</v>
      </c>
      <c r="M423" s="137">
        <f t="shared" si="481"/>
        <v>0</v>
      </c>
      <c r="N423" s="137">
        <f t="shared" si="481"/>
        <v>0</v>
      </c>
      <c r="O423" s="137">
        <f t="shared" si="481"/>
        <v>0</v>
      </c>
      <c r="P423" s="137">
        <f t="shared" si="481"/>
        <v>0</v>
      </c>
      <c r="Q423" s="20"/>
    </row>
    <row r="424" spans="1:18" ht="93" hidden="1" thickTop="1" thickBot="1" x14ac:dyDescent="0.25">
      <c r="A424" s="167">
        <v>3718880</v>
      </c>
      <c r="B424" s="167">
        <v>8880</v>
      </c>
      <c r="C424" s="140"/>
      <c r="D424" s="153" t="s">
        <v>1154</v>
      </c>
      <c r="E424" s="141">
        <f>E425</f>
        <v>0</v>
      </c>
      <c r="F424" s="141">
        <f t="shared" ref="F424" si="482">F425</f>
        <v>0</v>
      </c>
      <c r="G424" s="141">
        <f t="shared" si="481"/>
        <v>0</v>
      </c>
      <c r="H424" s="141">
        <f t="shared" si="481"/>
        <v>0</v>
      </c>
      <c r="I424" s="141">
        <f t="shared" si="481"/>
        <v>0</v>
      </c>
      <c r="J424" s="141">
        <f t="shared" si="481"/>
        <v>0</v>
      </c>
      <c r="K424" s="141">
        <f t="shared" si="481"/>
        <v>0</v>
      </c>
      <c r="L424" s="141">
        <f t="shared" si="481"/>
        <v>0</v>
      </c>
      <c r="M424" s="141">
        <f t="shared" si="481"/>
        <v>0</v>
      </c>
      <c r="N424" s="141">
        <f t="shared" si="481"/>
        <v>0</v>
      </c>
      <c r="O424" s="141">
        <f t="shared" si="481"/>
        <v>0</v>
      </c>
      <c r="P424" s="141">
        <f t="shared" si="481"/>
        <v>0</v>
      </c>
      <c r="Q424" s="20"/>
    </row>
    <row r="425" spans="1:18" ht="93" hidden="1" thickTop="1" thickBot="1" x14ac:dyDescent="0.25">
      <c r="A425" s="128">
        <v>3718881</v>
      </c>
      <c r="B425" s="128">
        <v>8881</v>
      </c>
      <c r="C425" s="128" t="s">
        <v>170</v>
      </c>
      <c r="D425" s="128" t="s">
        <v>1155</v>
      </c>
      <c r="E425" s="152">
        <f>F425</f>
        <v>0</v>
      </c>
      <c r="F425" s="129">
        <f>(2500000)-2500000</f>
        <v>0</v>
      </c>
      <c r="G425" s="129"/>
      <c r="H425" s="129"/>
      <c r="I425" s="129"/>
      <c r="J425" s="127">
        <f t="shared" ref="J425" si="483">L425+O425</f>
        <v>0</v>
      </c>
      <c r="K425" s="129"/>
      <c r="L425" s="130"/>
      <c r="M425" s="130"/>
      <c r="N425" s="130"/>
      <c r="O425" s="132">
        <f t="shared" ref="O425" si="484">K425</f>
        <v>0</v>
      </c>
      <c r="P425" s="127">
        <f t="shared" ref="P425" si="485">+J425+E425</f>
        <v>0</v>
      </c>
      <c r="Q425" s="20"/>
    </row>
    <row r="426" spans="1:18" ht="47.25" hidden="1" thickTop="1" thickBot="1" x14ac:dyDescent="0.25">
      <c r="A426" s="125" t="s">
        <v>847</v>
      </c>
      <c r="B426" s="125" t="s">
        <v>702</v>
      </c>
      <c r="C426" s="125"/>
      <c r="D426" s="125" t="s">
        <v>703</v>
      </c>
      <c r="E426" s="127">
        <f>E427</f>
        <v>0</v>
      </c>
      <c r="F426" s="127">
        <f t="shared" ref="F426:P427" si="486">F427</f>
        <v>0</v>
      </c>
      <c r="G426" s="127">
        <f t="shared" si="486"/>
        <v>0</v>
      </c>
      <c r="H426" s="127">
        <f t="shared" si="486"/>
        <v>0</v>
      </c>
      <c r="I426" s="127">
        <f t="shared" si="486"/>
        <v>0</v>
      </c>
      <c r="J426" s="127">
        <f t="shared" si="486"/>
        <v>0</v>
      </c>
      <c r="K426" s="127">
        <f t="shared" si="486"/>
        <v>0</v>
      </c>
      <c r="L426" s="127">
        <f t="shared" si="486"/>
        <v>0</v>
      </c>
      <c r="M426" s="127">
        <f t="shared" si="486"/>
        <v>0</v>
      </c>
      <c r="N426" s="127">
        <f t="shared" si="486"/>
        <v>0</v>
      </c>
      <c r="O426" s="127">
        <f t="shared" si="486"/>
        <v>0</v>
      </c>
      <c r="P426" s="127">
        <f t="shared" si="486"/>
        <v>0</v>
      </c>
      <c r="Q426" s="20"/>
    </row>
    <row r="427" spans="1:18" ht="47.25" hidden="1" thickTop="1" thickBot="1" x14ac:dyDescent="0.25">
      <c r="A427" s="166">
        <v>3719100</v>
      </c>
      <c r="B427" s="136" t="s">
        <v>849</v>
      </c>
      <c r="C427" s="136"/>
      <c r="D427" s="136" t="s">
        <v>848</v>
      </c>
      <c r="E427" s="137">
        <f>E428</f>
        <v>0</v>
      </c>
      <c r="F427" s="137">
        <f t="shared" si="486"/>
        <v>0</v>
      </c>
      <c r="G427" s="137">
        <f t="shared" si="486"/>
        <v>0</v>
      </c>
      <c r="H427" s="137">
        <f t="shared" si="486"/>
        <v>0</v>
      </c>
      <c r="I427" s="137">
        <f t="shared" si="486"/>
        <v>0</v>
      </c>
      <c r="J427" s="137">
        <f t="shared" si="486"/>
        <v>0</v>
      </c>
      <c r="K427" s="137">
        <f t="shared" si="486"/>
        <v>0</v>
      </c>
      <c r="L427" s="137">
        <f t="shared" si="486"/>
        <v>0</v>
      </c>
      <c r="M427" s="137">
        <f t="shared" si="486"/>
        <v>0</v>
      </c>
      <c r="N427" s="137">
        <f t="shared" si="486"/>
        <v>0</v>
      </c>
      <c r="O427" s="137">
        <f t="shared" si="486"/>
        <v>0</v>
      </c>
      <c r="P427" s="137">
        <f t="shared" si="486"/>
        <v>0</v>
      </c>
      <c r="Q427" s="20"/>
    </row>
    <row r="428" spans="1:18" ht="51" hidden="1" customHeight="1" thickTop="1" thickBot="1" x14ac:dyDescent="0.25">
      <c r="A428" s="151">
        <v>3719110</v>
      </c>
      <c r="B428" s="151">
        <v>9110</v>
      </c>
      <c r="C428" s="128" t="s">
        <v>43</v>
      </c>
      <c r="D428" s="402" t="s">
        <v>451</v>
      </c>
      <c r="E428" s="127">
        <f>F428</f>
        <v>0</v>
      </c>
      <c r="F428" s="134">
        <v>0</v>
      </c>
      <c r="G428" s="134"/>
      <c r="H428" s="134"/>
      <c r="I428" s="134"/>
      <c r="J428" s="127">
        <f>L428+O428</f>
        <v>0</v>
      </c>
      <c r="K428" s="134"/>
      <c r="L428" s="134"/>
      <c r="M428" s="134"/>
      <c r="N428" s="134"/>
      <c r="O428" s="132">
        <f>K428</f>
        <v>0</v>
      </c>
      <c r="P428" s="127">
        <f>E428+J428</f>
        <v>0</v>
      </c>
      <c r="Q428" s="20"/>
    </row>
    <row r="429" spans="1:18" ht="111" customHeight="1" thickTop="1" thickBot="1" x14ac:dyDescent="0.25">
      <c r="A429" s="674" t="s">
        <v>381</v>
      </c>
      <c r="B429" s="674" t="s">
        <v>381</v>
      </c>
      <c r="C429" s="674" t="s">
        <v>381</v>
      </c>
      <c r="D429" s="674" t="s">
        <v>391</v>
      </c>
      <c r="E429" s="675">
        <f t="shared" ref="E429:P429" si="487">E16+E48+E221+E108+E140+E200++E320+E345+E412+E373+E393+E403+E354+E285+E257</f>
        <v>3965342823.77</v>
      </c>
      <c r="F429" s="675">
        <f t="shared" si="487"/>
        <v>3965342823.77</v>
      </c>
      <c r="G429" s="675">
        <f t="shared" si="487"/>
        <v>1928515611.3899999</v>
      </c>
      <c r="H429" s="675">
        <f t="shared" si="487"/>
        <v>197362393.78999999</v>
      </c>
      <c r="I429" s="675">
        <f t="shared" si="487"/>
        <v>0</v>
      </c>
      <c r="J429" s="675">
        <f t="shared" si="487"/>
        <v>911068281.61000013</v>
      </c>
      <c r="K429" s="675">
        <f t="shared" si="487"/>
        <v>667166529.46000004</v>
      </c>
      <c r="L429" s="675">
        <f t="shared" si="487"/>
        <v>230773460.15000001</v>
      </c>
      <c r="M429" s="675">
        <f t="shared" si="487"/>
        <v>65152330</v>
      </c>
      <c r="N429" s="675">
        <f t="shared" si="487"/>
        <v>18851671</v>
      </c>
      <c r="O429" s="675">
        <f t="shared" si="487"/>
        <v>680294821.46000004</v>
      </c>
      <c r="P429" s="675">
        <f t="shared" si="487"/>
        <v>4876411105.3800001</v>
      </c>
      <c r="Q429" s="79" t="b">
        <f>P429=J429+E429</f>
        <v>1</v>
      </c>
    </row>
    <row r="430" spans="1:18" ht="46.5" thickTop="1" x14ac:dyDescent="0.2">
      <c r="A430" s="819" t="s">
        <v>1520</v>
      </c>
      <c r="B430" s="820"/>
      <c r="C430" s="820"/>
      <c r="D430" s="820"/>
      <c r="E430" s="820"/>
      <c r="F430" s="820"/>
      <c r="G430" s="820"/>
      <c r="H430" s="820"/>
      <c r="I430" s="820"/>
      <c r="J430" s="820"/>
      <c r="K430" s="820"/>
      <c r="L430" s="820"/>
      <c r="M430" s="820"/>
      <c r="N430" s="820"/>
      <c r="O430" s="820"/>
      <c r="P430" s="820"/>
      <c r="Q430" s="56"/>
    </row>
    <row r="431" spans="1:18" ht="60.75" hidden="1" x14ac:dyDescent="0.2">
      <c r="A431" s="15"/>
      <c r="B431" s="16"/>
      <c r="C431" s="16"/>
      <c r="D431" s="16"/>
      <c r="E431" s="550">
        <f>F431</f>
        <v>3965342823.77</v>
      </c>
      <c r="F431" s="550">
        <f>(((3716414441.2)+222038975.97)+1158900+4436136.01)+21294370.59</f>
        <v>3965342823.77</v>
      </c>
      <c r="G431" s="550">
        <f>((95820900+1446614253+3269881+127110999+52092425+53854513+94248348+1953964)+45702476.39+3377320)+949920+3007261+436671+76680</f>
        <v>1928515611.3900001</v>
      </c>
      <c r="H431" s="550">
        <f>(((6241293+170645348+208800+8158262+4493410+2946945+4237921+58880)+92902.78)+140989.01)+137643</f>
        <v>197362393.78999999</v>
      </c>
      <c r="I431" s="550">
        <v>0</v>
      </c>
      <c r="J431" s="550">
        <f>(((480219450.8+'d2'!E42-'d4'!O29)+268859015.4)+7672111)+156908194.41</f>
        <v>911068281.61000001</v>
      </c>
      <c r="K431" s="550">
        <f>((480219450.8+'d2'!F42-'d4'!P29-1200000-5215800-229145152)+268859015.4-4737.15-663952)+156908194.41</f>
        <v>667166529.46000004</v>
      </c>
      <c r="L431" s="550">
        <f>(((2604400+176000+570000+1000000)+206347210+6239260+10895910+1888442+1200000)+4737.15)-152499</f>
        <v>230773460.15000001</v>
      </c>
      <c r="M431" s="550">
        <f>(53944610+2604685+8032370+704165)-133500</f>
        <v>65152330</v>
      </c>
      <c r="N431" s="550">
        <f>17336870+705805+284620+524376</f>
        <v>18851671</v>
      </c>
      <c r="O431" s="550">
        <f>(((480219450.8+'d2'!F42-'d4'!O29-1200000-5215800-229145152+865400+3487390+24000+237940+25000)+268859015.4-4737.15)+7672111)+152499+156908194.41</f>
        <v>680294821.46000004</v>
      </c>
      <c r="P431" s="550">
        <f>(((4196633892+'d2'!C46-'d4'!Q29)+490897991.37)+7672111+4436136.01+1158900)+178202565</f>
        <v>4876411105.3800001</v>
      </c>
      <c r="Q431" s="79" t="b">
        <f>E431+J431=P431</f>
        <v>1</v>
      </c>
      <c r="R431" s="56"/>
    </row>
    <row r="432" spans="1:18" ht="45.75" x14ac:dyDescent="0.65">
      <c r="A432" s="15"/>
      <c r="B432" s="16"/>
      <c r="C432" s="16"/>
      <c r="D432" s="551" t="s">
        <v>1480</v>
      </c>
      <c r="E432" s="319"/>
      <c r="F432" s="319"/>
      <c r="G432" s="2"/>
      <c r="H432" s="3"/>
      <c r="I432" s="2"/>
      <c r="J432" s="3"/>
      <c r="K432" s="2" t="s">
        <v>1481</v>
      </c>
      <c r="L432" s="2"/>
      <c r="M432" s="2"/>
      <c r="N432" s="2"/>
      <c r="O432" s="2"/>
      <c r="P432" s="2"/>
      <c r="Q432" s="56"/>
    </row>
    <row r="433" spans="1:18" ht="45.75" hidden="1" x14ac:dyDescent="0.65">
      <c r="A433" s="168"/>
      <c r="B433" s="169"/>
      <c r="C433" s="169"/>
      <c r="D433" s="3" t="s">
        <v>1445</v>
      </c>
      <c r="E433" s="319"/>
      <c r="F433" s="319"/>
      <c r="G433" s="2"/>
      <c r="H433" s="3"/>
      <c r="I433" s="2"/>
      <c r="J433" s="3"/>
      <c r="K433" s="3" t="s">
        <v>1446</v>
      </c>
      <c r="L433" s="202"/>
      <c r="M433" s="202"/>
      <c r="N433" s="202"/>
      <c r="O433" s="202"/>
      <c r="P433" s="202"/>
      <c r="Q433" s="56"/>
    </row>
    <row r="434" spans="1:18" ht="26.25" customHeight="1" x14ac:dyDescent="0.65">
      <c r="A434" s="15"/>
      <c r="B434" s="16"/>
      <c r="C434" s="16"/>
      <c r="D434" s="798"/>
      <c r="E434" s="798"/>
      <c r="F434" s="798"/>
      <c r="G434" s="798"/>
      <c r="H434" s="798"/>
      <c r="I434" s="798"/>
      <c r="J434" s="798"/>
      <c r="K434" s="798"/>
      <c r="L434" s="798"/>
      <c r="M434" s="798"/>
      <c r="N434" s="798"/>
      <c r="O434" s="798"/>
      <c r="P434" s="798"/>
      <c r="Q434" s="83"/>
    </row>
    <row r="435" spans="1:18" ht="50.25" customHeight="1" thickBot="1" x14ac:dyDescent="0.7">
      <c r="A435" s="15"/>
      <c r="B435" s="16"/>
      <c r="C435" s="16"/>
      <c r="D435" s="769" t="s">
        <v>523</v>
      </c>
      <c r="E435" s="770"/>
      <c r="F435" s="770"/>
      <c r="G435" s="361"/>
      <c r="H435" s="361"/>
      <c r="I435" s="2"/>
      <c r="J435" s="2"/>
      <c r="K435" s="3" t="s">
        <v>1346</v>
      </c>
      <c r="L435" s="2"/>
      <c r="M435" s="2"/>
      <c r="N435" s="2"/>
      <c r="O435" s="2"/>
      <c r="P435" s="2"/>
      <c r="Q435" s="83"/>
    </row>
    <row r="436" spans="1:18" ht="47.25" thickTop="1" thickBot="1" x14ac:dyDescent="0.7">
      <c r="A436" s="19"/>
      <c r="B436" s="19"/>
      <c r="C436" s="19"/>
      <c r="D436" s="821"/>
      <c r="E436" s="821"/>
      <c r="F436" s="821"/>
      <c r="G436" s="821"/>
      <c r="H436" s="821"/>
      <c r="I436" s="821"/>
      <c r="J436" s="821"/>
      <c r="K436" s="821"/>
      <c r="L436" s="821"/>
      <c r="M436" s="821"/>
      <c r="N436" s="821"/>
      <c r="O436" s="821"/>
      <c r="P436" s="821"/>
      <c r="Q436" s="84"/>
    </row>
    <row r="437" spans="1:18" ht="95.25" customHeight="1" thickTop="1" x14ac:dyDescent="0.55000000000000004">
      <c r="G437" s="58"/>
      <c r="H437" s="58"/>
      <c r="I437" s="92"/>
      <c r="J437" s="93"/>
      <c r="K437" s="93"/>
      <c r="L437" s="92"/>
      <c r="M437" s="92"/>
      <c r="N437" s="92"/>
      <c r="O437" s="92"/>
      <c r="P437" s="93"/>
      <c r="Q437" s="82"/>
    </row>
    <row r="438" spans="1:18" x14ac:dyDescent="0.2">
      <c r="E438" s="59"/>
      <c r="F438" s="60"/>
      <c r="G438" s="58"/>
      <c r="H438" s="58"/>
      <c r="I438" s="92"/>
      <c r="J438" s="94"/>
      <c r="K438" s="94"/>
      <c r="L438" s="92"/>
      <c r="M438" s="92"/>
      <c r="N438" s="92"/>
      <c r="O438" s="92"/>
      <c r="P438" s="93"/>
    </row>
    <row r="439" spans="1:18" x14ac:dyDescent="0.2">
      <c r="E439" s="59"/>
      <c r="F439" s="60"/>
      <c r="G439" s="58"/>
      <c r="H439" s="58"/>
      <c r="I439" s="92"/>
      <c r="J439" s="94"/>
      <c r="K439" s="94"/>
      <c r="L439" s="92"/>
      <c r="M439" s="92"/>
      <c r="N439" s="92"/>
      <c r="O439" s="92"/>
      <c r="P439" s="93"/>
    </row>
    <row r="440" spans="1:18" ht="60.75" x14ac:dyDescent="0.2">
      <c r="E440" s="704" t="b">
        <f>E431=E429</f>
        <v>1</v>
      </c>
      <c r="F440" s="704" t="b">
        <f>F431=F429</f>
        <v>1</v>
      </c>
      <c r="G440" s="704" t="b">
        <f>G431=G429</f>
        <v>1</v>
      </c>
      <c r="H440" s="704" t="b">
        <f t="shared" ref="H440:O440" si="488">H431=H429</f>
        <v>1</v>
      </c>
      <c r="I440" s="704" t="b">
        <f>I431=I429</f>
        <v>1</v>
      </c>
      <c r="J440" s="704" t="b">
        <f>J431=J429</f>
        <v>1</v>
      </c>
      <c r="K440" s="704" t="b">
        <f>K431=K429</f>
        <v>1</v>
      </c>
      <c r="L440" s="704" t="b">
        <f t="shared" si="488"/>
        <v>1</v>
      </c>
      <c r="M440" s="704" t="b">
        <f t="shared" si="488"/>
        <v>1</v>
      </c>
      <c r="N440" s="704" t="b">
        <f>N431=N429</f>
        <v>1</v>
      </c>
      <c r="O440" s="704" t="b">
        <f t="shared" si="488"/>
        <v>1</v>
      </c>
      <c r="P440" s="704" t="b">
        <f>P431=P429</f>
        <v>1</v>
      </c>
    </row>
    <row r="441" spans="1:18" ht="61.5" x14ac:dyDescent="0.2">
      <c r="E441" s="704" t="b">
        <f>E429=F429</f>
        <v>1</v>
      </c>
      <c r="F441" s="705">
        <f>F422/E429</f>
        <v>2.5550610527962929E-3</v>
      </c>
      <c r="G441" s="86"/>
      <c r="H441" s="87"/>
      <c r="I441" s="88"/>
      <c r="J441" s="704" t="b">
        <f>J431=L431+O431</f>
        <v>1</v>
      </c>
      <c r="K441" s="95"/>
      <c r="L441" s="79"/>
      <c r="M441" s="88"/>
      <c r="N441" s="88"/>
      <c r="O441" s="79"/>
      <c r="P441" s="704" t="b">
        <f>E429+J429=P429</f>
        <v>1</v>
      </c>
    </row>
    <row r="442" spans="1:18" ht="60.75" x14ac:dyDescent="0.2">
      <c r="E442" s="89"/>
      <c r="F442" s="90"/>
      <c r="G442" s="89"/>
      <c r="H442" s="706">
        <f>H431-H429</f>
        <v>0</v>
      </c>
      <c r="I442" s="89"/>
      <c r="J442" s="59"/>
      <c r="K442" s="59"/>
    </row>
    <row r="443" spans="1:18" ht="61.5" x14ac:dyDescent="0.2">
      <c r="A443" s="21"/>
      <c r="B443" s="21"/>
      <c r="C443" s="21"/>
      <c r="D443" s="22"/>
      <c r="E443" s="37">
        <f>E429-E431</f>
        <v>0</v>
      </c>
      <c r="F443" s="705">
        <f>400000/E429</f>
        <v>1.0087400201622543E-4</v>
      </c>
      <c r="G443" s="86"/>
      <c r="H443" s="61"/>
      <c r="I443" s="22"/>
      <c r="J443" s="37">
        <f>J429-J431</f>
        <v>0</v>
      </c>
      <c r="K443" s="37">
        <f>K429-K431</f>
        <v>0</v>
      </c>
      <c r="L443" s="37"/>
      <c r="M443" s="37"/>
      <c r="N443" s="37"/>
      <c r="O443" s="37">
        <f>O429-O431</f>
        <v>0</v>
      </c>
      <c r="P443" s="37"/>
    </row>
    <row r="444" spans="1:18" ht="61.5" x14ac:dyDescent="0.2">
      <c r="D444" s="22"/>
      <c r="E444" s="37"/>
      <c r="F444" s="63"/>
      <c r="G444" s="55"/>
      <c r="H444" s="61"/>
      <c r="I444" s="22"/>
      <c r="J444" s="37"/>
      <c r="K444" s="37"/>
      <c r="L444" s="64"/>
      <c r="P444" s="55"/>
      <c r="Q444" s="85"/>
      <c r="R444" s="65"/>
    </row>
    <row r="445" spans="1:18" ht="60.75" x14ac:dyDescent="0.2">
      <c r="A445" s="21"/>
      <c r="B445" s="21"/>
      <c r="C445" s="21"/>
      <c r="D445" s="22"/>
      <c r="E445" s="26"/>
      <c r="F445" s="26"/>
      <c r="G445" s="26"/>
      <c r="H445" s="26"/>
      <c r="I445" s="66"/>
      <c r="J445" s="26"/>
      <c r="K445" s="26"/>
      <c r="L445" s="26"/>
      <c r="M445" s="26"/>
      <c r="N445" s="26"/>
      <c r="O445" s="26"/>
      <c r="P445" s="26"/>
      <c r="Q445" s="85"/>
      <c r="R445" s="65"/>
    </row>
    <row r="446" spans="1:18" ht="60.75" x14ac:dyDescent="0.2">
      <c r="D446" s="22"/>
      <c r="E446" s="37"/>
      <c r="F446" s="67"/>
      <c r="O446" s="55"/>
      <c r="P446" s="55"/>
    </row>
    <row r="447" spans="1:18" ht="60.75" x14ac:dyDescent="0.2">
      <c r="A447" s="21"/>
      <c r="B447" s="21"/>
      <c r="C447" s="21"/>
      <c r="D447" s="22"/>
      <c r="E447" s="37"/>
      <c r="F447" s="62"/>
      <c r="G447" s="64"/>
      <c r="I447" s="68"/>
      <c r="J447" s="59"/>
      <c r="K447" s="59"/>
      <c r="L447" s="21"/>
      <c r="M447" s="21"/>
      <c r="N447" s="21"/>
      <c r="O447" s="21"/>
      <c r="P447" s="55"/>
    </row>
    <row r="448" spans="1:18" ht="62.25" x14ac:dyDescent="0.8">
      <c r="A448" s="21"/>
      <c r="B448" s="21"/>
      <c r="C448" s="21"/>
      <c r="D448" s="21"/>
      <c r="E448" s="69"/>
      <c r="F448" s="62"/>
      <c r="J448" s="59"/>
      <c r="K448" s="59"/>
      <c r="L448" s="21"/>
      <c r="M448" s="21"/>
      <c r="N448" s="21"/>
      <c r="O448" s="21"/>
      <c r="P448" s="70"/>
    </row>
    <row r="449" spans="1:16" ht="45.75" x14ac:dyDescent="0.2">
      <c r="E449" s="71"/>
      <c r="F449" s="67"/>
    </row>
    <row r="450" spans="1:16" ht="45.75" x14ac:dyDescent="0.2">
      <c r="A450" s="21"/>
      <c r="B450" s="21"/>
      <c r="C450" s="21"/>
      <c r="D450" s="21"/>
      <c r="E450" s="69"/>
      <c r="F450" s="62"/>
      <c r="L450" s="21"/>
      <c r="M450" s="21"/>
      <c r="N450" s="21"/>
      <c r="O450" s="21"/>
      <c r="P450" s="21"/>
    </row>
    <row r="451" spans="1:16" ht="45.75" x14ac:dyDescent="0.2">
      <c r="E451" s="72"/>
      <c r="F451" s="67"/>
    </row>
    <row r="452" spans="1:16" ht="45.75" x14ac:dyDescent="0.2">
      <c r="E452" s="72"/>
      <c r="F452" s="67"/>
    </row>
    <row r="453" spans="1:16" ht="45.75" x14ac:dyDescent="0.2">
      <c r="E453" s="72"/>
      <c r="F453" s="67"/>
    </row>
    <row r="454" spans="1:16" ht="45.75" x14ac:dyDescent="0.2">
      <c r="A454" s="21"/>
      <c r="B454" s="21"/>
      <c r="C454" s="21"/>
      <c r="D454" s="21"/>
      <c r="E454" s="72"/>
      <c r="F454" s="67"/>
      <c r="G454" s="21"/>
      <c r="H454" s="21"/>
      <c r="I454" s="21"/>
      <c r="J454" s="21"/>
      <c r="K454" s="21"/>
      <c r="L454" s="21"/>
      <c r="M454" s="21"/>
      <c r="N454" s="21"/>
      <c r="O454" s="21"/>
      <c r="P454" s="21"/>
    </row>
    <row r="455" spans="1:16" ht="45.75" x14ac:dyDescent="0.2">
      <c r="A455" s="21"/>
      <c r="B455" s="21"/>
      <c r="C455" s="21"/>
      <c r="D455" s="21"/>
      <c r="E455" s="72"/>
      <c r="F455" s="67"/>
      <c r="G455" s="21"/>
      <c r="H455" s="21"/>
      <c r="I455" s="21"/>
      <c r="J455" s="21"/>
      <c r="K455" s="21"/>
      <c r="L455" s="21"/>
      <c r="M455" s="21"/>
      <c r="N455" s="21"/>
      <c r="O455" s="21"/>
      <c r="P455" s="21"/>
    </row>
    <row r="456" spans="1:16" ht="45.75" x14ac:dyDescent="0.2">
      <c r="A456" s="21"/>
      <c r="B456" s="21"/>
      <c r="C456" s="21"/>
      <c r="D456" s="21"/>
      <c r="E456" s="72"/>
      <c r="F456" s="67"/>
      <c r="G456" s="21"/>
      <c r="H456" s="21"/>
      <c r="I456" s="21"/>
      <c r="J456" s="21"/>
      <c r="K456" s="21"/>
      <c r="L456" s="21"/>
      <c r="M456" s="21"/>
      <c r="N456" s="21"/>
      <c r="O456" s="21"/>
      <c r="P456" s="21"/>
    </row>
    <row r="457" spans="1:16" ht="45.75" x14ac:dyDescent="0.2">
      <c r="A457" s="21"/>
      <c r="B457" s="21"/>
      <c r="C457" s="21"/>
      <c r="D457" s="21"/>
      <c r="E457" s="72"/>
      <c r="F457" s="67"/>
      <c r="G457" s="21"/>
      <c r="H457" s="21"/>
      <c r="I457" s="21"/>
      <c r="J457" s="21"/>
      <c r="K457" s="21"/>
      <c r="L457" s="21"/>
      <c r="M457" s="21"/>
      <c r="N457" s="21"/>
      <c r="O457" s="21"/>
      <c r="P457" s="21"/>
    </row>
  </sheetData>
  <mergeCells count="183">
    <mergeCell ref="A430:P430"/>
    <mergeCell ref="D436:P436"/>
    <mergeCell ref="K33:K34"/>
    <mergeCell ref="L33:L34"/>
    <mergeCell ref="M33:M34"/>
    <mergeCell ref="N33:N34"/>
    <mergeCell ref="O33:O34"/>
    <mergeCell ref="P33:P34"/>
    <mergeCell ref="E277:E278"/>
    <mergeCell ref="F277:F278"/>
    <mergeCell ref="G277:G278"/>
    <mergeCell ref="H277:H278"/>
    <mergeCell ref="I277:I278"/>
    <mergeCell ref="J277:J278"/>
    <mergeCell ref="A33:A34"/>
    <mergeCell ref="E33:E34"/>
    <mergeCell ref="F33:F34"/>
    <mergeCell ref="G33:G34"/>
    <mergeCell ref="H33:H34"/>
    <mergeCell ref="J33:J34"/>
    <mergeCell ref="A308:A309"/>
    <mergeCell ref="K277:K278"/>
    <mergeCell ref="L277:L278"/>
    <mergeCell ref="M277:M278"/>
    <mergeCell ref="N1:Q1"/>
    <mergeCell ref="N2:Q2"/>
    <mergeCell ref="O3:P3"/>
    <mergeCell ref="A5:P5"/>
    <mergeCell ref="A6:P6"/>
    <mergeCell ref="A8:B8"/>
    <mergeCell ref="J11:O11"/>
    <mergeCell ref="P11:P13"/>
    <mergeCell ref="E12:E13"/>
    <mergeCell ref="F12:F13"/>
    <mergeCell ref="G12:H12"/>
    <mergeCell ref="I12:I13"/>
    <mergeCell ref="J12:J13"/>
    <mergeCell ref="K12:K13"/>
    <mergeCell ref="L12:L13"/>
    <mergeCell ref="M12:N12"/>
    <mergeCell ref="O12:O13"/>
    <mergeCell ref="A9:B9"/>
    <mergeCell ref="A11:A13"/>
    <mergeCell ref="B11:B13"/>
    <mergeCell ref="C11:C13"/>
    <mergeCell ref="D11:D13"/>
    <mergeCell ref="E11:I11"/>
    <mergeCell ref="N277:N278"/>
    <mergeCell ref="O277:O278"/>
    <mergeCell ref="G197:G198"/>
    <mergeCell ref="H197:H198"/>
    <mergeCell ref="I197:I198"/>
    <mergeCell ref="C197:C198"/>
    <mergeCell ref="E197:E198"/>
    <mergeCell ref="F197:F198"/>
    <mergeCell ref="C76:C77"/>
    <mergeCell ref="D76:D77"/>
    <mergeCell ref="E76:E77"/>
    <mergeCell ref="C168:C171"/>
    <mergeCell ref="E168:E171"/>
    <mergeCell ref="F168:F171"/>
    <mergeCell ref="G168:G171"/>
    <mergeCell ref="H168:H171"/>
    <mergeCell ref="O168:O171"/>
    <mergeCell ref="I33:I34"/>
    <mergeCell ref="B33:B34"/>
    <mergeCell ref="C33:C34"/>
    <mergeCell ref="J308:J309"/>
    <mergeCell ref="A277:A278"/>
    <mergeCell ref="B277:B278"/>
    <mergeCell ref="C277:C278"/>
    <mergeCell ref="J197:J198"/>
    <mergeCell ref="A197:A198"/>
    <mergeCell ref="B197:B198"/>
    <mergeCell ref="A76:A77"/>
    <mergeCell ref="B76:B77"/>
    <mergeCell ref="B168:B171"/>
    <mergeCell ref="A179:A181"/>
    <mergeCell ref="B179:B181"/>
    <mergeCell ref="I172:I175"/>
    <mergeCell ref="J172:J175"/>
    <mergeCell ref="I168:I171"/>
    <mergeCell ref="C172:C175"/>
    <mergeCell ref="E172:E175"/>
    <mergeCell ref="F172:F175"/>
    <mergeCell ref="G172:G175"/>
    <mergeCell ref="H172:H175"/>
    <mergeCell ref="P76:P77"/>
    <mergeCell ref="A168:A171"/>
    <mergeCell ref="D434:P434"/>
    <mergeCell ref="O308:O309"/>
    <mergeCell ref="P308:P309"/>
    <mergeCell ref="K308:K309"/>
    <mergeCell ref="L308:L309"/>
    <mergeCell ref="M308:M309"/>
    <mergeCell ref="N308:N309"/>
    <mergeCell ref="K341:K342"/>
    <mergeCell ref="L341:L342"/>
    <mergeCell ref="M341:M342"/>
    <mergeCell ref="N341:N342"/>
    <mergeCell ref="O341:O342"/>
    <mergeCell ref="E308:E309"/>
    <mergeCell ref="F308:F309"/>
    <mergeCell ref="G308:G309"/>
    <mergeCell ref="O172:O175"/>
    <mergeCell ref="P172:P175"/>
    <mergeCell ref="J168:J171"/>
    <mergeCell ref="K168:K171"/>
    <mergeCell ref="L168:L171"/>
    <mergeCell ref="M168:M171"/>
    <mergeCell ref="N168:N171"/>
    <mergeCell ref="Q168:Q171"/>
    <mergeCell ref="A172:A175"/>
    <mergeCell ref="P341:P342"/>
    <mergeCell ref="I76:I77"/>
    <mergeCell ref="J76:J77"/>
    <mergeCell ref="K76:K77"/>
    <mergeCell ref="L76:L77"/>
    <mergeCell ref="A341:A342"/>
    <mergeCell ref="B341:B342"/>
    <mergeCell ref="C341:C342"/>
    <mergeCell ref="E341:E342"/>
    <mergeCell ref="F341:F342"/>
    <mergeCell ref="G341:G342"/>
    <mergeCell ref="H341:H342"/>
    <mergeCell ref="I341:I342"/>
    <mergeCell ref="J341:J342"/>
    <mergeCell ref="F76:F77"/>
    <mergeCell ref="G76:G77"/>
    <mergeCell ref="H76:H77"/>
    <mergeCell ref="M76:M77"/>
    <mergeCell ref="N76:N77"/>
    <mergeCell ref="B308:B309"/>
    <mergeCell ref="C308:C309"/>
    <mergeCell ref="O76:O77"/>
    <mergeCell ref="P168:P171"/>
    <mergeCell ref="K172:K175"/>
    <mergeCell ref="L172:L175"/>
    <mergeCell ref="M172:M175"/>
    <mergeCell ref="N172:N175"/>
    <mergeCell ref="R168:R171"/>
    <mergeCell ref="R176:R178"/>
    <mergeCell ref="A176:A178"/>
    <mergeCell ref="B176:B178"/>
    <mergeCell ref="C176:C178"/>
    <mergeCell ref="E176:E178"/>
    <mergeCell ref="F176:F178"/>
    <mergeCell ref="G176:G178"/>
    <mergeCell ref="H176:H178"/>
    <mergeCell ref="I176:I178"/>
    <mergeCell ref="J176:J178"/>
    <mergeCell ref="K176:K178"/>
    <mergeCell ref="L176:L178"/>
    <mergeCell ref="M176:M178"/>
    <mergeCell ref="N176:N178"/>
    <mergeCell ref="O176:O178"/>
    <mergeCell ref="P176:P178"/>
    <mergeCell ref="R172:R175"/>
    <mergeCell ref="B172:B175"/>
    <mergeCell ref="D435:F435"/>
    <mergeCell ref="M179:M181"/>
    <mergeCell ref="N179:N181"/>
    <mergeCell ref="O179:O181"/>
    <mergeCell ref="P179:P181"/>
    <mergeCell ref="R179:R181"/>
    <mergeCell ref="C179:C181"/>
    <mergeCell ref="E179:E181"/>
    <mergeCell ref="F179:F181"/>
    <mergeCell ref="G179:G181"/>
    <mergeCell ref="H179:H181"/>
    <mergeCell ref="I179:I181"/>
    <mergeCell ref="J179:J181"/>
    <mergeCell ref="K179:K181"/>
    <mergeCell ref="L179:L181"/>
    <mergeCell ref="H308:H309"/>
    <mergeCell ref="I308:I309"/>
    <mergeCell ref="P277:P278"/>
    <mergeCell ref="K197:K198"/>
    <mergeCell ref="L197:L198"/>
    <mergeCell ref="M197:M198"/>
    <mergeCell ref="N197:N198"/>
    <mergeCell ref="O197:O198"/>
    <mergeCell ref="P197:P198"/>
  </mergeCells>
  <conditionalFormatting sqref="Q345:Q352">
    <cfRule type="iconSet" priority="31">
      <iconSet iconSet="3Arrows">
        <cfvo type="percent" val="0"/>
        <cfvo type="percent" val="33"/>
        <cfvo type="percent" val="67"/>
      </iconSet>
    </cfRule>
  </conditionalFormatting>
  <conditionalFormatting sqref="Q354:Q355">
    <cfRule type="iconSet" priority="19">
      <iconSet iconSet="3Arrows">
        <cfvo type="percent" val="0"/>
        <cfvo type="percent" val="33"/>
        <cfvo type="percent" val="67"/>
      </iconSet>
    </cfRule>
  </conditionalFormatting>
  <conditionalFormatting sqref="Q356:Q371">
    <cfRule type="iconSet" priority="50">
      <iconSet iconSet="3Arrows">
        <cfvo type="percent" val="0"/>
        <cfvo type="percent" val="33"/>
        <cfvo type="percent" val="67"/>
      </iconSet>
    </cfRule>
  </conditionalFormatting>
  <conditionalFormatting sqref="Q393:Q398">
    <cfRule type="iconSet" priority="46">
      <iconSet iconSet="3Arrows">
        <cfvo type="percent" val="0"/>
        <cfvo type="percent" val="33"/>
        <cfvo type="percent" val="67"/>
      </iconSet>
    </cfRule>
  </conditionalFormatting>
  <conditionalFormatting sqref="Q399">
    <cfRule type="iconSet" priority="2">
      <iconSet iconSet="3Arrows">
        <cfvo type="percent" val="0"/>
        <cfvo type="percent" val="33"/>
        <cfvo type="percent" val="67"/>
      </iconSet>
    </cfRule>
  </conditionalFormatting>
  <conditionalFormatting sqref="Q400:Q401">
    <cfRule type="iconSet" priority="10">
      <iconSet iconSet="3Arrows">
        <cfvo type="percent" val="0"/>
        <cfvo type="percent" val="33"/>
        <cfvo type="percent" val="67"/>
      </iconSet>
    </cfRule>
  </conditionalFormatting>
  <conditionalFormatting sqref="Q403">
    <cfRule type="iconSet" priority="3">
      <iconSet iconSet="3Arrows">
        <cfvo type="percent" val="0"/>
        <cfvo type="percent" val="33"/>
        <cfvo type="percent" val="67"/>
      </iconSet>
    </cfRule>
  </conditionalFormatting>
  <conditionalFormatting sqref="Q412">
    <cfRule type="iconSet" priority="1">
      <iconSet iconSet="3Arrows">
        <cfvo type="percent" val="0"/>
        <cfvo type="percent" val="33"/>
        <cfvo type="percent" val="67"/>
      </iconSet>
    </cfRule>
  </conditionalFormatting>
  <conditionalFormatting sqref="Q413 Q415:R419 R414:S414">
    <cfRule type="iconSet" priority="24">
      <iconSet iconSet="3Arrows">
        <cfvo type="percent" val="0"/>
        <cfvo type="percent" val="33"/>
        <cfvo type="percent" val="67"/>
      </iconSet>
    </cfRule>
  </conditionalFormatting>
  <conditionalFormatting sqref="Q414">
    <cfRule type="iconSet" priority="7">
      <iconSet iconSet="3Arrows">
        <cfvo type="percent" val="0"/>
        <cfvo type="percent" val="33"/>
        <cfvo type="percent" val="67"/>
      </iconSet>
    </cfRule>
  </conditionalFormatting>
  <conditionalFormatting sqref="Q373:R380">
    <cfRule type="iconSet" priority="56">
      <iconSet iconSet="3Arrows">
        <cfvo type="percent" val="0"/>
        <cfvo type="percent" val="33"/>
        <cfvo type="percent" val="67"/>
      </iconSet>
    </cfRule>
  </conditionalFormatting>
  <conditionalFormatting sqref="R345:R346">
    <cfRule type="iconSet" priority="16">
      <iconSet iconSet="3Arrows">
        <cfvo type="percent" val="0"/>
        <cfvo type="percent" val="33"/>
        <cfvo type="percent" val="67"/>
      </iconSet>
    </cfRule>
  </conditionalFormatting>
  <conditionalFormatting sqref="R347:R352">
    <cfRule type="iconSet" priority="15">
      <iconSet iconSet="3Arrows">
        <cfvo type="percent" val="0"/>
        <cfvo type="percent" val="33"/>
        <cfvo type="percent" val="67"/>
      </iconSet>
    </cfRule>
  </conditionalFormatting>
  <conditionalFormatting sqref="R354:R355">
    <cfRule type="iconSet" priority="18">
      <iconSet iconSet="3Arrows">
        <cfvo type="percent" val="0"/>
        <cfvo type="percent" val="33"/>
        <cfvo type="percent" val="67"/>
      </iconSet>
    </cfRule>
  </conditionalFormatting>
  <conditionalFormatting sqref="R356:R371">
    <cfRule type="iconSet" priority="52">
      <iconSet iconSet="3Arrows">
        <cfvo type="percent" val="0"/>
        <cfvo type="percent" val="33"/>
        <cfvo type="percent" val="67"/>
      </iconSet>
    </cfRule>
  </conditionalFormatting>
  <conditionalFormatting sqref="R381:R391">
    <cfRule type="iconSet" priority="41">
      <iconSet iconSet="3Arrows">
        <cfvo type="percent" val="0"/>
        <cfvo type="percent" val="33"/>
        <cfvo type="percent" val="67"/>
      </iconSet>
    </cfRule>
  </conditionalFormatting>
  <conditionalFormatting sqref="R393:R394">
    <cfRule type="iconSet" priority="14">
      <iconSet iconSet="3Arrows">
        <cfvo type="percent" val="0"/>
        <cfvo type="percent" val="33"/>
        <cfvo type="percent" val="67"/>
      </iconSet>
    </cfRule>
  </conditionalFormatting>
  <conditionalFormatting sqref="R395:R398">
    <cfRule type="iconSet" priority="45">
      <iconSet iconSet="3Arrows">
        <cfvo type="percent" val="0"/>
        <cfvo type="percent" val="33"/>
        <cfvo type="percent" val="67"/>
      </iconSet>
    </cfRule>
  </conditionalFormatting>
  <conditionalFormatting sqref="R405:R407 Q404:R404 R403">
    <cfRule type="iconSet" priority="23">
      <iconSet iconSet="3Arrows">
        <cfvo type="percent" val="0"/>
        <cfvo type="percent" val="33"/>
        <cfvo type="percent" val="67"/>
      </iconSet>
    </cfRule>
  </conditionalFormatting>
  <conditionalFormatting sqref="R408">
    <cfRule type="iconSet" priority="5">
      <iconSet iconSet="3Arrows">
        <cfvo type="percent" val="0"/>
        <cfvo type="percent" val="33"/>
        <cfvo type="percent" val="67"/>
      </iconSet>
    </cfRule>
  </conditionalFormatting>
  <conditionalFormatting sqref="R410">
    <cfRule type="iconSet" priority="4">
      <iconSet iconSet="3Arrows">
        <cfvo type="percent" val="0"/>
        <cfvo type="percent" val="33"/>
        <cfvo type="percent" val="67"/>
      </iconSet>
    </cfRule>
  </conditionalFormatting>
  <conditionalFormatting sqref="R412">
    <cfRule type="iconSet" priority="6">
      <iconSet iconSet="3Arrows">
        <cfvo type="percent" val="0"/>
        <cfvo type="percent" val="33"/>
        <cfvo type="percent" val="67"/>
      </iconSet>
    </cfRule>
  </conditionalFormatting>
  <conditionalFormatting sqref="R413">
    <cfRule type="iconSet" priority="22">
      <iconSet iconSet="3Arrows">
        <cfvo type="percent" val="0"/>
        <cfvo type="percent" val="33"/>
        <cfvo type="percent" val="67"/>
      </iconSet>
    </cfRule>
  </conditionalFormatting>
  <pageMargins left="0.23622047244094491" right="0.27559055118110237" top="0.27559055118110237" bottom="0.15748031496062992" header="0.23622047244094491" footer="0.27559055118110237"/>
  <pageSetup paperSize="9" scale="13" orientation="landscape" r:id="rId1"/>
  <headerFooter alignWithMargins="0">
    <oddFooter>&amp;C&amp;"Times New Roman Cyr,курсив"Сторінка &amp;P з &amp;N</oddFooter>
  </headerFooter>
  <rowBreaks count="2" manualBreakCount="2">
    <brk id="183" max="15" man="1"/>
    <brk id="265"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
  <dimension ref="A1:R177"/>
  <sheetViews>
    <sheetView showGridLines="0" view="pageBreakPreview" topLeftCell="B1" zoomScale="85" zoomScaleNormal="85" zoomScaleSheetLayoutView="85" workbookViewId="0">
      <selection activeCell="M2" sqref="M2:Q2"/>
    </sheetView>
  </sheetViews>
  <sheetFormatPr defaultColWidth="7.85546875" defaultRowHeight="12.75" x14ac:dyDescent="0.2"/>
  <cols>
    <col min="1" max="1" width="0" style="170" hidden="1" customWidth="1"/>
    <col min="2" max="2" width="13" style="7" customWidth="1"/>
    <col min="3" max="3" width="13.5703125" style="7" customWidth="1"/>
    <col min="4" max="4" width="15.28515625" style="7" customWidth="1"/>
    <col min="5" max="5" width="38.85546875" style="7" customWidth="1"/>
    <col min="6" max="6" width="11.85546875" style="7" bestFit="1" customWidth="1"/>
    <col min="7" max="7" width="13.42578125" style="7" customWidth="1"/>
    <col min="8" max="8" width="13.28515625" style="7" customWidth="1"/>
    <col min="9" max="9" width="13.42578125" style="7" customWidth="1"/>
    <col min="10" max="10" width="12.140625" style="7" customWidth="1"/>
    <col min="11" max="11" width="18.140625" style="7" customWidth="1"/>
    <col min="12" max="12" width="13.5703125" style="7" customWidth="1"/>
    <col min="13" max="13" width="14.7109375" style="7" customWidth="1"/>
    <col min="14" max="14" width="11.42578125" style="7" customWidth="1"/>
    <col min="15" max="15" width="13.7109375" style="7" customWidth="1"/>
    <col min="16" max="16" width="13.42578125" style="7" customWidth="1"/>
    <col min="17" max="17" width="14.28515625" style="7" customWidth="1"/>
    <col min="18" max="18" width="10" style="7" bestFit="1" customWidth="1"/>
    <col min="19" max="16384" width="7.85546875" style="7"/>
  </cols>
  <sheetData>
    <row r="1" spans="1:18" x14ac:dyDescent="0.2">
      <c r="B1" s="504"/>
      <c r="C1" s="504"/>
      <c r="D1" s="504"/>
      <c r="E1" s="504"/>
      <c r="F1" s="504"/>
      <c r="G1" s="504"/>
      <c r="H1" s="504"/>
      <c r="I1" s="504"/>
      <c r="J1" s="504"/>
      <c r="K1" s="504"/>
      <c r="L1" s="504"/>
      <c r="M1" s="504"/>
      <c r="N1" s="504"/>
      <c r="O1" s="504"/>
      <c r="P1" s="504"/>
      <c r="Q1" s="504"/>
    </row>
    <row r="2" spans="1:18" ht="64.5" customHeight="1" x14ac:dyDescent="0.2">
      <c r="B2" s="340"/>
      <c r="C2" s="340"/>
      <c r="D2" s="340"/>
      <c r="E2" s="504"/>
      <c r="F2" s="504"/>
      <c r="G2" s="504"/>
      <c r="H2" s="504"/>
      <c r="I2" s="504"/>
      <c r="J2" s="504"/>
      <c r="K2" s="504"/>
      <c r="L2" s="504"/>
      <c r="M2" s="832" t="s">
        <v>1632</v>
      </c>
      <c r="N2" s="832"/>
      <c r="O2" s="832"/>
      <c r="P2" s="832"/>
      <c r="Q2" s="832"/>
    </row>
    <row r="3" spans="1:18" ht="18.75" x14ac:dyDescent="0.2">
      <c r="B3" s="837"/>
      <c r="C3" s="837"/>
      <c r="D3" s="340"/>
      <c r="E3" s="833" t="s">
        <v>571</v>
      </c>
      <c r="F3" s="833"/>
      <c r="G3" s="833"/>
      <c r="H3" s="833"/>
      <c r="I3" s="833"/>
      <c r="J3" s="833"/>
      <c r="K3" s="833"/>
      <c r="L3" s="833"/>
      <c r="M3" s="833"/>
      <c r="N3" s="505"/>
      <c r="O3" s="505"/>
      <c r="P3" s="505"/>
      <c r="Q3" s="505"/>
    </row>
    <row r="4" spans="1:18" ht="21" customHeight="1" x14ac:dyDescent="0.2">
      <c r="B4" s="506"/>
      <c r="C4" s="468"/>
      <c r="D4" s="507"/>
      <c r="E4" s="833" t="s">
        <v>1518</v>
      </c>
      <c r="F4" s="846"/>
      <c r="G4" s="846"/>
      <c r="H4" s="846"/>
      <c r="I4" s="846"/>
      <c r="J4" s="846"/>
      <c r="K4" s="846"/>
      <c r="L4" s="846"/>
      <c r="M4" s="846"/>
      <c r="N4" s="340"/>
      <c r="O4" s="340"/>
      <c r="P4" s="340"/>
      <c r="Q4" s="508"/>
    </row>
    <row r="5" spans="1:18" ht="12" customHeight="1" x14ac:dyDescent="0.2">
      <c r="B5" s="838">
        <v>2256400000</v>
      </c>
      <c r="C5" s="839"/>
      <c r="D5" s="507"/>
      <c r="E5" s="334"/>
      <c r="F5" s="334"/>
      <c r="G5" s="334"/>
      <c r="H5" s="334"/>
      <c r="I5" s="334"/>
      <c r="J5" s="334"/>
      <c r="K5" s="334"/>
      <c r="L5" s="334"/>
      <c r="M5" s="334"/>
      <c r="N5" s="340"/>
      <c r="O5" s="340"/>
      <c r="P5" s="340"/>
      <c r="Q5" s="508"/>
    </row>
    <row r="6" spans="1:18" ht="12" customHeight="1" x14ac:dyDescent="0.2">
      <c r="B6" s="840" t="s">
        <v>490</v>
      </c>
      <c r="C6" s="841"/>
      <c r="D6" s="507"/>
      <c r="E6" s="334"/>
      <c r="F6" s="334"/>
      <c r="G6" s="334"/>
      <c r="H6" s="334"/>
      <c r="I6" s="334"/>
      <c r="J6" s="334"/>
      <c r="K6" s="334"/>
      <c r="L6" s="334"/>
      <c r="M6" s="334"/>
      <c r="N6" s="340"/>
      <c r="O6" s="340"/>
      <c r="P6" s="340"/>
      <c r="Q6" s="508"/>
    </row>
    <row r="7" spans="1:18" ht="21" customHeight="1" thickBot="1" x14ac:dyDescent="0.35">
      <c r="B7" s="509"/>
      <c r="C7" s="509"/>
      <c r="D7" s="507"/>
      <c r="E7" s="334"/>
      <c r="F7" s="334"/>
      <c r="G7" s="334"/>
      <c r="H7" s="334"/>
      <c r="I7" s="334"/>
      <c r="J7" s="334"/>
      <c r="K7" s="334"/>
      <c r="L7" s="334"/>
      <c r="M7" s="334"/>
      <c r="N7" s="340"/>
      <c r="O7" s="340"/>
      <c r="P7" s="340"/>
      <c r="Q7" s="510" t="s">
        <v>404</v>
      </c>
    </row>
    <row r="8" spans="1:18" ht="17.45" customHeight="1" thickTop="1" thickBot="1" x14ac:dyDescent="0.25">
      <c r="A8" s="171"/>
      <c r="B8" s="834" t="s">
        <v>491</v>
      </c>
      <c r="C8" s="844" t="s">
        <v>492</v>
      </c>
      <c r="D8" s="844" t="s">
        <v>390</v>
      </c>
      <c r="E8" s="844" t="s">
        <v>573</v>
      </c>
      <c r="F8" s="834" t="s">
        <v>124</v>
      </c>
      <c r="G8" s="834"/>
      <c r="H8" s="834"/>
      <c r="I8" s="834"/>
      <c r="J8" s="834" t="s">
        <v>125</v>
      </c>
      <c r="K8" s="834"/>
      <c r="L8" s="834"/>
      <c r="M8" s="834"/>
      <c r="N8" s="834" t="s">
        <v>389</v>
      </c>
      <c r="O8" s="834"/>
      <c r="P8" s="834"/>
      <c r="Q8" s="834"/>
    </row>
    <row r="9" spans="1:18" ht="28.5" customHeight="1" thickTop="1" thickBot="1" x14ac:dyDescent="0.25">
      <c r="A9" s="172"/>
      <c r="B9" s="834"/>
      <c r="C9" s="818"/>
      <c r="D9" s="818"/>
      <c r="E9" s="845"/>
      <c r="F9" s="829" t="s">
        <v>386</v>
      </c>
      <c r="G9" s="829" t="s">
        <v>387</v>
      </c>
      <c r="H9" s="830"/>
      <c r="I9" s="829" t="s">
        <v>388</v>
      </c>
      <c r="J9" s="829" t="s">
        <v>386</v>
      </c>
      <c r="K9" s="829" t="s">
        <v>387</v>
      </c>
      <c r="L9" s="830"/>
      <c r="M9" s="829" t="s">
        <v>388</v>
      </c>
      <c r="N9" s="829" t="s">
        <v>386</v>
      </c>
      <c r="O9" s="829" t="s">
        <v>387</v>
      </c>
      <c r="P9" s="830"/>
      <c r="Q9" s="829" t="s">
        <v>388</v>
      </c>
    </row>
    <row r="10" spans="1:18" ht="65.25" customHeight="1" thickTop="1" thickBot="1" x14ac:dyDescent="0.25">
      <c r="A10" s="7"/>
      <c r="B10" s="834"/>
      <c r="C10" s="818"/>
      <c r="D10" s="818"/>
      <c r="E10" s="818"/>
      <c r="F10" s="829"/>
      <c r="G10" s="511" t="s">
        <v>384</v>
      </c>
      <c r="H10" s="511" t="s">
        <v>385</v>
      </c>
      <c r="I10" s="829"/>
      <c r="J10" s="829"/>
      <c r="K10" s="511" t="s">
        <v>384</v>
      </c>
      <c r="L10" s="511" t="s">
        <v>385</v>
      </c>
      <c r="M10" s="829"/>
      <c r="N10" s="829"/>
      <c r="O10" s="511" t="s">
        <v>384</v>
      </c>
      <c r="P10" s="511" t="s">
        <v>385</v>
      </c>
      <c r="Q10" s="829"/>
    </row>
    <row r="11" spans="1:18" ht="15" customHeight="1" thickTop="1" thickBot="1" x14ac:dyDescent="0.25">
      <c r="A11" s="7"/>
      <c r="B11" s="512">
        <v>1</v>
      </c>
      <c r="C11" s="513">
        <v>2</v>
      </c>
      <c r="D11" s="512">
        <v>3</v>
      </c>
      <c r="E11" s="513">
        <v>4</v>
      </c>
      <c r="F11" s="512">
        <v>5</v>
      </c>
      <c r="G11" s="513">
        <v>6</v>
      </c>
      <c r="H11" s="512">
        <v>7</v>
      </c>
      <c r="I11" s="513">
        <v>8</v>
      </c>
      <c r="J11" s="512">
        <v>9</v>
      </c>
      <c r="K11" s="513">
        <v>10</v>
      </c>
      <c r="L11" s="512">
        <v>11</v>
      </c>
      <c r="M11" s="513">
        <v>12</v>
      </c>
      <c r="N11" s="512">
        <v>13</v>
      </c>
      <c r="O11" s="513">
        <v>14</v>
      </c>
      <c r="P11" s="512">
        <v>15</v>
      </c>
      <c r="Q11" s="513">
        <v>16</v>
      </c>
    </row>
    <row r="12" spans="1:18" s="177" customFormat="1" ht="46.5" hidden="1" thickTop="1" thickBot="1" x14ac:dyDescent="0.25">
      <c r="A12" s="173"/>
      <c r="B12" s="411" t="s">
        <v>22</v>
      </c>
      <c r="C12" s="411"/>
      <c r="D12" s="411"/>
      <c r="E12" s="412" t="s">
        <v>23</v>
      </c>
      <c r="F12" s="413">
        <f>F13</f>
        <v>0</v>
      </c>
      <c r="G12" s="413">
        <f t="shared" ref="G12:Q12" si="0">G13</f>
        <v>0</v>
      </c>
      <c r="H12" s="413">
        <f t="shared" si="0"/>
        <v>0</v>
      </c>
      <c r="I12" s="414">
        <f>I13</f>
        <v>0</v>
      </c>
      <c r="J12" s="413">
        <f t="shared" si="0"/>
        <v>0</v>
      </c>
      <c r="K12" s="413">
        <f t="shared" si="0"/>
        <v>0</v>
      </c>
      <c r="L12" s="413">
        <f t="shared" si="0"/>
        <v>0</v>
      </c>
      <c r="M12" s="414">
        <f>M13</f>
        <v>0</v>
      </c>
      <c r="N12" s="413">
        <f t="shared" si="0"/>
        <v>0</v>
      </c>
      <c r="O12" s="413">
        <f t="shared" si="0"/>
        <v>0</v>
      </c>
      <c r="P12" s="413">
        <f t="shared" si="0"/>
        <v>0</v>
      </c>
      <c r="Q12" s="414">
        <f t="shared" si="0"/>
        <v>0</v>
      </c>
      <c r="R12" s="8"/>
    </row>
    <row r="13" spans="1:18" ht="44.25" hidden="1" thickTop="1" thickBot="1" x14ac:dyDescent="0.25">
      <c r="B13" s="415" t="s">
        <v>21</v>
      </c>
      <c r="C13" s="415"/>
      <c r="D13" s="415"/>
      <c r="E13" s="416" t="s">
        <v>35</v>
      </c>
      <c r="F13" s="417">
        <f t="shared" ref="F13:Q13" si="1">F18+F17+F19</f>
        <v>0</v>
      </c>
      <c r="G13" s="417">
        <f t="shared" si="1"/>
        <v>0</v>
      </c>
      <c r="H13" s="417">
        <f t="shared" si="1"/>
        <v>0</v>
      </c>
      <c r="I13" s="417">
        <f t="shared" si="1"/>
        <v>0</v>
      </c>
      <c r="J13" s="417">
        <f t="shared" si="1"/>
        <v>0</v>
      </c>
      <c r="K13" s="417">
        <f t="shared" si="1"/>
        <v>0</v>
      </c>
      <c r="L13" s="417">
        <f t="shared" si="1"/>
        <v>0</v>
      </c>
      <c r="M13" s="417">
        <f t="shared" si="1"/>
        <v>0</v>
      </c>
      <c r="N13" s="418">
        <f t="shared" si="1"/>
        <v>0</v>
      </c>
      <c r="O13" s="418">
        <f t="shared" si="1"/>
        <v>0</v>
      </c>
      <c r="P13" s="418">
        <f t="shared" si="1"/>
        <v>0</v>
      </c>
      <c r="Q13" s="417">
        <f t="shared" si="1"/>
        <v>0</v>
      </c>
    </row>
    <row r="14" spans="1:18" ht="15.75" hidden="1" thickTop="1" thickBot="1" x14ac:dyDescent="0.25">
      <c r="B14" s="419" t="s">
        <v>850</v>
      </c>
      <c r="C14" s="419" t="s">
        <v>696</v>
      </c>
      <c r="D14" s="419"/>
      <c r="E14" s="420" t="s">
        <v>851</v>
      </c>
      <c r="F14" s="421">
        <f>F15</f>
        <v>0</v>
      </c>
      <c r="G14" s="421">
        <f t="shared" ref="G14:Q15" si="2">G15</f>
        <v>0</v>
      </c>
      <c r="H14" s="421">
        <f t="shared" si="2"/>
        <v>0</v>
      </c>
      <c r="I14" s="421">
        <f t="shared" si="2"/>
        <v>0</v>
      </c>
      <c r="J14" s="421">
        <f t="shared" si="2"/>
        <v>0</v>
      </c>
      <c r="K14" s="421">
        <f t="shared" si="2"/>
        <v>0</v>
      </c>
      <c r="L14" s="421">
        <f t="shared" si="2"/>
        <v>0</v>
      </c>
      <c r="M14" s="421">
        <f t="shared" si="2"/>
        <v>0</v>
      </c>
      <c r="N14" s="421">
        <f t="shared" si="2"/>
        <v>0</v>
      </c>
      <c r="O14" s="421">
        <f t="shared" si="2"/>
        <v>0</v>
      </c>
      <c r="P14" s="421">
        <f t="shared" si="2"/>
        <v>0</v>
      </c>
      <c r="Q14" s="421">
        <f t="shared" si="2"/>
        <v>0</v>
      </c>
    </row>
    <row r="15" spans="1:18" ht="16.5" hidden="1" thickTop="1" thickBot="1" x14ac:dyDescent="0.25">
      <c r="B15" s="422" t="s">
        <v>852</v>
      </c>
      <c r="C15" s="422" t="s">
        <v>853</v>
      </c>
      <c r="D15" s="422"/>
      <c r="E15" s="423" t="s">
        <v>854</v>
      </c>
      <c r="F15" s="424">
        <f>F16</f>
        <v>0</v>
      </c>
      <c r="G15" s="424">
        <f t="shared" si="2"/>
        <v>0</v>
      </c>
      <c r="H15" s="424">
        <f t="shared" si="2"/>
        <v>0</v>
      </c>
      <c r="I15" s="424">
        <f t="shared" si="2"/>
        <v>0</v>
      </c>
      <c r="J15" s="424">
        <f t="shared" si="2"/>
        <v>0</v>
      </c>
      <c r="K15" s="424">
        <f t="shared" si="2"/>
        <v>0</v>
      </c>
      <c r="L15" s="424">
        <f t="shared" si="2"/>
        <v>0</v>
      </c>
      <c r="M15" s="424">
        <f t="shared" si="2"/>
        <v>0</v>
      </c>
      <c r="N15" s="424">
        <f t="shared" si="2"/>
        <v>0</v>
      </c>
      <c r="O15" s="424">
        <f t="shared" si="2"/>
        <v>0</v>
      </c>
      <c r="P15" s="424">
        <f t="shared" si="2"/>
        <v>0</v>
      </c>
      <c r="Q15" s="424">
        <f t="shared" si="2"/>
        <v>0</v>
      </c>
    </row>
    <row r="16" spans="1:18" ht="76.5" hidden="1" thickTop="1" thickBot="1" x14ac:dyDescent="0.25">
      <c r="B16" s="425" t="s">
        <v>855</v>
      </c>
      <c r="C16" s="426" t="s">
        <v>856</v>
      </c>
      <c r="D16" s="426"/>
      <c r="E16" s="427" t="s">
        <v>877</v>
      </c>
      <c r="F16" s="428">
        <f>SUM(F17:F18)</f>
        <v>0</v>
      </c>
      <c r="G16" s="428">
        <f t="shared" ref="G16:Q16" si="3">SUM(G17:G18)</f>
        <v>0</v>
      </c>
      <c r="H16" s="428">
        <f t="shared" si="3"/>
        <v>0</v>
      </c>
      <c r="I16" s="428">
        <f t="shared" si="3"/>
        <v>0</v>
      </c>
      <c r="J16" s="428">
        <f t="shared" si="3"/>
        <v>0</v>
      </c>
      <c r="K16" s="428">
        <f t="shared" si="3"/>
        <v>0</v>
      </c>
      <c r="L16" s="428">
        <f t="shared" si="3"/>
        <v>0</v>
      </c>
      <c r="M16" s="428">
        <f t="shared" si="3"/>
        <v>0</v>
      </c>
      <c r="N16" s="428">
        <f t="shared" si="3"/>
        <v>0</v>
      </c>
      <c r="O16" s="428">
        <f t="shared" si="3"/>
        <v>0</v>
      </c>
      <c r="P16" s="428">
        <f t="shared" si="3"/>
        <v>0</v>
      </c>
      <c r="Q16" s="428">
        <f t="shared" si="3"/>
        <v>0</v>
      </c>
    </row>
    <row r="17" spans="2:18" ht="76.5" hidden="1" thickTop="1" thickBot="1" x14ac:dyDescent="0.25">
      <c r="B17" s="425" t="s">
        <v>457</v>
      </c>
      <c r="C17" s="425" t="s">
        <v>459</v>
      </c>
      <c r="D17" s="425" t="s">
        <v>50</v>
      </c>
      <c r="E17" s="429" t="s">
        <v>879</v>
      </c>
      <c r="F17" s="430">
        <v>0</v>
      </c>
      <c r="G17" s="430">
        <v>0</v>
      </c>
      <c r="H17" s="430">
        <v>0</v>
      </c>
      <c r="I17" s="430">
        <f>F17+G17</f>
        <v>0</v>
      </c>
      <c r="J17" s="430">
        <v>0</v>
      </c>
      <c r="K17" s="430">
        <v>0</v>
      </c>
      <c r="L17" s="430"/>
      <c r="M17" s="430">
        <f>J17+K17</f>
        <v>0</v>
      </c>
      <c r="N17" s="430">
        <f>F17+J17</f>
        <v>0</v>
      </c>
      <c r="O17" s="430">
        <f>G17+K17</f>
        <v>0</v>
      </c>
      <c r="P17" s="430"/>
      <c r="Q17" s="430">
        <f>I17+M17</f>
        <v>0</v>
      </c>
    </row>
    <row r="18" spans="2:18" ht="76.5" hidden="1" thickTop="1" thickBot="1" x14ac:dyDescent="0.25">
      <c r="B18" s="425" t="s">
        <v>458</v>
      </c>
      <c r="C18" s="425" t="s">
        <v>460</v>
      </c>
      <c r="D18" s="425" t="s">
        <v>50</v>
      </c>
      <c r="E18" s="429" t="s">
        <v>878</v>
      </c>
      <c r="F18" s="430"/>
      <c r="G18" s="430">
        <f>H18+I18</f>
        <v>0</v>
      </c>
      <c r="H18" s="430"/>
      <c r="I18" s="430"/>
      <c r="J18" s="430"/>
      <c r="K18" s="430">
        <v>0</v>
      </c>
      <c r="L18" s="430"/>
      <c r="M18" s="430">
        <f>J18+K18</f>
        <v>0</v>
      </c>
      <c r="N18" s="430">
        <f>F18+J18</f>
        <v>0</v>
      </c>
      <c r="O18" s="430">
        <f>G18+K18</f>
        <v>0</v>
      </c>
      <c r="P18" s="430"/>
      <c r="Q18" s="430">
        <f>I18+M18</f>
        <v>0</v>
      </c>
    </row>
    <row r="19" spans="2:18" ht="61.5" hidden="1" thickTop="1" thickBot="1" x14ac:dyDescent="0.25">
      <c r="B19" s="425" t="s">
        <v>503</v>
      </c>
      <c r="C19" s="425" t="s">
        <v>504</v>
      </c>
      <c r="D19" s="425" t="s">
        <v>50</v>
      </c>
      <c r="E19" s="429" t="s">
        <v>502</v>
      </c>
      <c r="F19" s="430"/>
      <c r="G19" s="430"/>
      <c r="H19" s="430"/>
      <c r="I19" s="430"/>
      <c r="J19" s="430"/>
      <c r="K19" s="430"/>
      <c r="L19" s="430"/>
      <c r="M19" s="430">
        <f>J19+K19</f>
        <v>0</v>
      </c>
      <c r="N19" s="430"/>
      <c r="O19" s="430">
        <f>G19+K19</f>
        <v>0</v>
      </c>
      <c r="P19" s="430"/>
      <c r="Q19" s="430">
        <f>I19+M19</f>
        <v>0</v>
      </c>
    </row>
    <row r="20" spans="2:18" ht="50.1" customHeight="1" thickTop="1" thickBot="1" x14ac:dyDescent="0.25">
      <c r="B20" s="684" t="s">
        <v>168</v>
      </c>
      <c r="C20" s="684"/>
      <c r="D20" s="684"/>
      <c r="E20" s="685" t="s">
        <v>27</v>
      </c>
      <c r="F20" s="686">
        <f>F21</f>
        <v>0</v>
      </c>
      <c r="G20" s="686">
        <f t="shared" ref="G20:Q21" si="4">G21</f>
        <v>17857810</v>
      </c>
      <c r="H20" s="686">
        <f t="shared" si="4"/>
        <v>17857810</v>
      </c>
      <c r="I20" s="687">
        <f>I21</f>
        <v>17857810</v>
      </c>
      <c r="J20" s="686">
        <f t="shared" si="4"/>
        <v>0</v>
      </c>
      <c r="K20" s="686">
        <f t="shared" si="4"/>
        <v>-17857810</v>
      </c>
      <c r="L20" s="686">
        <f t="shared" si="4"/>
        <v>-17857810</v>
      </c>
      <c r="M20" s="687">
        <f>M21</f>
        <v>-17857810</v>
      </c>
      <c r="N20" s="686">
        <f t="shared" si="4"/>
        <v>0</v>
      </c>
      <c r="O20" s="686">
        <f t="shared" si="4"/>
        <v>0</v>
      </c>
      <c r="P20" s="686">
        <f t="shared" si="4"/>
        <v>0</v>
      </c>
      <c r="Q20" s="687">
        <f t="shared" si="4"/>
        <v>0</v>
      </c>
    </row>
    <row r="21" spans="2:18" ht="50.1" customHeight="1" thickTop="1" thickBot="1" x14ac:dyDescent="0.25">
      <c r="B21" s="688" t="s">
        <v>169</v>
      </c>
      <c r="C21" s="688"/>
      <c r="D21" s="688"/>
      <c r="E21" s="689" t="s">
        <v>40</v>
      </c>
      <c r="F21" s="690">
        <f>F22</f>
        <v>0</v>
      </c>
      <c r="G21" s="690">
        <f t="shared" si="4"/>
        <v>17857810</v>
      </c>
      <c r="H21" s="690">
        <f t="shared" si="4"/>
        <v>17857810</v>
      </c>
      <c r="I21" s="690">
        <f t="shared" si="4"/>
        <v>17857810</v>
      </c>
      <c r="J21" s="690">
        <f>J22</f>
        <v>0</v>
      </c>
      <c r="K21" s="690">
        <f>K22</f>
        <v>-17857810</v>
      </c>
      <c r="L21" s="690">
        <f t="shared" si="4"/>
        <v>-17857810</v>
      </c>
      <c r="M21" s="690">
        <f t="shared" si="4"/>
        <v>-17857810</v>
      </c>
      <c r="N21" s="690">
        <f t="shared" si="4"/>
        <v>0</v>
      </c>
      <c r="O21" s="690">
        <f t="shared" si="4"/>
        <v>0</v>
      </c>
      <c r="P21" s="690">
        <f t="shared" si="4"/>
        <v>0</v>
      </c>
      <c r="Q21" s="690">
        <f t="shared" si="4"/>
        <v>0</v>
      </c>
    </row>
    <row r="22" spans="2:18" ht="15.75" thickTop="1" thickBot="1" x14ac:dyDescent="0.25">
      <c r="B22" s="514" t="s">
        <v>845</v>
      </c>
      <c r="C22" s="514" t="s">
        <v>696</v>
      </c>
      <c r="D22" s="514"/>
      <c r="E22" s="515" t="s">
        <v>851</v>
      </c>
      <c r="F22" s="516">
        <f>F23</f>
        <v>0</v>
      </c>
      <c r="G22" s="516">
        <f t="shared" ref="G22:Q23" si="5">G23</f>
        <v>17857810</v>
      </c>
      <c r="H22" s="516">
        <f t="shared" si="5"/>
        <v>17857810</v>
      </c>
      <c r="I22" s="516">
        <f t="shared" si="5"/>
        <v>17857810</v>
      </c>
      <c r="J22" s="516">
        <f t="shared" si="5"/>
        <v>0</v>
      </c>
      <c r="K22" s="516">
        <f t="shared" si="5"/>
        <v>-17857810</v>
      </c>
      <c r="L22" s="516">
        <f t="shared" si="5"/>
        <v>-17857810</v>
      </c>
      <c r="M22" s="516">
        <f t="shared" si="5"/>
        <v>-17857810</v>
      </c>
      <c r="N22" s="516">
        <f t="shared" si="5"/>
        <v>0</v>
      </c>
      <c r="O22" s="516">
        <f t="shared" si="5"/>
        <v>0</v>
      </c>
      <c r="P22" s="516">
        <f t="shared" si="5"/>
        <v>0</v>
      </c>
      <c r="Q22" s="516">
        <f t="shared" si="5"/>
        <v>0</v>
      </c>
    </row>
    <row r="23" spans="2:18" ht="16.5" thickTop="1" thickBot="1" x14ac:dyDescent="0.25">
      <c r="B23" s="517" t="s">
        <v>1368</v>
      </c>
      <c r="C23" s="517" t="s">
        <v>853</v>
      </c>
      <c r="D23" s="517"/>
      <c r="E23" s="518" t="s">
        <v>854</v>
      </c>
      <c r="F23" s="519">
        <f>F24</f>
        <v>0</v>
      </c>
      <c r="G23" s="519">
        <f>G24</f>
        <v>17857810</v>
      </c>
      <c r="H23" s="519">
        <f t="shared" si="5"/>
        <v>17857810</v>
      </c>
      <c r="I23" s="519">
        <f t="shared" si="5"/>
        <v>17857810</v>
      </c>
      <c r="J23" s="519">
        <f t="shared" si="5"/>
        <v>0</v>
      </c>
      <c r="K23" s="519">
        <f t="shared" si="5"/>
        <v>-17857810</v>
      </c>
      <c r="L23" s="519">
        <f t="shared" si="5"/>
        <v>-17857810</v>
      </c>
      <c r="M23" s="519">
        <f t="shared" si="5"/>
        <v>-17857810</v>
      </c>
      <c r="N23" s="519">
        <f t="shared" si="5"/>
        <v>0</v>
      </c>
      <c r="O23" s="519">
        <f t="shared" si="5"/>
        <v>0</v>
      </c>
      <c r="P23" s="519">
        <f t="shared" si="5"/>
        <v>0</v>
      </c>
      <c r="Q23" s="519">
        <f t="shared" si="5"/>
        <v>0</v>
      </c>
    </row>
    <row r="24" spans="2:18" ht="46.5" thickTop="1" thickBot="1" x14ac:dyDescent="0.25">
      <c r="B24" s="520" t="s">
        <v>1369</v>
      </c>
      <c r="C24" s="521" t="s">
        <v>1556</v>
      </c>
      <c r="D24" s="521"/>
      <c r="E24" s="522" t="s">
        <v>1154</v>
      </c>
      <c r="F24" s="523">
        <f t="shared" ref="F24:L24" si="6">F25+F27</f>
        <v>0</v>
      </c>
      <c r="G24" s="523">
        <f t="shared" si="6"/>
        <v>17857810</v>
      </c>
      <c r="H24" s="523">
        <f t="shared" si="6"/>
        <v>17857810</v>
      </c>
      <c r="I24" s="523">
        <f t="shared" si="6"/>
        <v>17857810</v>
      </c>
      <c r="J24" s="523">
        <f t="shared" si="6"/>
        <v>0</v>
      </c>
      <c r="K24" s="523">
        <f t="shared" si="6"/>
        <v>-17857810</v>
      </c>
      <c r="L24" s="523">
        <f t="shared" si="6"/>
        <v>-17857810</v>
      </c>
      <c r="M24" s="523">
        <f t="shared" ref="M24:M26" si="7">J24+K24</f>
        <v>-17857810</v>
      </c>
      <c r="N24" s="523">
        <f t="shared" ref="N24:N26" si="8">F24+J24</f>
        <v>0</v>
      </c>
      <c r="O24" s="523">
        <f t="shared" ref="O24:O26" si="9">G24+K24</f>
        <v>0</v>
      </c>
      <c r="P24" s="523">
        <f>P25+P27</f>
        <v>0</v>
      </c>
      <c r="Q24" s="523">
        <f>Q25+Q27</f>
        <v>0</v>
      </c>
    </row>
    <row r="25" spans="2:18" ht="61.5" thickTop="1" thickBot="1" x14ac:dyDescent="0.25">
      <c r="B25" s="520" t="s">
        <v>1370</v>
      </c>
      <c r="C25" s="520" t="s">
        <v>1371</v>
      </c>
      <c r="D25" s="520" t="s">
        <v>170</v>
      </c>
      <c r="E25" s="336" t="s">
        <v>1155</v>
      </c>
      <c r="F25" s="524">
        <f>F26</f>
        <v>0</v>
      </c>
      <c r="G25" s="524">
        <f>G26</f>
        <v>17857810</v>
      </c>
      <c r="H25" s="524">
        <f t="shared" ref="H25:P25" si="10">H26</f>
        <v>17857810</v>
      </c>
      <c r="I25" s="524">
        <f>I26</f>
        <v>17857810</v>
      </c>
      <c r="J25" s="524">
        <f t="shared" si="10"/>
        <v>0</v>
      </c>
      <c r="K25" s="524">
        <f t="shared" si="10"/>
        <v>0</v>
      </c>
      <c r="L25" s="524">
        <f t="shared" si="10"/>
        <v>0</v>
      </c>
      <c r="M25" s="524">
        <f t="shared" si="7"/>
        <v>0</v>
      </c>
      <c r="N25" s="524">
        <f t="shared" si="8"/>
        <v>0</v>
      </c>
      <c r="O25" s="524">
        <f t="shared" si="9"/>
        <v>17857810</v>
      </c>
      <c r="P25" s="524">
        <f t="shared" si="10"/>
        <v>17857810</v>
      </c>
      <c r="Q25" s="524">
        <f t="shared" ref="Q25:Q26" si="11">I25+M25</f>
        <v>17857810</v>
      </c>
    </row>
    <row r="26" spans="2:18" ht="31.5" thickTop="1" thickBot="1" x14ac:dyDescent="0.25">
      <c r="B26" s="520" t="s">
        <v>1375</v>
      </c>
      <c r="C26" s="520"/>
      <c r="D26" s="520"/>
      <c r="E26" s="336" t="s">
        <v>1376</v>
      </c>
      <c r="F26" s="524">
        <v>0</v>
      </c>
      <c r="G26" s="524">
        <f>(7660012)+10197798</f>
        <v>17857810</v>
      </c>
      <c r="H26" s="524">
        <f>(7660012)+10197798</f>
        <v>17857810</v>
      </c>
      <c r="I26" s="524">
        <f>F26+G26</f>
        <v>17857810</v>
      </c>
      <c r="J26" s="524">
        <v>0</v>
      </c>
      <c r="K26" s="524">
        <v>0</v>
      </c>
      <c r="L26" s="524">
        <v>0</v>
      </c>
      <c r="M26" s="524">
        <f t="shared" si="7"/>
        <v>0</v>
      </c>
      <c r="N26" s="524">
        <f t="shared" si="8"/>
        <v>0</v>
      </c>
      <c r="O26" s="524">
        <f t="shared" si="9"/>
        <v>17857810</v>
      </c>
      <c r="P26" s="524">
        <f>H26+L26</f>
        <v>17857810</v>
      </c>
      <c r="Q26" s="524">
        <f t="shared" si="11"/>
        <v>17857810</v>
      </c>
    </row>
    <row r="27" spans="2:18" ht="61.5" thickTop="1" thickBot="1" x14ac:dyDescent="0.25">
      <c r="B27" s="520" t="s">
        <v>1372</v>
      </c>
      <c r="C27" s="520" t="s">
        <v>1373</v>
      </c>
      <c r="D27" s="520" t="s">
        <v>170</v>
      </c>
      <c r="E27" s="336" t="s">
        <v>1374</v>
      </c>
      <c r="F27" s="524">
        <f>F28</f>
        <v>0</v>
      </c>
      <c r="G27" s="524">
        <f t="shared" ref="G27:Q27" si="12">G28</f>
        <v>0</v>
      </c>
      <c r="H27" s="524">
        <f t="shared" si="12"/>
        <v>0</v>
      </c>
      <c r="I27" s="524">
        <f t="shared" si="12"/>
        <v>0</v>
      </c>
      <c r="J27" s="524">
        <f t="shared" si="12"/>
        <v>0</v>
      </c>
      <c r="K27" s="524">
        <f t="shared" si="12"/>
        <v>-17857810</v>
      </c>
      <c r="L27" s="524">
        <f t="shared" si="12"/>
        <v>-17857810</v>
      </c>
      <c r="M27" s="524">
        <f t="shared" si="12"/>
        <v>-17857810</v>
      </c>
      <c r="N27" s="524">
        <f t="shared" si="12"/>
        <v>0</v>
      </c>
      <c r="O27" s="524">
        <f t="shared" si="12"/>
        <v>-17857810</v>
      </c>
      <c r="P27" s="524">
        <f t="shared" si="12"/>
        <v>-17857810</v>
      </c>
      <c r="Q27" s="524">
        <f t="shared" si="12"/>
        <v>-17857810</v>
      </c>
    </row>
    <row r="28" spans="2:18" ht="31.5" thickTop="1" thickBot="1" x14ac:dyDescent="0.25">
      <c r="B28" s="520" t="s">
        <v>1587</v>
      </c>
      <c r="C28" s="520"/>
      <c r="D28" s="520"/>
      <c r="E28" s="336" t="s">
        <v>1588</v>
      </c>
      <c r="F28" s="524">
        <v>0</v>
      </c>
      <c r="G28" s="524">
        <v>0</v>
      </c>
      <c r="H28" s="524">
        <v>0</v>
      </c>
      <c r="I28" s="524">
        <v>0</v>
      </c>
      <c r="J28" s="524">
        <v>0</v>
      </c>
      <c r="K28" s="524">
        <f>(0)-17857810</f>
        <v>-17857810</v>
      </c>
      <c r="L28" s="524">
        <f>(0)-17857810</f>
        <v>-17857810</v>
      </c>
      <c r="M28" s="524">
        <f t="shared" ref="M28" si="13">J28+K28</f>
        <v>-17857810</v>
      </c>
      <c r="N28" s="524">
        <f t="shared" ref="N28" si="14">F28+J28</f>
        <v>0</v>
      </c>
      <c r="O28" s="524">
        <f t="shared" ref="O28" si="15">G28+K28</f>
        <v>-17857810</v>
      </c>
      <c r="P28" s="524">
        <f>H28+L28</f>
        <v>-17857810</v>
      </c>
      <c r="Q28" s="524">
        <f t="shared" ref="Q28" si="16">I28+M28</f>
        <v>-17857810</v>
      </c>
    </row>
    <row r="29" spans="2:18" ht="27.75" customHeight="1" thickTop="1" thickBot="1" x14ac:dyDescent="0.25">
      <c r="B29" s="691" t="s">
        <v>381</v>
      </c>
      <c r="C29" s="691" t="s">
        <v>381</v>
      </c>
      <c r="D29" s="691" t="s">
        <v>381</v>
      </c>
      <c r="E29" s="691" t="s">
        <v>391</v>
      </c>
      <c r="F29" s="692">
        <f t="shared" ref="F29:Q29" si="17">F12+F20</f>
        <v>0</v>
      </c>
      <c r="G29" s="692">
        <f t="shared" si="17"/>
        <v>17857810</v>
      </c>
      <c r="H29" s="692">
        <f t="shared" si="17"/>
        <v>17857810</v>
      </c>
      <c r="I29" s="692">
        <f t="shared" si="17"/>
        <v>17857810</v>
      </c>
      <c r="J29" s="692">
        <f t="shared" si="17"/>
        <v>0</v>
      </c>
      <c r="K29" s="692">
        <f t="shared" si="17"/>
        <v>-17857810</v>
      </c>
      <c r="L29" s="692">
        <f t="shared" si="17"/>
        <v>-17857810</v>
      </c>
      <c r="M29" s="692">
        <f t="shared" si="17"/>
        <v>-17857810</v>
      </c>
      <c r="N29" s="692">
        <f>N12+N20</f>
        <v>0</v>
      </c>
      <c r="O29" s="692">
        <f t="shared" si="17"/>
        <v>0</v>
      </c>
      <c r="P29" s="692">
        <f t="shared" si="17"/>
        <v>0</v>
      </c>
      <c r="Q29" s="692">
        <f t="shared" si="17"/>
        <v>0</v>
      </c>
      <c r="R29" s="733" t="b">
        <f>Q29=N29+O29</f>
        <v>1</v>
      </c>
    </row>
    <row r="30" spans="2:18" ht="16.5" customHeight="1" thickTop="1" x14ac:dyDescent="0.2">
      <c r="B30" s="431"/>
      <c r="C30" s="431"/>
      <c r="D30" s="431"/>
      <c r="E30" s="432"/>
      <c r="F30" s="433"/>
      <c r="G30" s="433"/>
      <c r="H30" s="433"/>
      <c r="I30" s="433"/>
      <c r="J30" s="433"/>
      <c r="K30" s="433"/>
      <c r="L30" s="433"/>
      <c r="M30" s="433"/>
      <c r="N30" s="433"/>
      <c r="O30" s="433"/>
      <c r="P30" s="433"/>
      <c r="Q30" s="433"/>
    </row>
    <row r="31" spans="2:18" ht="15" x14ac:dyDescent="0.25">
      <c r="B31" s="431"/>
      <c r="C31" s="431"/>
      <c r="D31" s="836" t="s">
        <v>1480</v>
      </c>
      <c r="E31" s="758"/>
      <c r="F31" s="345"/>
      <c r="G31" s="346"/>
      <c r="H31" s="344"/>
      <c r="I31" s="346"/>
      <c r="J31" s="344"/>
      <c r="K31" s="346" t="s">
        <v>1481</v>
      </c>
      <c r="L31" s="346"/>
      <c r="M31" s="346"/>
      <c r="N31" s="346"/>
      <c r="O31" s="346"/>
      <c r="P31" s="346"/>
      <c r="Q31" s="433"/>
    </row>
    <row r="32" spans="2:18" ht="15" hidden="1" x14ac:dyDescent="0.25">
      <c r="B32" s="431"/>
      <c r="C32" s="431"/>
      <c r="D32" s="344" t="s">
        <v>1445</v>
      </c>
      <c r="E32" s="345"/>
      <c r="F32" s="345"/>
      <c r="G32" s="346"/>
      <c r="H32" s="344"/>
      <c r="I32" s="346"/>
      <c r="J32" s="344"/>
      <c r="K32" s="344" t="s">
        <v>1446</v>
      </c>
      <c r="L32" s="346"/>
      <c r="M32" s="346"/>
      <c r="N32" s="346"/>
      <c r="O32" s="346"/>
      <c r="P32" s="346"/>
      <c r="Q32" s="433"/>
    </row>
    <row r="33" spans="2:17" ht="15" x14ac:dyDescent="0.25">
      <c r="B33" s="431"/>
      <c r="C33" s="436"/>
      <c r="D33" s="835"/>
      <c r="E33" s="835"/>
      <c r="F33" s="835"/>
      <c r="G33" s="835"/>
      <c r="H33" s="835"/>
      <c r="I33" s="835"/>
      <c r="J33" s="835"/>
      <c r="K33" s="835"/>
      <c r="L33" s="835"/>
      <c r="M33" s="835"/>
      <c r="N33" s="835"/>
      <c r="O33" s="835"/>
      <c r="P33" s="835"/>
      <c r="Q33" s="433"/>
    </row>
    <row r="34" spans="2:17" ht="15" customHeight="1" x14ac:dyDescent="0.25">
      <c r="B34" s="181"/>
      <c r="C34" s="181"/>
      <c r="D34" s="836" t="s">
        <v>523</v>
      </c>
      <c r="E34" s="758"/>
      <c r="F34" s="501"/>
      <c r="G34" s="525"/>
      <c r="H34" s="525"/>
      <c r="I34" s="346"/>
      <c r="J34" s="346"/>
      <c r="K34" s="344" t="s">
        <v>1346</v>
      </c>
      <c r="L34" s="346"/>
      <c r="M34" s="346"/>
      <c r="N34" s="346"/>
      <c r="O34" s="346"/>
      <c r="P34" s="346"/>
      <c r="Q34" s="182"/>
    </row>
    <row r="35" spans="2:17" ht="15" x14ac:dyDescent="0.25">
      <c r="B35" s="181"/>
      <c r="C35" s="181"/>
      <c r="D35" s="831"/>
      <c r="E35" s="831"/>
      <c r="F35" s="831"/>
      <c r="G35" s="831"/>
      <c r="H35" s="831"/>
      <c r="I35" s="831"/>
      <c r="J35" s="831"/>
      <c r="K35" s="831"/>
      <c r="L35" s="831"/>
      <c r="M35" s="831"/>
      <c r="N35" s="831"/>
      <c r="O35" s="831"/>
      <c r="P35" s="831"/>
      <c r="Q35" s="182"/>
    </row>
    <row r="36" spans="2:17" ht="15" x14ac:dyDescent="0.25">
      <c r="D36" s="831"/>
      <c r="E36" s="831"/>
      <c r="F36" s="831"/>
      <c r="G36" s="831"/>
      <c r="H36" s="831"/>
      <c r="I36" s="831"/>
      <c r="J36" s="831"/>
      <c r="K36" s="831"/>
      <c r="L36" s="831"/>
      <c r="M36" s="831"/>
      <c r="N36" s="831"/>
      <c r="O36" s="831"/>
      <c r="P36" s="831"/>
    </row>
    <row r="37" spans="2:17" ht="15" x14ac:dyDescent="0.25">
      <c r="D37" s="831"/>
      <c r="E37" s="831"/>
      <c r="F37" s="831"/>
      <c r="G37" s="831"/>
      <c r="H37" s="831"/>
      <c r="I37" s="831"/>
      <c r="J37" s="831"/>
      <c r="K37" s="831"/>
      <c r="L37" s="831"/>
      <c r="M37" s="831"/>
      <c r="N37" s="831"/>
      <c r="O37" s="831"/>
      <c r="P37" s="831"/>
    </row>
    <row r="38" spans="2:17" ht="15" x14ac:dyDescent="0.2">
      <c r="D38" s="183"/>
      <c r="E38" s="184"/>
      <c r="F38" s="185"/>
      <c r="G38" s="183"/>
      <c r="H38" s="183"/>
      <c r="I38" s="186"/>
      <c r="J38" s="184"/>
      <c r="K38" s="186"/>
      <c r="L38" s="183"/>
      <c r="M38" s="183"/>
      <c r="N38" s="186"/>
      <c r="O38" s="187"/>
      <c r="P38" s="188"/>
    </row>
    <row r="39" spans="2:17" ht="15" x14ac:dyDescent="0.25">
      <c r="D39" s="189"/>
      <c r="E39" s="189"/>
      <c r="F39" s="189"/>
      <c r="G39" s="189"/>
      <c r="H39" s="189"/>
      <c r="I39" s="189"/>
      <c r="J39" s="189"/>
      <c r="K39" s="189"/>
      <c r="L39" s="189"/>
      <c r="M39" s="189"/>
      <c r="N39" s="189"/>
      <c r="O39" s="189"/>
      <c r="P39" s="189"/>
    </row>
    <row r="64" spans="7:7" x14ac:dyDescent="0.2">
      <c r="G64" s="7">
        <f>H64+I64</f>
        <v>0</v>
      </c>
    </row>
    <row r="66" spans="7:7" x14ac:dyDescent="0.2">
      <c r="G66" s="7">
        <f t="shared" ref="G66:G84" si="18">H66+I66</f>
        <v>0</v>
      </c>
    </row>
    <row r="67" spans="7:7" x14ac:dyDescent="0.2">
      <c r="G67" s="7">
        <f t="shared" si="18"/>
        <v>0</v>
      </c>
    </row>
    <row r="68" spans="7:7" x14ac:dyDescent="0.2">
      <c r="G68" s="7">
        <f t="shared" si="18"/>
        <v>0</v>
      </c>
    </row>
    <row r="69" spans="7:7" x14ac:dyDescent="0.2">
      <c r="G69" s="7">
        <f t="shared" si="18"/>
        <v>0</v>
      </c>
    </row>
    <row r="70" spans="7:7" x14ac:dyDescent="0.2">
      <c r="G70" s="7">
        <f t="shared" si="18"/>
        <v>0</v>
      </c>
    </row>
    <row r="71" spans="7:7" x14ac:dyDescent="0.2">
      <c r="G71" s="7">
        <f t="shared" si="18"/>
        <v>0</v>
      </c>
    </row>
    <row r="72" spans="7:7" x14ac:dyDescent="0.2">
      <c r="G72" s="7">
        <f t="shared" si="18"/>
        <v>0</v>
      </c>
    </row>
    <row r="73" spans="7:7" x14ac:dyDescent="0.2">
      <c r="G73" s="7">
        <f t="shared" si="18"/>
        <v>0</v>
      </c>
    </row>
    <row r="74" spans="7:7" x14ac:dyDescent="0.2">
      <c r="G74" s="7">
        <f t="shared" si="18"/>
        <v>0</v>
      </c>
    </row>
    <row r="75" spans="7:7" x14ac:dyDescent="0.2">
      <c r="G75" s="7">
        <f t="shared" si="18"/>
        <v>0</v>
      </c>
    </row>
    <row r="76" spans="7:7" x14ac:dyDescent="0.2">
      <c r="G76" s="7">
        <f t="shared" si="18"/>
        <v>0</v>
      </c>
    </row>
    <row r="77" spans="7:7" x14ac:dyDescent="0.2">
      <c r="G77" s="7">
        <f t="shared" si="18"/>
        <v>0</v>
      </c>
    </row>
    <row r="78" spans="7:7" x14ac:dyDescent="0.2">
      <c r="G78" s="7">
        <f t="shared" si="18"/>
        <v>0</v>
      </c>
    </row>
    <row r="79" spans="7:7" x14ac:dyDescent="0.2">
      <c r="G79" s="7">
        <f t="shared" si="18"/>
        <v>0</v>
      </c>
    </row>
    <row r="80" spans="7:7" x14ac:dyDescent="0.2">
      <c r="G80" s="7">
        <f t="shared" si="18"/>
        <v>0</v>
      </c>
    </row>
    <row r="81" spans="7:7" x14ac:dyDescent="0.2">
      <c r="G81" s="7">
        <f t="shared" si="18"/>
        <v>0</v>
      </c>
    </row>
    <row r="82" spans="7:7" x14ac:dyDescent="0.2">
      <c r="G82" s="7">
        <f t="shared" si="18"/>
        <v>0</v>
      </c>
    </row>
    <row r="83" spans="7:7" x14ac:dyDescent="0.2">
      <c r="G83" s="7">
        <f t="shared" si="18"/>
        <v>0</v>
      </c>
    </row>
    <row r="84" spans="7:7" x14ac:dyDescent="0.2">
      <c r="G84" s="7">
        <f t="shared" si="18"/>
        <v>0</v>
      </c>
    </row>
    <row r="86" spans="7:7" x14ac:dyDescent="0.2">
      <c r="G86" s="7">
        <f>H86+I86</f>
        <v>0</v>
      </c>
    </row>
    <row r="87" spans="7:7" x14ac:dyDescent="0.2">
      <c r="G87" s="7">
        <f>H87+I87</f>
        <v>0</v>
      </c>
    </row>
    <row r="88" spans="7:7" x14ac:dyDescent="0.2">
      <c r="G88" s="7">
        <f>H88+I88</f>
        <v>0</v>
      </c>
    </row>
    <row r="89" spans="7:7" x14ac:dyDescent="0.2">
      <c r="G89" s="7">
        <f>H89+I89</f>
        <v>0</v>
      </c>
    </row>
    <row r="91" spans="7:7" x14ac:dyDescent="0.2">
      <c r="G91" s="7">
        <f>H91+I91</f>
        <v>0</v>
      </c>
    </row>
    <row r="94" spans="7:7" x14ac:dyDescent="0.2">
      <c r="G94" s="842"/>
    </row>
    <row r="95" spans="7:7" x14ac:dyDescent="0.2">
      <c r="G95" s="843"/>
    </row>
    <row r="131" spans="7:7" x14ac:dyDescent="0.2">
      <c r="G131" s="7">
        <f>H131+I131</f>
        <v>0</v>
      </c>
    </row>
    <row r="133" spans="7:7" x14ac:dyDescent="0.2">
      <c r="G133" s="7">
        <f t="shared" ref="G133:G143" si="19">H133+I133</f>
        <v>0</v>
      </c>
    </row>
    <row r="134" spans="7:7" x14ac:dyDescent="0.2">
      <c r="G134" s="7">
        <f t="shared" si="19"/>
        <v>0</v>
      </c>
    </row>
    <row r="135" spans="7:7" x14ac:dyDescent="0.2">
      <c r="G135" s="7">
        <f t="shared" si="19"/>
        <v>0</v>
      </c>
    </row>
    <row r="136" spans="7:7" x14ac:dyDescent="0.2">
      <c r="G136" s="7">
        <f t="shared" si="19"/>
        <v>0</v>
      </c>
    </row>
    <row r="137" spans="7:7" x14ac:dyDescent="0.2">
      <c r="G137" s="7">
        <f t="shared" si="19"/>
        <v>0</v>
      </c>
    </row>
    <row r="138" spans="7:7" x14ac:dyDescent="0.2">
      <c r="G138" s="7">
        <f t="shared" si="19"/>
        <v>0</v>
      </c>
    </row>
    <row r="139" spans="7:7" x14ac:dyDescent="0.2">
      <c r="G139" s="7">
        <f t="shared" si="19"/>
        <v>0</v>
      </c>
    </row>
    <row r="140" spans="7:7" x14ac:dyDescent="0.2">
      <c r="G140" s="7">
        <f t="shared" si="19"/>
        <v>0</v>
      </c>
    </row>
    <row r="141" spans="7:7" x14ac:dyDescent="0.2">
      <c r="G141" s="7">
        <f t="shared" si="19"/>
        <v>0</v>
      </c>
    </row>
    <row r="142" spans="7:7" x14ac:dyDescent="0.2">
      <c r="G142" s="7">
        <f t="shared" si="19"/>
        <v>0</v>
      </c>
    </row>
    <row r="143" spans="7:7" x14ac:dyDescent="0.2">
      <c r="G143" s="7">
        <f t="shared" si="19"/>
        <v>0</v>
      </c>
    </row>
    <row r="145" spans="7:10" x14ac:dyDescent="0.2">
      <c r="G145" s="7">
        <f>H146+I146</f>
        <v>0</v>
      </c>
    </row>
    <row r="146" spans="7:10" x14ac:dyDescent="0.2">
      <c r="G146" s="7">
        <f t="shared" ref="G146" si="20">H146+I146</f>
        <v>0</v>
      </c>
    </row>
    <row r="147" spans="7:10" x14ac:dyDescent="0.2">
      <c r="G147" s="7">
        <f>H147+I147</f>
        <v>0</v>
      </c>
    </row>
    <row r="148" spans="7:10" x14ac:dyDescent="0.2">
      <c r="G148" s="7">
        <f>H148+I148</f>
        <v>0</v>
      </c>
    </row>
    <row r="149" spans="7:10" x14ac:dyDescent="0.2">
      <c r="G149" s="7">
        <f>H149+I149</f>
        <v>0</v>
      </c>
    </row>
    <row r="150" spans="7:10" x14ac:dyDescent="0.2">
      <c r="G150" s="7">
        <f>H150+I150</f>
        <v>0</v>
      </c>
    </row>
    <row r="155" spans="7:10" ht="46.5" x14ac:dyDescent="0.65">
      <c r="J155" s="190"/>
    </row>
    <row r="158" spans="7:10" ht="46.5" x14ac:dyDescent="0.65">
      <c r="G158" s="190">
        <f>H158+I158</f>
        <v>0</v>
      </c>
      <c r="J158" s="190"/>
    </row>
    <row r="177" spans="11:11" ht="90" x14ac:dyDescent="1.1499999999999999">
      <c r="K177" s="191" t="b">
        <f>G177=H177+I177</f>
        <v>1</v>
      </c>
    </row>
  </sheetData>
  <mergeCells count="29">
    <mergeCell ref="B3:C3"/>
    <mergeCell ref="B5:C5"/>
    <mergeCell ref="B6:C6"/>
    <mergeCell ref="G94:G95"/>
    <mergeCell ref="B8:B10"/>
    <mergeCell ref="C8:C10"/>
    <mergeCell ref="D8:D10"/>
    <mergeCell ref="E8:E10"/>
    <mergeCell ref="F8:I8"/>
    <mergeCell ref="F9:F10"/>
    <mergeCell ref="I9:I10"/>
    <mergeCell ref="E4:M4"/>
    <mergeCell ref="D34:E34"/>
    <mergeCell ref="O9:P9"/>
    <mergeCell ref="D37:P37"/>
    <mergeCell ref="D36:P36"/>
    <mergeCell ref="M2:Q2"/>
    <mergeCell ref="E3:M3"/>
    <mergeCell ref="J8:M8"/>
    <mergeCell ref="N8:Q8"/>
    <mergeCell ref="Q9:Q10"/>
    <mergeCell ref="M9:M10"/>
    <mergeCell ref="N9:N10"/>
    <mergeCell ref="J9:J10"/>
    <mergeCell ref="D35:P35"/>
    <mergeCell ref="G9:H9"/>
    <mergeCell ref="K9:L9"/>
    <mergeCell ref="D33:P33"/>
    <mergeCell ref="D31:E31"/>
  </mergeCells>
  <printOptions horizontalCentered="1"/>
  <pageMargins left="0.19685039370078741" right="0" top="0.59055118110236227" bottom="0.39370078740157483" header="0.31496062992125984" footer="0.31496062992125984"/>
  <pageSetup paperSize="9" scale="55" fitToHeight="0" orientation="landscape" r:id="rId1"/>
  <headerFooter alignWithMargins="0">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4"/>
  <sheetViews>
    <sheetView view="pageBreakPreview" zoomScale="40" zoomScaleNormal="25" zoomScaleSheetLayoutView="40" zoomScalePageLayoutView="10" workbookViewId="0">
      <selection activeCell="D2" sqref="D2"/>
    </sheetView>
  </sheetViews>
  <sheetFormatPr defaultColWidth="9.140625" defaultRowHeight="12.75" x14ac:dyDescent="0.2"/>
  <cols>
    <col min="1" max="1" width="62.28515625" style="204" customWidth="1"/>
    <col min="2" max="2" width="49.140625" style="204" customWidth="1"/>
    <col min="3" max="3" width="150.140625" style="204" customWidth="1"/>
    <col min="4" max="4" width="69.7109375" style="204" customWidth="1"/>
    <col min="5" max="6" width="26.5703125" style="194" bestFit="1" customWidth="1"/>
    <col min="7" max="16384" width="9.140625" style="194"/>
  </cols>
  <sheetData>
    <row r="1" spans="1:15" ht="48.75" customHeight="1" x14ac:dyDescent="0.35">
      <c r="A1" s="75"/>
      <c r="B1" s="562"/>
      <c r="C1" s="562"/>
      <c r="D1" s="563" t="s">
        <v>590</v>
      </c>
      <c r="E1" s="193"/>
      <c r="F1" s="193"/>
      <c r="G1" s="193"/>
      <c r="H1" s="193"/>
    </row>
    <row r="2" spans="1:15" ht="84.75" customHeight="1" x14ac:dyDescent="0.35">
      <c r="A2" s="76"/>
      <c r="B2" s="562"/>
      <c r="C2" s="562"/>
      <c r="D2" s="563" t="s">
        <v>1630</v>
      </c>
      <c r="E2" s="193"/>
      <c r="F2" s="193"/>
      <c r="G2" s="193"/>
      <c r="H2" s="193"/>
    </row>
    <row r="3" spans="1:15" ht="40.700000000000003" customHeight="1" x14ac:dyDescent="0.2">
      <c r="A3" s="76"/>
      <c r="B3" s="76"/>
      <c r="C3" s="76"/>
      <c r="D3" s="77"/>
      <c r="N3" s="875"/>
      <c r="O3" s="875"/>
    </row>
    <row r="4" spans="1:15" ht="45.75" hidden="1" x14ac:dyDescent="0.2">
      <c r="A4" s="76"/>
      <c r="B4" s="76"/>
      <c r="C4" s="76"/>
      <c r="D4" s="77"/>
      <c r="N4" s="875"/>
      <c r="O4" s="876"/>
    </row>
    <row r="5" spans="1:15" ht="45.75" x14ac:dyDescent="0.2">
      <c r="A5" s="810" t="s">
        <v>1528</v>
      </c>
      <c r="B5" s="810"/>
      <c r="C5" s="810"/>
      <c r="D5" s="810"/>
      <c r="N5" s="875"/>
      <c r="O5" s="876"/>
    </row>
    <row r="6" spans="1:15" ht="45.75" x14ac:dyDescent="0.65">
      <c r="A6" s="811">
        <v>2256400000</v>
      </c>
      <c r="B6" s="762"/>
      <c r="C6" s="762"/>
      <c r="D6" s="762"/>
    </row>
    <row r="7" spans="1:15" ht="45.75" x14ac:dyDescent="0.2">
      <c r="A7" s="816" t="s">
        <v>490</v>
      </c>
      <c r="B7" s="762"/>
      <c r="C7" s="762"/>
      <c r="D7" s="762"/>
    </row>
    <row r="8" spans="1:15" ht="45.75" x14ac:dyDescent="0.2">
      <c r="A8" s="473"/>
      <c r="B8" s="475"/>
      <c r="C8" s="475"/>
      <c r="D8" s="475"/>
    </row>
    <row r="9" spans="1:15" ht="53.45" customHeight="1" x14ac:dyDescent="0.2">
      <c r="A9" s="859" t="s">
        <v>1111</v>
      </c>
      <c r="B9" s="860"/>
      <c r="C9" s="860"/>
      <c r="D9" s="860"/>
    </row>
    <row r="10" spans="1:15" ht="53.45" customHeight="1" thickBot="1" x14ac:dyDescent="0.25">
      <c r="A10" s="77"/>
      <c r="B10" s="77"/>
      <c r="C10" s="77"/>
      <c r="D10" s="316" t="s">
        <v>404</v>
      </c>
    </row>
    <row r="11" spans="1:15" ht="140.25" customHeight="1" thickTop="1" thickBot="1" x14ac:dyDescent="0.25">
      <c r="A11" s="317" t="s">
        <v>595</v>
      </c>
      <c r="B11" s="879" t="s">
        <v>594</v>
      </c>
      <c r="C11" s="880"/>
      <c r="D11" s="317" t="s">
        <v>383</v>
      </c>
    </row>
    <row r="12" spans="1:15" s="195" customFormat="1" ht="47.25" thickTop="1" thickBot="1" x14ac:dyDescent="0.25">
      <c r="A12" s="103" t="s">
        <v>2</v>
      </c>
      <c r="B12" s="881" t="s">
        <v>3</v>
      </c>
      <c r="C12" s="882"/>
      <c r="D12" s="103" t="s">
        <v>14</v>
      </c>
    </row>
    <row r="13" spans="1:15" s="195" customFormat="1" ht="70.5" customHeight="1" thickTop="1" thickBot="1" x14ac:dyDescent="0.25">
      <c r="A13" s="868" t="s">
        <v>596</v>
      </c>
      <c r="B13" s="869"/>
      <c r="C13" s="869"/>
      <c r="D13" s="870"/>
    </row>
    <row r="14" spans="1:15" s="195" customFormat="1" ht="70.5" hidden="1" customHeight="1" thickTop="1" thickBot="1" x14ac:dyDescent="0.25">
      <c r="A14" s="125" t="s">
        <v>1339</v>
      </c>
      <c r="B14" s="883" t="s">
        <v>1338</v>
      </c>
      <c r="C14" s="884"/>
      <c r="D14" s="438">
        <f>SUM(D15)</f>
        <v>0</v>
      </c>
    </row>
    <row r="15" spans="1:15" s="195" customFormat="1" ht="254.25" hidden="1" customHeight="1" thickTop="1" thickBot="1" x14ac:dyDescent="0.25">
      <c r="A15" s="128">
        <v>41021400</v>
      </c>
      <c r="B15" s="885" t="s">
        <v>1345</v>
      </c>
      <c r="C15" s="886"/>
      <c r="D15" s="440"/>
    </row>
    <row r="16" spans="1:15" s="195" customFormat="1" ht="47.25" hidden="1" thickTop="1" thickBot="1" x14ac:dyDescent="0.25">
      <c r="A16" s="128" t="s">
        <v>1292</v>
      </c>
      <c r="B16" s="885" t="s">
        <v>574</v>
      </c>
      <c r="C16" s="886"/>
      <c r="D16" s="196">
        <f>D15</f>
        <v>0</v>
      </c>
    </row>
    <row r="17" spans="1:6" s="195" customFormat="1" ht="46.5" thickTop="1" thickBot="1" x14ac:dyDescent="0.25">
      <c r="A17" s="311" t="s">
        <v>606</v>
      </c>
      <c r="B17" s="853" t="s">
        <v>438</v>
      </c>
      <c r="C17" s="877"/>
      <c r="D17" s="633">
        <f>SUM(D18:D24)</f>
        <v>762406300</v>
      </c>
    </row>
    <row r="18" spans="1:6" s="195" customFormat="1" ht="47.25" hidden="1" thickTop="1" thickBot="1" x14ac:dyDescent="0.25">
      <c r="A18" s="103" t="s">
        <v>983</v>
      </c>
      <c r="B18" s="847" t="s">
        <v>982</v>
      </c>
      <c r="C18" s="848"/>
      <c r="D18" s="634">
        <v>0</v>
      </c>
    </row>
    <row r="19" spans="1:6" s="195" customFormat="1" ht="148.5" customHeight="1" thickTop="1" thickBot="1" x14ac:dyDescent="0.25">
      <c r="A19" s="103" t="s">
        <v>1079</v>
      </c>
      <c r="B19" s="847" t="s">
        <v>1042</v>
      </c>
      <c r="C19" s="848"/>
      <c r="D19" s="634">
        <v>8649900</v>
      </c>
    </row>
    <row r="20" spans="1:6" s="195" customFormat="1" ht="47.25" thickTop="1" thickBot="1" x14ac:dyDescent="0.25">
      <c r="A20" s="103" t="s">
        <v>605</v>
      </c>
      <c r="B20" s="847" t="s">
        <v>618</v>
      </c>
      <c r="C20" s="848"/>
      <c r="D20" s="318">
        <f>(752597500)+1158900</f>
        <v>753756400</v>
      </c>
    </row>
    <row r="21" spans="1:6" s="195" customFormat="1" ht="47.25" hidden="1" thickTop="1" thickBot="1" x14ac:dyDescent="0.25">
      <c r="A21" s="103" t="s">
        <v>1077</v>
      </c>
      <c r="B21" s="847" t="s">
        <v>1043</v>
      </c>
      <c r="C21" s="878"/>
      <c r="D21" s="318">
        <v>0</v>
      </c>
    </row>
    <row r="22" spans="1:6" s="195" customFormat="1" ht="47.25" hidden="1" thickTop="1" thickBot="1" x14ac:dyDescent="0.25">
      <c r="A22" s="103" t="s">
        <v>985</v>
      </c>
      <c r="B22" s="847" t="s">
        <v>984</v>
      </c>
      <c r="C22" s="848"/>
      <c r="D22" s="318">
        <v>0</v>
      </c>
    </row>
    <row r="23" spans="1:6" s="195" customFormat="1" ht="47.25" hidden="1" thickTop="1" thickBot="1" x14ac:dyDescent="0.25">
      <c r="A23" s="103" t="s">
        <v>994</v>
      </c>
      <c r="B23" s="847" t="s">
        <v>995</v>
      </c>
      <c r="C23" s="848"/>
      <c r="D23" s="318">
        <v>0</v>
      </c>
    </row>
    <row r="24" spans="1:6" s="195" customFormat="1" ht="47.25" hidden="1" thickTop="1" thickBot="1" x14ac:dyDescent="0.25">
      <c r="A24" s="103" t="s">
        <v>975</v>
      </c>
      <c r="B24" s="847" t="s">
        <v>974</v>
      </c>
      <c r="C24" s="848"/>
      <c r="D24" s="318">
        <v>0</v>
      </c>
    </row>
    <row r="25" spans="1:6" s="195" customFormat="1" ht="47.25" thickTop="1" thickBot="1" x14ac:dyDescent="0.25">
      <c r="A25" s="103" t="s">
        <v>1292</v>
      </c>
      <c r="B25" s="847" t="s">
        <v>574</v>
      </c>
      <c r="C25" s="848"/>
      <c r="D25" s="318">
        <f>D17</f>
        <v>762406300</v>
      </c>
    </row>
    <row r="26" spans="1:6" s="195" customFormat="1" ht="46.5" thickTop="1" thickBot="1" x14ac:dyDescent="0.25">
      <c r="A26" s="311" t="s">
        <v>610</v>
      </c>
      <c r="B26" s="853" t="s">
        <v>344</v>
      </c>
      <c r="C26" s="854"/>
      <c r="D26" s="633">
        <f>SUM(D27:D28)</f>
        <v>7650489.0099999998</v>
      </c>
    </row>
    <row r="27" spans="1:6" s="195" customFormat="1" ht="196.5" customHeight="1" thickTop="1" thickBot="1" x14ac:dyDescent="0.25">
      <c r="A27" s="103" t="s">
        <v>611</v>
      </c>
      <c r="B27" s="847" t="s">
        <v>619</v>
      </c>
      <c r="C27" s="848"/>
      <c r="D27" s="634">
        <v>7509500</v>
      </c>
    </row>
    <row r="28" spans="1:6" s="195" customFormat="1" ht="62.25" customHeight="1" thickTop="1" thickBot="1" x14ac:dyDescent="0.25">
      <c r="A28" s="103" t="s">
        <v>1218</v>
      </c>
      <c r="B28" s="847" t="s">
        <v>1217</v>
      </c>
      <c r="C28" s="848"/>
      <c r="D28" s="634">
        <f>(0)+140989.01</f>
        <v>140989.01</v>
      </c>
    </row>
    <row r="29" spans="1:6" s="195" customFormat="1" ht="47.25" thickTop="1" thickBot="1" x14ac:dyDescent="0.25">
      <c r="A29" s="103" t="s">
        <v>1296</v>
      </c>
      <c r="B29" s="847" t="s">
        <v>609</v>
      </c>
      <c r="C29" s="848"/>
      <c r="D29" s="318">
        <f>SUM(D27:D28)</f>
        <v>7650489.0099999998</v>
      </c>
    </row>
    <row r="30" spans="1:6" s="195" customFormat="1" ht="46.5" thickTop="1" thickBot="1" x14ac:dyDescent="0.25">
      <c r="A30" s="311" t="s">
        <v>612</v>
      </c>
      <c r="B30" s="853" t="s">
        <v>613</v>
      </c>
      <c r="C30" s="854"/>
      <c r="D30" s="633">
        <f>D49+D51</f>
        <v>16440384</v>
      </c>
      <c r="E30" s="703" t="b">
        <f>D30=D49+D51</f>
        <v>1</v>
      </c>
      <c r="F30" s="703" t="b">
        <f>D30='d1'!D127</f>
        <v>1</v>
      </c>
    </row>
    <row r="31" spans="1:6" s="195" customFormat="1" ht="367.5" hidden="1" customHeight="1" thickTop="1" x14ac:dyDescent="0.65">
      <c r="A31" s="887" t="s">
        <v>1080</v>
      </c>
      <c r="B31" s="871" t="s">
        <v>1426</v>
      </c>
      <c r="C31" s="872"/>
      <c r="D31" s="801">
        <v>0</v>
      </c>
    </row>
    <row r="32" spans="1:6" s="195" customFormat="1" ht="409.6" hidden="1" customHeight="1" thickBot="1" x14ac:dyDescent="0.25">
      <c r="A32" s="888"/>
      <c r="B32" s="873" t="s">
        <v>1427</v>
      </c>
      <c r="C32" s="874"/>
      <c r="D32" s="888"/>
    </row>
    <row r="33" spans="1:4" s="195" customFormat="1" ht="361.5" hidden="1" customHeight="1" thickTop="1" x14ac:dyDescent="0.65">
      <c r="A33" s="887" t="s">
        <v>1078</v>
      </c>
      <c r="B33" s="871" t="s">
        <v>1428</v>
      </c>
      <c r="C33" s="872"/>
      <c r="D33" s="801">
        <v>0</v>
      </c>
    </row>
    <row r="34" spans="1:4" s="195" customFormat="1" ht="196.5" hidden="1" customHeight="1" thickBot="1" x14ac:dyDescent="0.25">
      <c r="A34" s="888"/>
      <c r="B34" s="873" t="s">
        <v>1429</v>
      </c>
      <c r="C34" s="874"/>
      <c r="D34" s="888"/>
    </row>
    <row r="35" spans="1:4" s="195" customFormat="1" ht="409.6" hidden="1" customHeight="1" thickTop="1" x14ac:dyDescent="0.65">
      <c r="A35" s="887">
        <v>41050600</v>
      </c>
      <c r="B35" s="871" t="s">
        <v>1430</v>
      </c>
      <c r="C35" s="872"/>
      <c r="D35" s="801">
        <v>0</v>
      </c>
    </row>
    <row r="36" spans="1:4" s="195" customFormat="1" ht="385.5" hidden="1" customHeight="1" thickBot="1" x14ac:dyDescent="0.25">
      <c r="A36" s="888"/>
      <c r="B36" s="873" t="s">
        <v>1431</v>
      </c>
      <c r="C36" s="874"/>
      <c r="D36" s="888"/>
    </row>
    <row r="37" spans="1:4" s="195" customFormat="1" ht="174" hidden="1" customHeight="1" thickTop="1" thickBot="1" x14ac:dyDescent="0.25">
      <c r="A37" s="103">
        <v>41050900</v>
      </c>
      <c r="B37" s="847" t="s">
        <v>1081</v>
      </c>
      <c r="C37" s="848"/>
      <c r="D37" s="318">
        <v>0</v>
      </c>
    </row>
    <row r="38" spans="1:4" s="195" customFormat="1" ht="124.5" customHeight="1" thickTop="1" thickBot="1" x14ac:dyDescent="0.25">
      <c r="A38" s="103" t="s">
        <v>614</v>
      </c>
      <c r="B38" s="847" t="s">
        <v>615</v>
      </c>
      <c r="C38" s="848"/>
      <c r="D38" s="318">
        <v>11127203</v>
      </c>
    </row>
    <row r="39" spans="1:4" s="195" customFormat="1" ht="153" customHeight="1" thickTop="1" thickBot="1" x14ac:dyDescent="0.25">
      <c r="A39" s="103" t="s">
        <v>616</v>
      </c>
      <c r="B39" s="847" t="s">
        <v>1291</v>
      </c>
      <c r="C39" s="848"/>
      <c r="D39" s="634">
        <f>(0)+3668858</f>
        <v>3668858</v>
      </c>
    </row>
    <row r="40" spans="1:4" s="195" customFormat="1" ht="47.25" hidden="1" thickTop="1" thickBot="1" x14ac:dyDescent="0.25">
      <c r="A40" s="103" t="s">
        <v>986</v>
      </c>
      <c r="B40" s="847" t="s">
        <v>987</v>
      </c>
      <c r="C40" s="848"/>
      <c r="D40" s="634">
        <v>0</v>
      </c>
    </row>
    <row r="41" spans="1:4" s="195" customFormat="1" ht="192" customHeight="1" thickTop="1" thickBot="1" x14ac:dyDescent="0.25">
      <c r="A41" s="103" t="s">
        <v>944</v>
      </c>
      <c r="B41" s="847" t="s">
        <v>945</v>
      </c>
      <c r="C41" s="848"/>
      <c r="D41" s="634">
        <f>(0)+532739</f>
        <v>532739</v>
      </c>
    </row>
    <row r="42" spans="1:4" s="195" customFormat="1" ht="47.25" thickTop="1" thickBot="1" x14ac:dyDescent="0.25">
      <c r="A42" s="103">
        <v>41053900</v>
      </c>
      <c r="B42" s="847" t="s">
        <v>364</v>
      </c>
      <c r="C42" s="848"/>
      <c r="D42" s="634">
        <v>1018034</v>
      </c>
    </row>
    <row r="43" spans="1:4" s="195" customFormat="1" ht="20.25" hidden="1" thickTop="1" x14ac:dyDescent="0.65">
      <c r="A43" s="887" t="s">
        <v>1082</v>
      </c>
      <c r="B43" s="871" t="s">
        <v>1083</v>
      </c>
      <c r="C43" s="872"/>
      <c r="D43" s="801">
        <v>0</v>
      </c>
    </row>
    <row r="44" spans="1:4" s="195" customFormat="1" ht="13.5" hidden="1" thickBot="1" x14ac:dyDescent="0.25">
      <c r="A44" s="888"/>
      <c r="B44" s="873" t="s">
        <v>1084</v>
      </c>
      <c r="C44" s="874"/>
      <c r="D44" s="888"/>
    </row>
    <row r="45" spans="1:4" s="195" customFormat="1" ht="47.25" hidden="1" thickTop="1" thickBot="1" x14ac:dyDescent="0.25">
      <c r="A45" s="103" t="s">
        <v>617</v>
      </c>
      <c r="B45" s="847" t="s">
        <v>620</v>
      </c>
      <c r="C45" s="848"/>
      <c r="D45" s="634">
        <v>0</v>
      </c>
    </row>
    <row r="46" spans="1:4" s="195" customFormat="1" ht="47.25" hidden="1" thickTop="1" thickBot="1" x14ac:dyDescent="0.25">
      <c r="A46" s="103" t="s">
        <v>1025</v>
      </c>
      <c r="B46" s="847" t="s">
        <v>1026</v>
      </c>
      <c r="C46" s="848"/>
      <c r="D46" s="318">
        <f>10623233.82-10623233.82</f>
        <v>0</v>
      </c>
    </row>
    <row r="47" spans="1:4" s="195" customFormat="1" ht="168.75" customHeight="1" thickTop="1" thickBot="1" x14ac:dyDescent="0.25">
      <c r="A47" s="103">
        <v>41057700</v>
      </c>
      <c r="B47" s="847" t="s">
        <v>1377</v>
      </c>
      <c r="C47" s="848"/>
      <c r="D47" s="634">
        <f>(0)+93550</f>
        <v>93550</v>
      </c>
    </row>
    <row r="48" spans="1:4" s="195" customFormat="1" ht="47.25" thickTop="1" thickBot="1" x14ac:dyDescent="0.25">
      <c r="A48" s="103">
        <v>41059000</v>
      </c>
      <c r="B48" s="847" t="s">
        <v>1402</v>
      </c>
      <c r="C48" s="848"/>
      <c r="D48" s="634">
        <v>0</v>
      </c>
    </row>
    <row r="49" spans="1:5" s="195" customFormat="1" ht="47.25" thickTop="1" thickBot="1" x14ac:dyDescent="0.55000000000000004">
      <c r="A49" s="103" t="s">
        <v>1296</v>
      </c>
      <c r="B49" s="847" t="s">
        <v>609</v>
      </c>
      <c r="C49" s="848"/>
      <c r="D49" s="318">
        <f>SUM(D31:D48)</f>
        <v>16440384</v>
      </c>
      <c r="E49" s="197"/>
    </row>
    <row r="50" spans="1:5" s="195" customFormat="1" ht="47.25" hidden="1" thickTop="1" thickBot="1" x14ac:dyDescent="0.25">
      <c r="A50" s="198" t="s">
        <v>1104</v>
      </c>
      <c r="B50" s="864" t="s">
        <v>1105</v>
      </c>
      <c r="C50" s="865"/>
      <c r="D50" s="441">
        <v>0</v>
      </c>
    </row>
    <row r="51" spans="1:5" s="195" customFormat="1" ht="47.25" hidden="1" thickTop="1" thickBot="1" x14ac:dyDescent="0.25">
      <c r="A51" s="198" t="s">
        <v>576</v>
      </c>
      <c r="B51" s="864" t="s">
        <v>577</v>
      </c>
      <c r="C51" s="865"/>
      <c r="D51" s="199">
        <f>D50</f>
        <v>0</v>
      </c>
    </row>
    <row r="52" spans="1:5" ht="76.5" customHeight="1" thickTop="1" thickBot="1" x14ac:dyDescent="0.25">
      <c r="A52" s="868" t="s">
        <v>597</v>
      </c>
      <c r="B52" s="869"/>
      <c r="C52" s="869"/>
      <c r="D52" s="870"/>
    </row>
    <row r="53" spans="1:5" ht="46.5" hidden="1" thickTop="1" thickBot="1" x14ac:dyDescent="0.25">
      <c r="A53" s="635" t="s">
        <v>606</v>
      </c>
      <c r="B53" s="866" t="s">
        <v>438</v>
      </c>
      <c r="C53" s="867"/>
      <c r="D53" s="636">
        <f>D54</f>
        <v>0</v>
      </c>
    </row>
    <row r="54" spans="1:5" ht="47.25" hidden="1" thickTop="1" thickBot="1" x14ac:dyDescent="0.25">
      <c r="A54" s="637" t="s">
        <v>1077</v>
      </c>
      <c r="B54" s="857" t="s">
        <v>1043</v>
      </c>
      <c r="C54" s="858"/>
      <c r="D54" s="638">
        <v>0</v>
      </c>
    </row>
    <row r="55" spans="1:5" ht="47.25" hidden="1" thickTop="1" thickBot="1" x14ac:dyDescent="0.25">
      <c r="A55" s="637" t="s">
        <v>880</v>
      </c>
      <c r="B55" s="857" t="s">
        <v>574</v>
      </c>
      <c r="C55" s="858"/>
      <c r="D55" s="639">
        <f>D53</f>
        <v>0</v>
      </c>
    </row>
    <row r="56" spans="1:5" ht="46.5" thickTop="1" thickBot="1" x14ac:dyDescent="0.25">
      <c r="A56" s="311" t="s">
        <v>612</v>
      </c>
      <c r="B56" s="853" t="s">
        <v>613</v>
      </c>
      <c r="C56" s="854"/>
      <c r="D56" s="633">
        <f>D61+D63</f>
        <v>7672111</v>
      </c>
      <c r="E56" s="701" t="b">
        <f>D56=D57+D58+D62+D59+D60</f>
        <v>1</v>
      </c>
    </row>
    <row r="57" spans="1:5" ht="47.25" hidden="1" thickTop="1" thickBot="1" x14ac:dyDescent="0.25">
      <c r="A57" s="637" t="s">
        <v>946</v>
      </c>
      <c r="B57" s="857" t="s">
        <v>949</v>
      </c>
      <c r="C57" s="858"/>
      <c r="D57" s="638">
        <v>0</v>
      </c>
    </row>
    <row r="58" spans="1:5" ht="47.25" hidden="1" thickTop="1" thickBot="1" x14ac:dyDescent="0.25">
      <c r="A58" s="637">
        <v>41053900</v>
      </c>
      <c r="B58" s="857" t="s">
        <v>950</v>
      </c>
      <c r="C58" s="858"/>
      <c r="D58" s="638">
        <v>0</v>
      </c>
    </row>
    <row r="59" spans="1:5" ht="47.25" hidden="1" thickTop="1" thickBot="1" x14ac:dyDescent="0.25">
      <c r="A59" s="103" t="s">
        <v>614</v>
      </c>
      <c r="B59" s="847" t="s">
        <v>615</v>
      </c>
      <c r="C59" s="848"/>
      <c r="D59" s="634">
        <v>0</v>
      </c>
    </row>
    <row r="60" spans="1:5" ht="122.25" customHeight="1" thickTop="1" thickBot="1" x14ac:dyDescent="0.25">
      <c r="A60" s="103" t="s">
        <v>1618</v>
      </c>
      <c r="B60" s="847" t="s">
        <v>1591</v>
      </c>
      <c r="C60" s="848"/>
      <c r="D60" s="634">
        <v>7672111</v>
      </c>
    </row>
    <row r="61" spans="1:5" ht="47.25" thickTop="1" thickBot="1" x14ac:dyDescent="0.25">
      <c r="A61" s="103" t="s">
        <v>1296</v>
      </c>
      <c r="B61" s="847" t="s">
        <v>609</v>
      </c>
      <c r="C61" s="848"/>
      <c r="D61" s="318">
        <f>SUM(D57:D60)</f>
        <v>7672111</v>
      </c>
    </row>
    <row r="62" spans="1:5" ht="47.25" hidden="1" thickTop="1" thickBot="1" x14ac:dyDescent="0.25">
      <c r="A62" s="637">
        <v>41053900</v>
      </c>
      <c r="B62" s="857" t="s">
        <v>1103</v>
      </c>
      <c r="C62" s="858"/>
      <c r="D62" s="638">
        <v>0</v>
      </c>
    </row>
    <row r="63" spans="1:5" ht="47.25" hidden="1" thickTop="1" thickBot="1" x14ac:dyDescent="0.25">
      <c r="A63" s="637" t="s">
        <v>576</v>
      </c>
      <c r="B63" s="857" t="s">
        <v>577</v>
      </c>
      <c r="C63" s="858"/>
      <c r="D63" s="639">
        <f>D62</f>
        <v>0</v>
      </c>
    </row>
    <row r="64" spans="1:5" ht="47.25" thickTop="1" thickBot="1" x14ac:dyDescent="0.25">
      <c r="A64" s="707" t="s">
        <v>381</v>
      </c>
      <c r="B64" s="855" t="s">
        <v>598</v>
      </c>
      <c r="C64" s="856"/>
      <c r="D64" s="708">
        <f>D65+D66</f>
        <v>794169284.00999999</v>
      </c>
      <c r="E64" s="702" t="b">
        <f>D64='d1'!C112</f>
        <v>1</v>
      </c>
    </row>
    <row r="65" spans="1:6" ht="47.25" thickTop="1" thickBot="1" x14ac:dyDescent="0.25">
      <c r="A65" s="103" t="s">
        <v>381</v>
      </c>
      <c r="B65" s="847" t="s">
        <v>386</v>
      </c>
      <c r="C65" s="848"/>
      <c r="D65" s="318">
        <f>D49+D25+D29+D51+D16</f>
        <v>786497173.00999999</v>
      </c>
      <c r="E65" s="702" t="b">
        <f>D65='d1'!D112</f>
        <v>1</v>
      </c>
    </row>
    <row r="66" spans="1:6" ht="47.25" thickTop="1" thickBot="1" x14ac:dyDescent="0.25">
      <c r="A66" s="103" t="s">
        <v>381</v>
      </c>
      <c r="B66" s="847" t="s">
        <v>387</v>
      </c>
      <c r="C66" s="848"/>
      <c r="D66" s="318">
        <f>D61+D55+D63</f>
        <v>7672111</v>
      </c>
      <c r="E66" s="702" t="b">
        <f>D66='d1'!E112</f>
        <v>1</v>
      </c>
    </row>
    <row r="67" spans="1:6" ht="31.7" customHeight="1" thickTop="1" x14ac:dyDescent="0.2">
      <c r="A67" s="168"/>
      <c r="B67" s="169"/>
      <c r="C67" s="169"/>
      <c r="D67" s="169"/>
    </row>
    <row r="68" spans="1:6" ht="31.7" customHeight="1" x14ac:dyDescent="0.2">
      <c r="A68" s="168"/>
      <c r="B68" s="169"/>
      <c r="C68" s="169"/>
      <c r="D68" s="169"/>
    </row>
    <row r="69" spans="1:6" ht="60" customHeight="1" x14ac:dyDescent="0.2">
      <c r="A69" s="859" t="s">
        <v>1112</v>
      </c>
      <c r="B69" s="860"/>
      <c r="C69" s="860"/>
      <c r="D69" s="860"/>
    </row>
    <row r="70" spans="1:6" ht="54" customHeight="1" thickBot="1" x14ac:dyDescent="0.25">
      <c r="A70" s="15"/>
      <c r="B70" s="16"/>
      <c r="C70" s="16"/>
      <c r="D70" s="316" t="s">
        <v>404</v>
      </c>
    </row>
    <row r="71" spans="1:6" ht="325.5" customHeight="1" thickTop="1" thickBot="1" x14ac:dyDescent="0.25">
      <c r="A71" s="317" t="s">
        <v>599</v>
      </c>
      <c r="B71" s="585" t="s">
        <v>492</v>
      </c>
      <c r="C71" s="317" t="s">
        <v>600</v>
      </c>
      <c r="D71" s="317" t="s">
        <v>383</v>
      </c>
    </row>
    <row r="72" spans="1:6" ht="50.25" customHeight="1" thickTop="1" thickBot="1" x14ac:dyDescent="0.25">
      <c r="A72" s="103" t="s">
        <v>2</v>
      </c>
      <c r="B72" s="103" t="s">
        <v>3</v>
      </c>
      <c r="C72" s="103" t="s">
        <v>14</v>
      </c>
      <c r="D72" s="103" t="s">
        <v>5</v>
      </c>
    </row>
    <row r="73" spans="1:6" ht="65.25" customHeight="1" thickTop="1" thickBot="1" x14ac:dyDescent="0.25">
      <c r="A73" s="850" t="s">
        <v>601</v>
      </c>
      <c r="B73" s="851"/>
      <c r="C73" s="851"/>
      <c r="D73" s="852"/>
    </row>
    <row r="74" spans="1:6" ht="184.5" thickTop="1" thickBot="1" x14ac:dyDescent="0.55000000000000004">
      <c r="A74" s="103" t="s">
        <v>245</v>
      </c>
      <c r="B74" s="103" t="s">
        <v>246</v>
      </c>
      <c r="C74" s="561" t="s">
        <v>443</v>
      </c>
      <c r="D74" s="318">
        <f>SUM(D75:D76)</f>
        <v>1178000</v>
      </c>
      <c r="E74" s="702" t="b">
        <f>D74='d3'!E44</f>
        <v>1</v>
      </c>
      <c r="F74" s="197"/>
    </row>
    <row r="75" spans="1:6" ht="93" thickTop="1" thickBot="1" x14ac:dyDescent="0.55000000000000004">
      <c r="A75" s="103" t="s">
        <v>1295</v>
      </c>
      <c r="B75" s="103"/>
      <c r="C75" s="561" t="s">
        <v>578</v>
      </c>
      <c r="D75" s="318">
        <v>506400</v>
      </c>
      <c r="E75" s="197"/>
      <c r="F75" s="197"/>
    </row>
    <row r="76" spans="1:6" ht="93" thickTop="1" thickBot="1" x14ac:dyDescent="0.55000000000000004">
      <c r="A76" s="103" t="s">
        <v>1294</v>
      </c>
      <c r="B76" s="103"/>
      <c r="C76" s="561" t="s">
        <v>579</v>
      </c>
      <c r="D76" s="318">
        <v>671600</v>
      </c>
      <c r="E76" s="197"/>
      <c r="F76" s="197"/>
    </row>
    <row r="77" spans="1:6" ht="47.25" thickTop="1" thickBot="1" x14ac:dyDescent="0.55000000000000004">
      <c r="A77" s="103" t="s">
        <v>575</v>
      </c>
      <c r="B77" s="103" t="s">
        <v>363</v>
      </c>
      <c r="C77" s="561" t="s">
        <v>364</v>
      </c>
      <c r="D77" s="318">
        <f>SUM(D78)</f>
        <v>155600</v>
      </c>
      <c r="E77" s="702" t="b">
        <f>D77='d3'!E45</f>
        <v>1</v>
      </c>
      <c r="F77" s="197"/>
    </row>
    <row r="78" spans="1:6" ht="47.25" thickTop="1" thickBot="1" x14ac:dyDescent="0.55000000000000004">
      <c r="A78" s="103" t="s">
        <v>1293</v>
      </c>
      <c r="B78" s="103"/>
      <c r="C78" s="561" t="s">
        <v>577</v>
      </c>
      <c r="D78" s="318">
        <v>155600</v>
      </c>
      <c r="E78" s="197"/>
      <c r="F78" s="197"/>
    </row>
    <row r="79" spans="1:6" ht="138.75" thickTop="1" thickBot="1" x14ac:dyDescent="0.55000000000000004">
      <c r="A79" s="103" t="s">
        <v>513</v>
      </c>
      <c r="B79" s="103" t="s">
        <v>514</v>
      </c>
      <c r="C79" s="561" t="s">
        <v>515</v>
      </c>
      <c r="D79" s="318">
        <f>((40873318.14-300000+2000000)+58713600)+5262218-400000+225000</f>
        <v>106374136.14</v>
      </c>
      <c r="E79" s="702" t="b">
        <f>D79='d3'!E46</f>
        <v>1</v>
      </c>
      <c r="F79" s="197"/>
    </row>
    <row r="80" spans="1:6" ht="138.75" hidden="1" thickTop="1" thickBot="1" x14ac:dyDescent="0.55000000000000004">
      <c r="A80" s="128" t="s">
        <v>1335</v>
      </c>
      <c r="B80" s="128" t="s">
        <v>514</v>
      </c>
      <c r="C80" s="442" t="s">
        <v>515</v>
      </c>
      <c r="D80" s="196"/>
      <c r="E80" s="362" t="b">
        <f>D80='d3'!E371</f>
        <v>1</v>
      </c>
      <c r="F80" s="197"/>
    </row>
    <row r="81" spans="1:6" ht="138.75" hidden="1" thickTop="1" thickBot="1" x14ac:dyDescent="0.55000000000000004">
      <c r="A81" s="128" t="s">
        <v>1248</v>
      </c>
      <c r="B81" s="128" t="s">
        <v>514</v>
      </c>
      <c r="C81" s="442" t="s">
        <v>515</v>
      </c>
      <c r="D81" s="196"/>
      <c r="E81" s="362" t="b">
        <f>D81='d3'!E401</f>
        <v>1</v>
      </c>
      <c r="F81" s="197"/>
    </row>
    <row r="82" spans="1:6" ht="47.25" thickTop="1" thickBot="1" x14ac:dyDescent="0.55000000000000004">
      <c r="A82" s="103" t="s">
        <v>1292</v>
      </c>
      <c r="B82" s="103"/>
      <c r="C82" s="561" t="s">
        <v>574</v>
      </c>
      <c r="D82" s="318">
        <f>SUM(D79:D81)</f>
        <v>106374136.14</v>
      </c>
      <c r="E82" s="197"/>
      <c r="F82" s="197"/>
    </row>
    <row r="83" spans="1:6" ht="47.25" hidden="1" thickTop="1" thickBot="1" x14ac:dyDescent="0.55000000000000004">
      <c r="A83" s="198" t="s">
        <v>586</v>
      </c>
      <c r="B83" s="198" t="s">
        <v>363</v>
      </c>
      <c r="C83" s="200" t="s">
        <v>364</v>
      </c>
      <c r="D83" s="199">
        <f>SUM(D84)</f>
        <v>0</v>
      </c>
      <c r="E83" s="362" t="b">
        <f>D83='d3'!E219</f>
        <v>1</v>
      </c>
      <c r="F83" s="197"/>
    </row>
    <row r="84" spans="1:6" ht="93" hidden="1" thickTop="1" thickBot="1" x14ac:dyDescent="0.55000000000000004">
      <c r="A84" s="198" t="s">
        <v>580</v>
      </c>
      <c r="B84" s="198"/>
      <c r="C84" s="200" t="s">
        <v>581</v>
      </c>
      <c r="D84" s="199">
        <v>0</v>
      </c>
      <c r="E84" s="197"/>
      <c r="F84" s="197"/>
    </row>
    <row r="85" spans="1:6" ht="47.25" hidden="1" thickTop="1" thickBot="1" x14ac:dyDescent="0.55000000000000004">
      <c r="A85" s="198" t="s">
        <v>1109</v>
      </c>
      <c r="B85" s="198" t="s">
        <v>363</v>
      </c>
      <c r="C85" s="200" t="s">
        <v>364</v>
      </c>
      <c r="D85" s="199">
        <v>0</v>
      </c>
      <c r="E85" s="362" t="b">
        <f>D85='d3'!E255</f>
        <v>1</v>
      </c>
      <c r="F85" s="197"/>
    </row>
    <row r="86" spans="1:6" ht="47.25" hidden="1" thickTop="1" thickBot="1" x14ac:dyDescent="0.55000000000000004">
      <c r="A86" s="128" t="s">
        <v>908</v>
      </c>
      <c r="B86" s="128" t="s">
        <v>363</v>
      </c>
      <c r="C86" s="442" t="s">
        <v>364</v>
      </c>
      <c r="D86" s="196"/>
      <c r="E86" s="362" t="b">
        <f>D86='d3'!E391</f>
        <v>1</v>
      </c>
      <c r="F86" s="197"/>
    </row>
    <row r="87" spans="1:6" ht="47.25" hidden="1" thickTop="1" thickBot="1" x14ac:dyDescent="0.55000000000000004">
      <c r="A87" s="128" t="s">
        <v>1296</v>
      </c>
      <c r="B87" s="128"/>
      <c r="C87" s="442" t="s">
        <v>609</v>
      </c>
      <c r="D87" s="196">
        <f>SUM(D85:D86)</f>
        <v>0</v>
      </c>
      <c r="E87" s="197"/>
      <c r="F87" s="197"/>
    </row>
    <row r="88" spans="1:6" ht="409.6" hidden="1" thickTop="1" thickBot="1" x14ac:dyDescent="0.55000000000000004">
      <c r="A88" s="128" t="s">
        <v>1388</v>
      </c>
      <c r="B88" s="128" t="s">
        <v>1389</v>
      </c>
      <c r="C88" s="442" t="s">
        <v>1387</v>
      </c>
      <c r="D88" s="196">
        <f>(2000000)-2000000</f>
        <v>0</v>
      </c>
      <c r="E88" s="197"/>
      <c r="F88" s="197"/>
    </row>
    <row r="89" spans="1:6" ht="47.25" hidden="1" thickTop="1" thickBot="1" x14ac:dyDescent="0.55000000000000004">
      <c r="A89" s="128" t="s">
        <v>1292</v>
      </c>
      <c r="B89" s="128"/>
      <c r="C89" s="442" t="s">
        <v>574</v>
      </c>
      <c r="D89" s="196">
        <f>D88</f>
        <v>0</v>
      </c>
      <c r="E89" s="197"/>
      <c r="F89" s="197"/>
    </row>
    <row r="90" spans="1:6" ht="47.25" hidden="1" thickTop="1" thickBot="1" x14ac:dyDescent="0.55000000000000004">
      <c r="A90" s="128" t="s">
        <v>603</v>
      </c>
      <c r="B90" s="128" t="s">
        <v>604</v>
      </c>
      <c r="C90" s="442" t="s">
        <v>451</v>
      </c>
      <c r="D90" s="196">
        <f>SUM(D91)</f>
        <v>0</v>
      </c>
      <c r="E90" s="362" t="b">
        <f>D90='d3'!E428</f>
        <v>1</v>
      </c>
      <c r="F90" s="197"/>
    </row>
    <row r="91" spans="1:6" ht="47.25" hidden="1" thickTop="1" thickBot="1" x14ac:dyDescent="0.55000000000000004">
      <c r="A91" s="128" t="s">
        <v>1292</v>
      </c>
      <c r="B91" s="128"/>
      <c r="C91" s="442" t="s">
        <v>574</v>
      </c>
      <c r="D91" s="196"/>
      <c r="E91" s="197"/>
      <c r="F91" s="197"/>
    </row>
    <row r="92" spans="1:6" ht="69" customHeight="1" thickTop="1" thickBot="1" x14ac:dyDescent="0.55000000000000004">
      <c r="A92" s="850" t="s">
        <v>602</v>
      </c>
      <c r="B92" s="851"/>
      <c r="C92" s="851"/>
      <c r="D92" s="852"/>
      <c r="E92" s="197"/>
      <c r="F92" s="197"/>
    </row>
    <row r="93" spans="1:6" ht="138.75" thickTop="1" thickBot="1" x14ac:dyDescent="0.55000000000000004">
      <c r="A93" s="103" t="s">
        <v>513</v>
      </c>
      <c r="B93" s="103" t="s">
        <v>514</v>
      </c>
      <c r="C93" s="561" t="s">
        <v>515</v>
      </c>
      <c r="D93" s="318">
        <f>((26816681.86-700000)+100285900)+28871250-800000-10025000+9800000</f>
        <v>154248831.86000001</v>
      </c>
      <c r="E93" s="702" t="b">
        <f>D93='d3'!J46</f>
        <v>1</v>
      </c>
      <c r="F93" s="197"/>
    </row>
    <row r="94" spans="1:6" ht="138.75" hidden="1" thickTop="1" thickBot="1" x14ac:dyDescent="0.55000000000000004">
      <c r="A94" s="128" t="s">
        <v>1248</v>
      </c>
      <c r="B94" s="128" t="s">
        <v>514</v>
      </c>
      <c r="C94" s="442" t="s">
        <v>515</v>
      </c>
      <c r="D94" s="196">
        <v>0</v>
      </c>
      <c r="E94" s="362" t="b">
        <f>D94='d3'!P401</f>
        <v>1</v>
      </c>
      <c r="F94" s="197"/>
    </row>
    <row r="95" spans="1:6" ht="138.75" hidden="1" thickTop="1" thickBot="1" x14ac:dyDescent="0.55000000000000004">
      <c r="A95" s="128" t="s">
        <v>1248</v>
      </c>
      <c r="B95" s="128" t="s">
        <v>514</v>
      </c>
      <c r="C95" s="442" t="s">
        <v>515</v>
      </c>
      <c r="D95" s="196"/>
      <c r="E95" s="362" t="b">
        <f>D95='d3'!J401</f>
        <v>1</v>
      </c>
      <c r="F95" s="197"/>
    </row>
    <row r="96" spans="1:6" ht="47.25" thickTop="1" thickBot="1" x14ac:dyDescent="0.55000000000000004">
      <c r="A96" s="103" t="s">
        <v>1292</v>
      </c>
      <c r="B96" s="103"/>
      <c r="C96" s="561" t="s">
        <v>574</v>
      </c>
      <c r="D96" s="318">
        <f>D93+D95</f>
        <v>154248831.86000001</v>
      </c>
      <c r="E96" s="197"/>
      <c r="F96" s="197"/>
    </row>
    <row r="97" spans="1:12" ht="47.25" hidden="1" thickTop="1" thickBot="1" x14ac:dyDescent="0.55000000000000004">
      <c r="A97" s="198" t="s">
        <v>1030</v>
      </c>
      <c r="B97" s="198" t="s">
        <v>363</v>
      </c>
      <c r="C97" s="200" t="s">
        <v>364</v>
      </c>
      <c r="D97" s="199">
        <v>0</v>
      </c>
      <c r="E97" s="362" t="b">
        <f>D97='d3'!J106</f>
        <v>1</v>
      </c>
      <c r="F97" s="197"/>
    </row>
    <row r="98" spans="1:12" ht="47.25" hidden="1" thickTop="1" thickBot="1" x14ac:dyDescent="0.55000000000000004">
      <c r="A98" s="198" t="s">
        <v>1109</v>
      </c>
      <c r="B98" s="198" t="s">
        <v>363</v>
      </c>
      <c r="C98" s="200" t="s">
        <v>364</v>
      </c>
      <c r="D98" s="199">
        <v>0</v>
      </c>
      <c r="E98" s="362" t="b">
        <f>D98='d3'!J255</f>
        <v>1</v>
      </c>
      <c r="F98" s="197"/>
    </row>
    <row r="99" spans="1:12" ht="47.25" hidden="1" thickTop="1" thickBot="1" x14ac:dyDescent="0.55000000000000004">
      <c r="A99" s="128" t="s">
        <v>1485</v>
      </c>
      <c r="B99" s="128" t="s">
        <v>363</v>
      </c>
      <c r="C99" s="442" t="s">
        <v>364</v>
      </c>
      <c r="D99" s="196"/>
      <c r="E99" s="362" t="b">
        <f>D99='d3'!J318</f>
        <v>1</v>
      </c>
      <c r="F99" s="197"/>
    </row>
    <row r="100" spans="1:12" ht="47.25" hidden="1" thickTop="1" thickBot="1" x14ac:dyDescent="0.55000000000000004">
      <c r="A100" s="128" t="s">
        <v>908</v>
      </c>
      <c r="B100" s="128" t="s">
        <v>363</v>
      </c>
      <c r="C100" s="442" t="s">
        <v>364</v>
      </c>
      <c r="D100" s="196">
        <v>0</v>
      </c>
      <c r="E100" s="362" t="b">
        <f>D100='d3'!J391</f>
        <v>1</v>
      </c>
      <c r="F100" s="197"/>
    </row>
    <row r="101" spans="1:12" ht="47.25" hidden="1" thickTop="1" thickBot="1" x14ac:dyDescent="0.55000000000000004">
      <c r="A101" s="128" t="s">
        <v>1296</v>
      </c>
      <c r="B101" s="128"/>
      <c r="C101" s="442" t="s">
        <v>609</v>
      </c>
      <c r="D101" s="196">
        <f>SUM(D97:D100)</f>
        <v>0</v>
      </c>
      <c r="E101" s="197"/>
      <c r="F101" s="197"/>
    </row>
    <row r="102" spans="1:12" ht="47.25" hidden="1" thickTop="1" thickBot="1" x14ac:dyDescent="0.55000000000000004">
      <c r="A102" s="437"/>
      <c r="B102" s="437"/>
      <c r="C102" s="439"/>
      <c r="D102" s="443"/>
      <c r="E102" s="197"/>
      <c r="F102" s="197"/>
    </row>
    <row r="103" spans="1:12" ht="84.75" customHeight="1" thickTop="1" thickBot="1" x14ac:dyDescent="0.25">
      <c r="A103" s="709" t="s">
        <v>381</v>
      </c>
      <c r="B103" s="709" t="s">
        <v>381</v>
      </c>
      <c r="C103" s="710" t="s">
        <v>598</v>
      </c>
      <c r="D103" s="711">
        <f>D75+D76+D78+D82+D84+D87+D91+D96+D101+D89</f>
        <v>261956568</v>
      </c>
      <c r="E103" s="703" t="b">
        <f>D103=D104+D105</f>
        <v>1</v>
      </c>
      <c r="F103" s="703" t="b">
        <f>D103=D90+'d7'!G45+'d7'!G46+'d7'!G47+'d7'!G48+'d7'!G49+'d7'!G50+'d7'!G51+'d7'!G52+'d7'!G53+'d7'!G55+'d7'!G56+'d7'!G323+'d7'!G346+'d7'!G43+'d7'!G44+'d7'!G57+'d7'!G339+'d7'!G284+'d7'!G54</f>
        <v>1</v>
      </c>
    </row>
    <row r="104" spans="1:12" ht="47.25" thickTop="1" thickBot="1" x14ac:dyDescent="0.55000000000000004">
      <c r="A104" s="103" t="s">
        <v>381</v>
      </c>
      <c r="B104" s="103" t="s">
        <v>381</v>
      </c>
      <c r="C104" s="561" t="s">
        <v>386</v>
      </c>
      <c r="D104" s="318">
        <f>'d3'!E42+'d3'!E370+'d3'!E400+'d3'!E426+'d3'!E391+'d3'!E318</f>
        <v>107707736.14</v>
      </c>
      <c r="E104" s="703" t="b">
        <f>D104=D74+D77+D83+D86+D90+D79+D85+D81+D80+D88</f>
        <v>1</v>
      </c>
      <c r="F104" s="444"/>
    </row>
    <row r="105" spans="1:12" ht="47.25" thickTop="1" thickBot="1" x14ac:dyDescent="0.55000000000000004">
      <c r="A105" s="103" t="s">
        <v>381</v>
      </c>
      <c r="B105" s="103" t="s">
        <v>381</v>
      </c>
      <c r="C105" s="561" t="s">
        <v>387</v>
      </c>
      <c r="D105" s="318">
        <f>'d3'!J42+'d3'!J370+'d3'!J400+'d3'!J426+'d3'!J318</f>
        <v>154248831.86000001</v>
      </c>
      <c r="E105" s="703" t="b">
        <f>D105=D95+D93+D99</f>
        <v>1</v>
      </c>
      <c r="F105" s="444"/>
    </row>
    <row r="106" spans="1:12" ht="91.5" customHeight="1" thickTop="1" x14ac:dyDescent="0.2">
      <c r="A106" s="15"/>
      <c r="B106" s="16"/>
      <c r="C106" s="16"/>
      <c r="D106" s="16"/>
      <c r="E106" s="13"/>
      <c r="F106" s="13"/>
    </row>
    <row r="107" spans="1:12" ht="45.75" x14ac:dyDescent="0.65">
      <c r="A107" s="15"/>
      <c r="B107" s="861" t="s">
        <v>1480</v>
      </c>
      <c r="C107" s="758"/>
      <c r="D107" s="2" t="s">
        <v>1481</v>
      </c>
      <c r="E107" s="384"/>
      <c r="F107" s="201"/>
      <c r="G107" s="202"/>
      <c r="H107" s="201"/>
      <c r="I107" s="201"/>
      <c r="J107" s="203"/>
      <c r="K107" s="203"/>
      <c r="L107" s="203"/>
    </row>
    <row r="108" spans="1:12" ht="45.75" hidden="1" x14ac:dyDescent="0.65">
      <c r="A108" s="15"/>
      <c r="B108" s="3" t="s">
        <v>1445</v>
      </c>
      <c r="C108" s="319"/>
      <c r="D108" s="3" t="s">
        <v>1446</v>
      </c>
      <c r="E108" s="384"/>
      <c r="F108" s="201"/>
      <c r="G108" s="202"/>
      <c r="H108" s="201"/>
      <c r="I108" s="201"/>
      <c r="J108" s="203"/>
      <c r="K108" s="203"/>
      <c r="L108" s="203"/>
    </row>
    <row r="109" spans="1:12" ht="27.75" customHeight="1" x14ac:dyDescent="0.65">
      <c r="A109" s="76"/>
      <c r="B109" s="3"/>
      <c r="C109" s="3"/>
      <c r="D109" s="3"/>
      <c r="E109" s="385"/>
      <c r="F109" s="13"/>
    </row>
    <row r="110" spans="1:12" ht="42" customHeight="1" x14ac:dyDescent="0.65">
      <c r="A110" s="75"/>
      <c r="B110" s="861" t="s">
        <v>523</v>
      </c>
      <c r="C110" s="758"/>
      <c r="D110" s="3" t="s">
        <v>1346</v>
      </c>
      <c r="E110" s="385"/>
      <c r="F110" s="435"/>
      <c r="G110" s="434"/>
      <c r="H110" s="435"/>
      <c r="I110" s="435"/>
    </row>
    <row r="111" spans="1:12" ht="45.75" x14ac:dyDescent="0.65">
      <c r="A111" s="192"/>
      <c r="B111" s="862"/>
      <c r="C111" s="863"/>
      <c r="D111" s="201"/>
      <c r="E111" s="13"/>
      <c r="F111" s="13"/>
    </row>
    <row r="112" spans="1:12" ht="45.75" x14ac:dyDescent="0.65">
      <c r="A112" s="192"/>
      <c r="B112" s="849"/>
      <c r="C112" s="849"/>
      <c r="D112" s="849"/>
      <c r="E112" s="13"/>
      <c r="F112" s="13"/>
    </row>
    <row r="115" spans="1:4" x14ac:dyDescent="0.2">
      <c r="A115" s="194"/>
      <c r="B115" s="194"/>
      <c r="C115" s="194"/>
    </row>
    <row r="117" spans="1:4" x14ac:dyDescent="0.2">
      <c r="A117" s="194"/>
      <c r="B117" s="194"/>
      <c r="C117" s="194"/>
    </row>
    <row r="121" spans="1:4" x14ac:dyDescent="0.2">
      <c r="A121" s="194"/>
      <c r="B121" s="194"/>
      <c r="C121" s="194"/>
      <c r="D121" s="194"/>
    </row>
    <row r="122" spans="1:4" x14ac:dyDescent="0.2">
      <c r="A122" s="194"/>
      <c r="B122" s="194"/>
      <c r="C122" s="194"/>
      <c r="D122" s="194"/>
    </row>
    <row r="123" spans="1:4" x14ac:dyDescent="0.2">
      <c r="A123" s="194"/>
      <c r="B123" s="194"/>
      <c r="C123" s="194"/>
      <c r="D123" s="194"/>
    </row>
    <row r="124" spans="1:4" x14ac:dyDescent="0.2">
      <c r="A124" s="194"/>
      <c r="B124" s="194"/>
      <c r="C124" s="194"/>
      <c r="D124" s="194"/>
    </row>
  </sheetData>
  <mergeCells count="78">
    <mergeCell ref="B15:C15"/>
    <mergeCell ref="B16:C16"/>
    <mergeCell ref="B48:C48"/>
    <mergeCell ref="A31:A32"/>
    <mergeCell ref="D31:D32"/>
    <mergeCell ref="B37:C37"/>
    <mergeCell ref="B43:C43"/>
    <mergeCell ref="A43:A44"/>
    <mergeCell ref="D43:D44"/>
    <mergeCell ref="B44:C44"/>
    <mergeCell ref="A33:A34"/>
    <mergeCell ref="D33:D34"/>
    <mergeCell ref="A35:A36"/>
    <mergeCell ref="D35:D36"/>
    <mergeCell ref="B39:C39"/>
    <mergeCell ref="B41:C41"/>
    <mergeCell ref="A9:D9"/>
    <mergeCell ref="A13:D13"/>
    <mergeCell ref="B11:C11"/>
    <mergeCell ref="B12:C12"/>
    <mergeCell ref="B14:C14"/>
    <mergeCell ref="B19:C19"/>
    <mergeCell ref="B17:C17"/>
    <mergeCell ref="B26:C26"/>
    <mergeCell ref="B27:C27"/>
    <mergeCell ref="B20:C20"/>
    <mergeCell ref="B24:C24"/>
    <mergeCell ref="B18:C18"/>
    <mergeCell ref="B22:C22"/>
    <mergeCell ref="B23:C23"/>
    <mergeCell ref="B21:C21"/>
    <mergeCell ref="B25:C25"/>
    <mergeCell ref="N3:O3"/>
    <mergeCell ref="N4:O4"/>
    <mergeCell ref="N5:O5"/>
    <mergeCell ref="A6:D6"/>
    <mergeCell ref="A7:D7"/>
    <mergeCell ref="A5:D5"/>
    <mergeCell ref="B46:C46"/>
    <mergeCell ref="B28:C28"/>
    <mergeCell ref="B30:C30"/>
    <mergeCell ref="B29:C29"/>
    <mergeCell ref="B40:C40"/>
    <mergeCell ref="B42:C42"/>
    <mergeCell ref="B31:C31"/>
    <mergeCell ref="B32:C32"/>
    <mergeCell ref="B35:C35"/>
    <mergeCell ref="B45:C45"/>
    <mergeCell ref="B38:C38"/>
    <mergeCell ref="B36:C36"/>
    <mergeCell ref="B33:C33"/>
    <mergeCell ref="B34:C34"/>
    <mergeCell ref="B111:C111"/>
    <mergeCell ref="B50:C50"/>
    <mergeCell ref="B51:C51"/>
    <mergeCell ref="B53:C53"/>
    <mergeCell ref="B54:C54"/>
    <mergeCell ref="B55:C55"/>
    <mergeCell ref="A52:D52"/>
    <mergeCell ref="B59:C59"/>
    <mergeCell ref="B107:C107"/>
    <mergeCell ref="B60:C60"/>
    <mergeCell ref="B47:C47"/>
    <mergeCell ref="B49:C49"/>
    <mergeCell ref="B112:D112"/>
    <mergeCell ref="A73:D73"/>
    <mergeCell ref="A92:D92"/>
    <mergeCell ref="B56:C56"/>
    <mergeCell ref="B65:C65"/>
    <mergeCell ref="B66:C66"/>
    <mergeCell ref="B64:C64"/>
    <mergeCell ref="B57:C57"/>
    <mergeCell ref="B61:C61"/>
    <mergeCell ref="A69:D69"/>
    <mergeCell ref="B62:C62"/>
    <mergeCell ref="B63:C63"/>
    <mergeCell ref="B58:C58"/>
    <mergeCell ref="B110:C110"/>
  </mergeCells>
  <pageMargins left="0.23622047244094491" right="0.27559055118110237" top="0.27559055118110237" bottom="0.15748031496062992" header="0.23622047244094491" footer="0.27559055118110237"/>
  <pageSetup paperSize="9" scale="30" fitToHeight="0" orientation="portrait" horizontalDpi="4294967295" verticalDpi="4294967295" r:id="rId1"/>
  <headerFooter alignWithMargins="0">
    <oddFooter>&amp;C&amp;"Times New Roman Cyr,курсив"Сторінка &amp;P з &amp;N</oddFooter>
  </headerFooter>
  <rowBreaks count="1" manualBreakCount="1">
    <brk id="111"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62"/>
  <sheetViews>
    <sheetView view="pageBreakPreview" topLeftCell="B1" zoomScale="70" zoomScaleNormal="40" zoomScaleSheetLayoutView="70" workbookViewId="0">
      <pane ySplit="10" topLeftCell="A120" activePane="bottomLeft" state="frozen"/>
      <selection activeCell="G144" sqref="G144"/>
      <selection pane="bottomLeft" activeCell="G2" sqref="G2:K2"/>
    </sheetView>
  </sheetViews>
  <sheetFormatPr defaultColWidth="7.85546875" defaultRowHeight="12.75" x14ac:dyDescent="0.2"/>
  <cols>
    <col min="1" max="1" width="3.28515625" style="170" hidden="1" customWidth="1"/>
    <col min="2" max="3" width="15.42578125" style="11" customWidth="1"/>
    <col min="4" max="4" width="16.85546875" style="11" customWidth="1"/>
    <col min="5" max="5" width="41.5703125" style="11" customWidth="1"/>
    <col min="6" max="6" width="48.7109375" style="11" customWidth="1"/>
    <col min="7" max="8" width="18.140625" style="252" customWidth="1"/>
    <col min="9" max="9" width="20.28515625" style="252" customWidth="1"/>
    <col min="10" max="10" width="23" style="252" customWidth="1"/>
    <col min="11" max="11" width="18.140625" style="252" customWidth="1"/>
    <col min="12" max="14" width="15.42578125" style="170" bestFit="1" customWidth="1"/>
    <col min="15" max="15" width="12.7109375" style="170" customWidth="1"/>
    <col min="16" max="16384" width="7.85546875" style="170"/>
  </cols>
  <sheetData>
    <row r="1" spans="2:18" s="248" customFormat="1" ht="22.7" customHeight="1" x14ac:dyDescent="0.25">
      <c r="B1" s="893"/>
      <c r="C1" s="893"/>
      <c r="D1" s="893"/>
      <c r="E1" s="893"/>
      <c r="F1" s="893"/>
      <c r="G1" s="893"/>
      <c r="H1" s="893"/>
      <c r="I1" s="893"/>
      <c r="J1" s="893"/>
      <c r="K1" s="893"/>
    </row>
    <row r="2" spans="2:18" ht="41.25" customHeight="1" x14ac:dyDescent="0.2">
      <c r="B2" s="332"/>
      <c r="C2" s="332"/>
      <c r="D2" s="332"/>
      <c r="E2" s="332"/>
      <c r="F2" s="332"/>
      <c r="G2" s="832" t="s">
        <v>1633</v>
      </c>
      <c r="H2" s="832"/>
      <c r="I2" s="832"/>
      <c r="J2" s="832"/>
      <c r="K2" s="832"/>
    </row>
    <row r="3" spans="2:18" ht="29.25" customHeight="1" x14ac:dyDescent="0.2">
      <c r="B3" s="332"/>
      <c r="C3" s="332"/>
      <c r="D3" s="332"/>
      <c r="E3" s="332"/>
      <c r="F3" s="332"/>
      <c r="G3" s="333"/>
      <c r="H3" s="333"/>
      <c r="I3" s="333"/>
      <c r="J3" s="333"/>
      <c r="K3" s="333"/>
    </row>
    <row r="4" spans="2:18" ht="31.7" customHeight="1" x14ac:dyDescent="0.2">
      <c r="B4" s="894" t="s">
        <v>1113</v>
      </c>
      <c r="C4" s="833"/>
      <c r="D4" s="833"/>
      <c r="E4" s="833"/>
      <c r="F4" s="833"/>
      <c r="G4" s="833"/>
      <c r="H4" s="833"/>
      <c r="I4" s="833"/>
      <c r="J4" s="833"/>
      <c r="K4" s="833"/>
    </row>
    <row r="5" spans="2:18" ht="31.7" customHeight="1" x14ac:dyDescent="0.2">
      <c r="B5" s="894" t="s">
        <v>1114</v>
      </c>
      <c r="C5" s="833"/>
      <c r="D5" s="833"/>
      <c r="E5" s="833"/>
      <c r="F5" s="833"/>
      <c r="G5" s="833"/>
      <c r="H5" s="833"/>
      <c r="I5" s="833"/>
      <c r="J5" s="833"/>
      <c r="K5" s="833"/>
    </row>
    <row r="6" spans="2:18" ht="24.75" customHeight="1" x14ac:dyDescent="0.2">
      <c r="B6" s="894" t="s">
        <v>1523</v>
      </c>
      <c r="C6" s="833"/>
      <c r="D6" s="833"/>
      <c r="E6" s="833"/>
      <c r="F6" s="833"/>
      <c r="G6" s="833"/>
      <c r="H6" s="833"/>
      <c r="I6" s="833"/>
      <c r="J6" s="833"/>
      <c r="K6" s="833"/>
    </row>
    <row r="7" spans="2:18" ht="18.75" x14ac:dyDescent="0.2">
      <c r="B7" s="838">
        <v>2256400000</v>
      </c>
      <c r="C7" s="839"/>
      <c r="D7" s="334"/>
      <c r="E7" s="334"/>
      <c r="F7" s="334"/>
      <c r="G7" s="334"/>
      <c r="H7" s="334"/>
      <c r="I7" s="334"/>
      <c r="J7" s="334"/>
      <c r="K7" s="334"/>
    </row>
    <row r="8" spans="2:18" ht="19.5" thickBot="1" x14ac:dyDescent="0.25">
      <c r="B8" s="840" t="s">
        <v>490</v>
      </c>
      <c r="C8" s="841"/>
      <c r="D8" s="334"/>
      <c r="E8" s="334"/>
      <c r="F8" s="334"/>
      <c r="G8" s="334"/>
      <c r="H8" s="334"/>
      <c r="I8" s="334"/>
      <c r="J8" s="334"/>
      <c r="K8" s="334"/>
    </row>
    <row r="9" spans="2:18" ht="120" customHeight="1" thickTop="1" thickBot="1" x14ac:dyDescent="0.25">
      <c r="B9" s="335" t="s">
        <v>491</v>
      </c>
      <c r="C9" s="335" t="s">
        <v>492</v>
      </c>
      <c r="D9" s="335" t="s">
        <v>390</v>
      </c>
      <c r="E9" s="335" t="s">
        <v>573</v>
      </c>
      <c r="F9" s="336" t="s">
        <v>1115</v>
      </c>
      <c r="G9" s="336" t="s">
        <v>1116</v>
      </c>
      <c r="H9" s="336" t="s">
        <v>1117</v>
      </c>
      <c r="I9" s="336" t="s">
        <v>1118</v>
      </c>
      <c r="J9" s="336" t="s">
        <v>1557</v>
      </c>
      <c r="K9" s="336" t="s">
        <v>1558</v>
      </c>
      <c r="L9" s="205"/>
      <c r="M9" s="205"/>
      <c r="N9" s="205"/>
      <c r="O9" s="205"/>
      <c r="P9" s="205"/>
      <c r="Q9" s="205"/>
      <c r="R9" s="205"/>
    </row>
    <row r="10" spans="2:18" ht="16.5" thickTop="1" thickBot="1" x14ac:dyDescent="0.25">
      <c r="B10" s="335">
        <v>1</v>
      </c>
      <c r="C10" s="335">
        <v>2</v>
      </c>
      <c r="D10" s="335">
        <v>3</v>
      </c>
      <c r="E10" s="335">
        <v>4</v>
      </c>
      <c r="F10" s="335">
        <v>5</v>
      </c>
      <c r="G10" s="335">
        <v>6</v>
      </c>
      <c r="H10" s="335">
        <v>7</v>
      </c>
      <c r="I10" s="335">
        <v>8</v>
      </c>
      <c r="J10" s="335">
        <v>9</v>
      </c>
      <c r="K10" s="335">
        <v>10</v>
      </c>
      <c r="L10" s="205"/>
      <c r="M10" s="205"/>
      <c r="N10" s="205"/>
      <c r="O10" s="205"/>
      <c r="P10" s="205"/>
      <c r="Q10" s="205"/>
      <c r="R10" s="205"/>
    </row>
    <row r="11" spans="2:18" ht="31.5" hidden="1" thickTop="1" thickBot="1" x14ac:dyDescent="0.25">
      <c r="B11" s="206" t="s">
        <v>148</v>
      </c>
      <c r="C11" s="206"/>
      <c r="D11" s="206"/>
      <c r="E11" s="207" t="s">
        <v>150</v>
      </c>
      <c r="F11" s="206"/>
      <c r="G11" s="206"/>
      <c r="H11" s="206"/>
      <c r="I11" s="207"/>
      <c r="J11" s="208">
        <f>J12</f>
        <v>0</v>
      </c>
      <c r="K11" s="206"/>
      <c r="L11" s="205"/>
      <c r="M11" s="205"/>
      <c r="N11" s="205"/>
      <c r="O11" s="205"/>
      <c r="P11" s="205"/>
      <c r="Q11" s="205"/>
      <c r="R11" s="205"/>
    </row>
    <row r="12" spans="2:18" ht="44.25" hidden="1" thickTop="1" thickBot="1" x14ac:dyDescent="0.25">
      <c r="B12" s="209" t="s">
        <v>149</v>
      </c>
      <c r="C12" s="209"/>
      <c r="D12" s="209"/>
      <c r="E12" s="210" t="s">
        <v>151</v>
      </c>
      <c r="F12" s="209"/>
      <c r="G12" s="209"/>
      <c r="H12" s="209"/>
      <c r="I12" s="210"/>
      <c r="J12" s="211">
        <f>SUM(J13:J18)</f>
        <v>0</v>
      </c>
      <c r="K12" s="209"/>
      <c r="L12" s="205"/>
      <c r="M12" s="205"/>
      <c r="N12" s="205"/>
      <c r="O12" s="205"/>
      <c r="P12" s="205"/>
      <c r="Q12" s="205"/>
      <c r="R12" s="205"/>
    </row>
    <row r="13" spans="2:18" ht="76.5" hidden="1" thickTop="1" thickBot="1" x14ac:dyDescent="0.25">
      <c r="B13" s="212" t="s">
        <v>232</v>
      </c>
      <c r="C13" s="212" t="s">
        <v>233</v>
      </c>
      <c r="D13" s="212" t="s">
        <v>234</v>
      </c>
      <c r="E13" s="212" t="s">
        <v>231</v>
      </c>
      <c r="F13" s="213" t="s">
        <v>520</v>
      </c>
      <c r="G13" s="214"/>
      <c r="H13" s="215"/>
      <c r="I13" s="214"/>
      <c r="J13" s="216"/>
      <c r="K13" s="216"/>
      <c r="L13" s="205"/>
      <c r="M13" s="205"/>
      <c r="N13" s="205"/>
      <c r="O13" s="205"/>
      <c r="P13" s="205"/>
      <c r="Q13" s="205"/>
      <c r="R13" s="205"/>
    </row>
    <row r="14" spans="2:18" ht="76.5" hidden="1" thickTop="1" thickBot="1" x14ac:dyDescent="0.25">
      <c r="B14" s="212" t="s">
        <v>232</v>
      </c>
      <c r="C14" s="212" t="s">
        <v>233</v>
      </c>
      <c r="D14" s="212" t="s">
        <v>234</v>
      </c>
      <c r="E14" s="212" t="s">
        <v>231</v>
      </c>
      <c r="F14" s="213" t="s">
        <v>1093</v>
      </c>
      <c r="G14" s="217" t="s">
        <v>558</v>
      </c>
      <c r="H14" s="218"/>
      <c r="I14" s="219"/>
      <c r="J14" s="216"/>
      <c r="K14" s="219"/>
      <c r="L14" s="205"/>
      <c r="M14" s="205"/>
      <c r="N14" s="205"/>
      <c r="O14" s="205"/>
      <c r="P14" s="205"/>
      <c r="Q14" s="205"/>
      <c r="R14" s="205"/>
    </row>
    <row r="15" spans="2:18" ht="31.5" hidden="1" thickTop="1" thickBot="1" x14ac:dyDescent="0.25">
      <c r="B15" s="212" t="s">
        <v>238</v>
      </c>
      <c r="C15" s="212" t="s">
        <v>239</v>
      </c>
      <c r="D15" s="212" t="s">
        <v>240</v>
      </c>
      <c r="E15" s="212" t="s">
        <v>237</v>
      </c>
      <c r="F15" s="213" t="s">
        <v>520</v>
      </c>
      <c r="G15" s="214"/>
      <c r="H15" s="215"/>
      <c r="I15" s="214"/>
      <c r="J15" s="216"/>
      <c r="K15" s="216"/>
      <c r="L15" s="205"/>
      <c r="M15" s="205"/>
      <c r="N15" s="205"/>
      <c r="O15" s="205"/>
      <c r="P15" s="205"/>
      <c r="Q15" s="205"/>
      <c r="R15" s="205"/>
    </row>
    <row r="16" spans="2:18" ht="61.5" hidden="1" thickTop="1" thickBot="1" x14ac:dyDescent="0.25">
      <c r="B16" s="212" t="s">
        <v>513</v>
      </c>
      <c r="C16" s="212" t="s">
        <v>514</v>
      </c>
      <c r="D16" s="212" t="s">
        <v>43</v>
      </c>
      <c r="E16" s="212" t="s">
        <v>515</v>
      </c>
      <c r="F16" s="213" t="s">
        <v>520</v>
      </c>
      <c r="G16" s="214"/>
      <c r="H16" s="215"/>
      <c r="I16" s="214"/>
      <c r="J16" s="216"/>
      <c r="K16" s="216"/>
      <c r="L16" s="205"/>
      <c r="M16" s="205"/>
      <c r="N16" s="205"/>
      <c r="O16" s="205"/>
      <c r="P16" s="205"/>
      <c r="Q16" s="205"/>
      <c r="R16" s="205"/>
    </row>
    <row r="17" spans="1:18" ht="151.5" hidden="1" thickTop="1" thickBot="1" x14ac:dyDescent="0.25">
      <c r="B17" s="212" t="s">
        <v>513</v>
      </c>
      <c r="C17" s="212" t="s">
        <v>514</v>
      </c>
      <c r="D17" s="212" t="s">
        <v>43</v>
      </c>
      <c r="E17" s="212" t="s">
        <v>515</v>
      </c>
      <c r="F17" s="213" t="s">
        <v>1106</v>
      </c>
      <c r="G17" s="214"/>
      <c r="H17" s="215"/>
      <c r="I17" s="214"/>
      <c r="J17" s="216"/>
      <c r="K17" s="216"/>
      <c r="L17" s="205"/>
      <c r="M17" s="205"/>
      <c r="N17" s="205"/>
      <c r="O17" s="205"/>
      <c r="P17" s="205"/>
      <c r="Q17" s="205"/>
      <c r="R17" s="205"/>
    </row>
    <row r="18" spans="1:18" ht="61.5" hidden="1" thickTop="1" thickBot="1" x14ac:dyDescent="0.25">
      <c r="B18" s="212" t="s">
        <v>513</v>
      </c>
      <c r="C18" s="212" t="s">
        <v>514</v>
      </c>
      <c r="D18" s="212" t="s">
        <v>43</v>
      </c>
      <c r="E18" s="212" t="s">
        <v>515</v>
      </c>
      <c r="F18" s="213" t="s">
        <v>933</v>
      </c>
      <c r="G18" s="214"/>
      <c r="H18" s="215"/>
      <c r="I18" s="214"/>
      <c r="J18" s="216"/>
      <c r="K18" s="216"/>
      <c r="L18" s="205"/>
      <c r="M18" s="205"/>
      <c r="N18" s="205"/>
      <c r="O18" s="205"/>
      <c r="P18" s="205"/>
      <c r="Q18" s="205"/>
      <c r="R18" s="205"/>
    </row>
    <row r="19" spans="1:18" ht="65.099999999999994" customHeight="1" thickTop="1" thickBot="1" x14ac:dyDescent="0.25">
      <c r="A19" s="249"/>
      <c r="B19" s="684" t="s">
        <v>152</v>
      </c>
      <c r="C19" s="684"/>
      <c r="D19" s="684"/>
      <c r="E19" s="685" t="s">
        <v>0</v>
      </c>
      <c r="F19" s="684"/>
      <c r="G19" s="684"/>
      <c r="H19" s="686">
        <f>H20</f>
        <v>136869896</v>
      </c>
      <c r="I19" s="686">
        <f>I20</f>
        <v>74169123.290000007</v>
      </c>
      <c r="J19" s="686">
        <f>J20</f>
        <v>59109673.500000007</v>
      </c>
      <c r="K19" s="723"/>
      <c r="L19" s="205"/>
      <c r="M19" s="205"/>
      <c r="N19" s="205"/>
      <c r="O19" s="205"/>
      <c r="P19" s="205"/>
      <c r="Q19" s="205"/>
      <c r="R19" s="205"/>
    </row>
    <row r="20" spans="1:18" ht="65.099999999999994" customHeight="1" thickTop="1" thickBot="1" x14ac:dyDescent="0.25">
      <c r="A20" s="249"/>
      <c r="B20" s="688" t="s">
        <v>153</v>
      </c>
      <c r="C20" s="688"/>
      <c r="D20" s="688"/>
      <c r="E20" s="689" t="s">
        <v>1</v>
      </c>
      <c r="F20" s="688"/>
      <c r="G20" s="688"/>
      <c r="H20" s="724">
        <f>H22+H24+H25+H26+H27+H21</f>
        <v>136869896</v>
      </c>
      <c r="I20" s="724">
        <f>I22+I24+I25+I26+I27+I21</f>
        <v>74169123.290000007</v>
      </c>
      <c r="J20" s="724">
        <f>J22+J24+J25+J26+J27+J21</f>
        <v>59109673.500000007</v>
      </c>
      <c r="K20" s="725"/>
      <c r="L20" s="205"/>
      <c r="M20" s="205"/>
      <c r="N20" s="205"/>
      <c r="O20" s="205"/>
      <c r="P20" s="205"/>
      <c r="Q20" s="205"/>
      <c r="R20" s="205"/>
    </row>
    <row r="21" spans="1:18" ht="61.5" thickTop="1" thickBot="1" x14ac:dyDescent="0.25">
      <c r="A21" s="249"/>
      <c r="B21" s="331" t="s">
        <v>641</v>
      </c>
      <c r="C21" s="331" t="s">
        <v>642</v>
      </c>
      <c r="D21" s="331" t="s">
        <v>204</v>
      </c>
      <c r="E21" s="331" t="s">
        <v>1276</v>
      </c>
      <c r="F21" s="648" t="s">
        <v>1576</v>
      </c>
      <c r="G21" s="338" t="s">
        <v>1577</v>
      </c>
      <c r="H21" s="339">
        <v>4405109</v>
      </c>
      <c r="I21" s="339">
        <f>2110572.76+45090+J21</f>
        <v>3405109</v>
      </c>
      <c r="J21" s="341">
        <f>2249446.24-1000000</f>
        <v>1249446.2400000002</v>
      </c>
      <c r="K21" s="342">
        <f>I21/H21</f>
        <v>0.77299086129310313</v>
      </c>
      <c r="L21" s="205"/>
      <c r="M21" s="205"/>
      <c r="N21" s="205"/>
      <c r="O21" s="205"/>
      <c r="P21" s="205"/>
      <c r="Q21" s="205"/>
      <c r="R21" s="205"/>
    </row>
    <row r="22" spans="1:18" ht="76.5" thickTop="1" thickBot="1" x14ac:dyDescent="0.25">
      <c r="A22" s="340"/>
      <c r="B22" s="331" t="s">
        <v>1393</v>
      </c>
      <c r="C22" s="331" t="s">
        <v>1394</v>
      </c>
      <c r="D22" s="331" t="s">
        <v>210</v>
      </c>
      <c r="E22" s="331" t="s">
        <v>1553</v>
      </c>
      <c r="F22" s="337" t="s">
        <v>1460</v>
      </c>
      <c r="G22" s="338" t="s">
        <v>1457</v>
      </c>
      <c r="H22" s="339">
        <v>41197697</v>
      </c>
      <c r="I22" s="339">
        <f>2323251.03+4691300.88+J22</f>
        <v>34014551.909999996</v>
      </c>
      <c r="J22" s="339">
        <f>((5000000)+10000000)+12000000</f>
        <v>27000000</v>
      </c>
      <c r="K22" s="342">
        <f>(I22+I23-I23)/H22</f>
        <v>0.82564207193426364</v>
      </c>
      <c r="L22" s="228"/>
      <c r="M22" s="229"/>
      <c r="N22" s="205"/>
      <c r="O22" s="205"/>
      <c r="P22" s="205"/>
      <c r="Q22" s="205"/>
      <c r="R22" s="205"/>
    </row>
    <row r="23" spans="1:18" ht="61.5" hidden="1" thickTop="1" thickBot="1" x14ac:dyDescent="0.25">
      <c r="A23" s="340"/>
      <c r="B23" s="222" t="s">
        <v>1395</v>
      </c>
      <c r="C23" s="222" t="s">
        <v>1396</v>
      </c>
      <c r="D23" s="222" t="s">
        <v>210</v>
      </c>
      <c r="E23" s="222" t="s">
        <v>1397</v>
      </c>
      <c r="F23" s="242" t="s">
        <v>1460</v>
      </c>
      <c r="G23" s="224" t="s">
        <v>1457</v>
      </c>
      <c r="H23" s="225">
        <v>41197697</v>
      </c>
      <c r="I23" s="225">
        <f>J23</f>
        <v>7200000</v>
      </c>
      <c r="J23" s="226">
        <v>7200000</v>
      </c>
      <c r="K23" s="227">
        <f>(I23+I22-I22)/H23</f>
        <v>0.17476705069217827</v>
      </c>
      <c r="L23" s="228"/>
      <c r="M23" s="229"/>
      <c r="N23" s="205"/>
      <c r="O23" s="205"/>
      <c r="P23" s="205"/>
      <c r="Q23" s="205"/>
      <c r="R23" s="205"/>
    </row>
    <row r="24" spans="1:18" ht="76.5" thickTop="1" thickBot="1" x14ac:dyDescent="0.25">
      <c r="A24" s="340"/>
      <c r="B24" s="331" t="s">
        <v>1102</v>
      </c>
      <c r="C24" s="331" t="s">
        <v>311</v>
      </c>
      <c r="D24" s="331" t="s">
        <v>304</v>
      </c>
      <c r="E24" s="331" t="s">
        <v>1301</v>
      </c>
      <c r="F24" s="337" t="s">
        <v>1458</v>
      </c>
      <c r="G24" s="338" t="s">
        <v>1457</v>
      </c>
      <c r="H24" s="339">
        <v>27852755</v>
      </c>
      <c r="I24" s="339">
        <f>4294746.41+J24</f>
        <v>26154973.670000002</v>
      </c>
      <c r="J24" s="339">
        <f>((5000000)+17260227.26)-400000</f>
        <v>21860227.260000002</v>
      </c>
      <c r="K24" s="342">
        <v>1</v>
      </c>
      <c r="L24" s="228"/>
      <c r="M24" s="229"/>
      <c r="N24" s="205"/>
      <c r="O24" s="205"/>
      <c r="P24" s="205"/>
      <c r="Q24" s="205"/>
      <c r="R24" s="205"/>
    </row>
    <row r="25" spans="1:18" ht="76.5" thickTop="1" thickBot="1" x14ac:dyDescent="0.25">
      <c r="A25" s="340"/>
      <c r="B25" s="331" t="s">
        <v>1102</v>
      </c>
      <c r="C25" s="331" t="s">
        <v>311</v>
      </c>
      <c r="D25" s="331" t="s">
        <v>304</v>
      </c>
      <c r="E25" s="331" t="s">
        <v>1301</v>
      </c>
      <c r="F25" s="337" t="s">
        <v>1578</v>
      </c>
      <c r="G25" s="338" t="s">
        <v>1457</v>
      </c>
      <c r="H25" s="339">
        <v>25022708</v>
      </c>
      <c r="I25" s="339">
        <f>539263.14+J25</f>
        <v>5539263.1399999997</v>
      </c>
      <c r="J25" s="339">
        <f>(2000000)+3000000</f>
        <v>5000000</v>
      </c>
      <c r="K25" s="342">
        <f>I25/H25</f>
        <v>0.22136945129999516</v>
      </c>
      <c r="L25" s="649" t="s">
        <v>1579</v>
      </c>
      <c r="M25" s="229"/>
      <c r="N25" s="205"/>
      <c r="O25" s="205"/>
      <c r="P25" s="205"/>
      <c r="Q25" s="205"/>
      <c r="R25" s="205"/>
    </row>
    <row r="26" spans="1:18" ht="91.5" thickTop="1" thickBot="1" x14ac:dyDescent="0.25">
      <c r="A26" s="340"/>
      <c r="B26" s="331" t="s">
        <v>1102</v>
      </c>
      <c r="C26" s="331" t="s">
        <v>311</v>
      </c>
      <c r="D26" s="331" t="s">
        <v>304</v>
      </c>
      <c r="E26" s="331" t="s">
        <v>1301</v>
      </c>
      <c r="F26" s="337" t="s">
        <v>1580</v>
      </c>
      <c r="G26" s="338" t="s">
        <v>1457</v>
      </c>
      <c r="H26" s="339">
        <v>18359547</v>
      </c>
      <c r="I26" s="339">
        <f>466622.37+J26</f>
        <v>2466622.37</v>
      </c>
      <c r="J26" s="339">
        <v>2000000</v>
      </c>
      <c r="K26" s="342">
        <f t="shared" ref="K26" si="0">I26/H26</f>
        <v>0.13435093850627142</v>
      </c>
      <c r="L26" s="649" t="s">
        <v>1579</v>
      </c>
      <c r="M26" s="229"/>
      <c r="N26" s="205"/>
      <c r="O26" s="205"/>
      <c r="P26" s="205"/>
      <c r="Q26" s="205"/>
      <c r="R26" s="205"/>
    </row>
    <row r="27" spans="1:18" ht="76.5" thickTop="1" thickBot="1" x14ac:dyDescent="0.25">
      <c r="A27" s="340"/>
      <c r="B27" s="331" t="s">
        <v>1102</v>
      </c>
      <c r="C27" s="331" t="s">
        <v>311</v>
      </c>
      <c r="D27" s="331" t="s">
        <v>304</v>
      </c>
      <c r="E27" s="331" t="s">
        <v>1301</v>
      </c>
      <c r="F27" s="337" t="s">
        <v>1459</v>
      </c>
      <c r="G27" s="338" t="s">
        <v>1457</v>
      </c>
      <c r="H27" s="339">
        <v>20032080</v>
      </c>
      <c r="I27" s="339">
        <f>588603.2+J27</f>
        <v>2588603.2000000002</v>
      </c>
      <c r="J27" s="339">
        <v>2000000</v>
      </c>
      <c r="K27" s="342">
        <f>I27/H27</f>
        <v>0.12922288649006994</v>
      </c>
      <c r="L27" s="228"/>
      <c r="M27" s="229"/>
      <c r="N27" s="205"/>
      <c r="O27" s="205"/>
      <c r="P27" s="205"/>
      <c r="Q27" s="205"/>
      <c r="R27" s="205"/>
    </row>
    <row r="28" spans="1:18" ht="61.5" hidden="1" thickTop="1" thickBot="1" x14ac:dyDescent="0.25">
      <c r="B28" s="222" t="s">
        <v>1102</v>
      </c>
      <c r="C28" s="222" t="s">
        <v>311</v>
      </c>
      <c r="D28" s="222" t="s">
        <v>304</v>
      </c>
      <c r="E28" s="222" t="s">
        <v>1238</v>
      </c>
      <c r="F28" s="223" t="s">
        <v>1133</v>
      </c>
      <c r="G28" s="224" t="s">
        <v>993</v>
      </c>
      <c r="H28" s="225">
        <v>4179432</v>
      </c>
      <c r="I28" s="226">
        <f>(49000)+13800</f>
        <v>62800</v>
      </c>
      <c r="J28" s="226">
        <f>(700000)-700000</f>
        <v>0</v>
      </c>
      <c r="K28" s="227">
        <f>(J28+I28)/H28</f>
        <v>1.5025965250780489E-2</v>
      </c>
      <c r="L28" s="230"/>
      <c r="M28" s="229"/>
      <c r="N28" s="205"/>
      <c r="O28" s="205"/>
      <c r="P28" s="205"/>
      <c r="Q28" s="205"/>
      <c r="R28" s="205"/>
    </row>
    <row r="29" spans="1:18" ht="65.099999999999994" customHeight="1" thickTop="1" thickBot="1" x14ac:dyDescent="0.25">
      <c r="B29" s="684" t="s">
        <v>154</v>
      </c>
      <c r="C29" s="684"/>
      <c r="D29" s="684"/>
      <c r="E29" s="685" t="s">
        <v>18</v>
      </c>
      <c r="F29" s="684"/>
      <c r="G29" s="684"/>
      <c r="H29" s="686">
        <f>H30</f>
        <v>7773427.5700000003</v>
      </c>
      <c r="I29" s="686">
        <f>I30</f>
        <v>5835937.54</v>
      </c>
      <c r="J29" s="686">
        <f>J30</f>
        <v>2058924.99</v>
      </c>
      <c r="K29" s="723"/>
      <c r="L29" s="205"/>
      <c r="M29" s="205"/>
      <c r="N29" s="205"/>
      <c r="O29" s="205"/>
      <c r="P29" s="205"/>
      <c r="Q29" s="205"/>
      <c r="R29" s="205"/>
    </row>
    <row r="30" spans="1:18" ht="65.099999999999994" customHeight="1" thickTop="1" thickBot="1" x14ac:dyDescent="0.25">
      <c r="B30" s="688" t="s">
        <v>155</v>
      </c>
      <c r="C30" s="688"/>
      <c r="D30" s="688"/>
      <c r="E30" s="689" t="s">
        <v>36</v>
      </c>
      <c r="F30" s="688"/>
      <c r="G30" s="688"/>
      <c r="H30" s="724">
        <f>H33</f>
        <v>7773427.5700000003</v>
      </c>
      <c r="I30" s="724">
        <f t="shared" ref="I30:J30" si="1">I33</f>
        <v>5835937.54</v>
      </c>
      <c r="J30" s="724">
        <f t="shared" si="1"/>
        <v>2058924.99</v>
      </c>
      <c r="K30" s="725"/>
      <c r="L30" s="205"/>
      <c r="M30" s="205"/>
      <c r="N30" s="205"/>
      <c r="O30" s="205"/>
      <c r="P30" s="205"/>
      <c r="Q30" s="205"/>
      <c r="R30" s="205"/>
    </row>
    <row r="31" spans="1:18" ht="76.5" hidden="1" thickTop="1" thickBot="1" x14ac:dyDescent="0.25">
      <c r="B31" s="212" t="s">
        <v>416</v>
      </c>
      <c r="C31" s="212" t="s">
        <v>236</v>
      </c>
      <c r="D31" s="212" t="s">
        <v>234</v>
      </c>
      <c r="E31" s="212" t="s">
        <v>235</v>
      </c>
      <c r="F31" s="213" t="s">
        <v>1094</v>
      </c>
      <c r="G31" s="217" t="s">
        <v>1095</v>
      </c>
      <c r="H31" s="218"/>
      <c r="I31" s="219"/>
      <c r="J31" s="216"/>
      <c r="K31" s="219"/>
      <c r="L31" s="205"/>
      <c r="M31" s="205"/>
      <c r="N31" s="205"/>
      <c r="O31" s="205"/>
      <c r="P31" s="205"/>
      <c r="Q31" s="205"/>
      <c r="R31" s="205"/>
    </row>
    <row r="32" spans="1:18" ht="76.5" hidden="1" thickTop="1" thickBot="1" x14ac:dyDescent="0.25">
      <c r="B32" s="222" t="s">
        <v>214</v>
      </c>
      <c r="C32" s="222" t="s">
        <v>211</v>
      </c>
      <c r="D32" s="222" t="s">
        <v>215</v>
      </c>
      <c r="E32" s="222" t="s">
        <v>19</v>
      </c>
      <c r="F32" s="231" t="s">
        <v>1121</v>
      </c>
      <c r="G32" s="224" t="s">
        <v>608</v>
      </c>
      <c r="H32" s="225">
        <v>24579593</v>
      </c>
      <c r="I32" s="225">
        <f>600000+5500000</f>
        <v>6100000</v>
      </c>
      <c r="J32" s="226"/>
      <c r="K32" s="227">
        <f>(J32+I32)/H32</f>
        <v>0.24817335258561848</v>
      </c>
      <c r="L32" s="205"/>
      <c r="M32" s="205"/>
      <c r="N32" s="205"/>
      <c r="O32" s="205"/>
      <c r="P32" s="205"/>
      <c r="Q32" s="205"/>
      <c r="R32" s="205"/>
    </row>
    <row r="33" spans="1:18" ht="161.25" customHeight="1" thickTop="1" thickBot="1" x14ac:dyDescent="0.25">
      <c r="B33" s="331" t="s">
        <v>1179</v>
      </c>
      <c r="C33" s="331" t="s">
        <v>1181</v>
      </c>
      <c r="D33" s="331" t="s">
        <v>304</v>
      </c>
      <c r="E33" s="331" t="s">
        <v>1563</v>
      </c>
      <c r="F33" s="646" t="s">
        <v>1564</v>
      </c>
      <c r="G33" s="338" t="s">
        <v>1457</v>
      </c>
      <c r="H33" s="339">
        <v>7773427.5700000003</v>
      </c>
      <c r="I33" s="339">
        <f>3730838.96+46173.59+J33</f>
        <v>5835937.54</v>
      </c>
      <c r="J33" s="341">
        <f>(0)+2058924.99</f>
        <v>2058924.99</v>
      </c>
      <c r="K33" s="342">
        <v>1</v>
      </c>
      <c r="L33" s="205"/>
      <c r="M33" s="205"/>
      <c r="N33" s="205"/>
      <c r="O33" s="205"/>
      <c r="P33" s="205"/>
      <c r="Q33" s="205"/>
      <c r="R33" s="205"/>
    </row>
    <row r="34" spans="1:18" ht="76.5" hidden="1" thickTop="1" thickBot="1" x14ac:dyDescent="0.25">
      <c r="B34" s="222" t="s">
        <v>1179</v>
      </c>
      <c r="C34" s="222" t="s">
        <v>1181</v>
      </c>
      <c r="D34" s="222" t="s">
        <v>304</v>
      </c>
      <c r="E34" s="222" t="s">
        <v>1239</v>
      </c>
      <c r="F34" s="231" t="s">
        <v>1256</v>
      </c>
      <c r="G34" s="224" t="s">
        <v>1263</v>
      </c>
      <c r="H34" s="225">
        <v>20032733</v>
      </c>
      <c r="I34" s="225">
        <f>0+J34</f>
        <v>18828250</v>
      </c>
      <c r="J34" s="226">
        <f>(11239495)+7588755</f>
        <v>18828250</v>
      </c>
      <c r="K34" s="227">
        <v>1</v>
      </c>
      <c r="L34" s="349" t="s">
        <v>1271</v>
      </c>
      <c r="M34" s="205"/>
      <c r="N34" s="205"/>
      <c r="O34" s="205"/>
      <c r="P34" s="205"/>
      <c r="Q34" s="205"/>
      <c r="R34" s="205"/>
    </row>
    <row r="35" spans="1:18" ht="76.5" hidden="1" thickTop="1" thickBot="1" x14ac:dyDescent="0.25">
      <c r="B35" s="222" t="s">
        <v>1179</v>
      </c>
      <c r="C35" s="222" t="s">
        <v>1181</v>
      </c>
      <c r="D35" s="222" t="s">
        <v>304</v>
      </c>
      <c r="E35" s="222" t="s">
        <v>1239</v>
      </c>
      <c r="F35" s="231" t="s">
        <v>1182</v>
      </c>
      <c r="G35" s="224" t="s">
        <v>1136</v>
      </c>
      <c r="H35" s="225">
        <v>300000</v>
      </c>
      <c r="I35" s="225">
        <v>0</v>
      </c>
      <c r="J35" s="226"/>
      <c r="K35" s="227">
        <f>(J35+I35)/H35</f>
        <v>0</v>
      </c>
      <c r="L35" s="205"/>
      <c r="M35" s="205"/>
      <c r="N35" s="205"/>
      <c r="O35" s="205"/>
      <c r="P35" s="205"/>
      <c r="Q35" s="205"/>
      <c r="R35" s="205"/>
    </row>
    <row r="36" spans="1:18" ht="65.099999999999994" customHeight="1" thickTop="1" thickBot="1" x14ac:dyDescent="0.25">
      <c r="B36" s="684" t="s">
        <v>156</v>
      </c>
      <c r="C36" s="684"/>
      <c r="D36" s="684"/>
      <c r="E36" s="685" t="s">
        <v>37</v>
      </c>
      <c r="F36" s="684"/>
      <c r="G36" s="684"/>
      <c r="H36" s="686">
        <f t="shared" ref="H36:J36" si="2">H37</f>
        <v>56817979</v>
      </c>
      <c r="I36" s="686">
        <f t="shared" si="2"/>
        <v>30309476.950000003</v>
      </c>
      <c r="J36" s="686">
        <f t="shared" si="2"/>
        <v>27341314.939999998</v>
      </c>
      <c r="K36" s="723"/>
      <c r="L36" s="205"/>
      <c r="M36" s="205"/>
      <c r="N36" s="205"/>
      <c r="O36" s="205"/>
      <c r="P36" s="205"/>
      <c r="Q36" s="205"/>
      <c r="R36" s="205"/>
    </row>
    <row r="37" spans="1:18" ht="65.099999999999994" customHeight="1" thickTop="1" thickBot="1" x14ac:dyDescent="0.25">
      <c r="B37" s="688" t="s">
        <v>157</v>
      </c>
      <c r="C37" s="688"/>
      <c r="D37" s="688"/>
      <c r="E37" s="689" t="s">
        <v>38</v>
      </c>
      <c r="F37" s="688"/>
      <c r="G37" s="688"/>
      <c r="H37" s="724">
        <f>H39+H38+H40</f>
        <v>56817979</v>
      </c>
      <c r="I37" s="724">
        <f>I39+I38+I40</f>
        <v>30309476.950000003</v>
      </c>
      <c r="J37" s="724">
        <f>J39+J38+J40</f>
        <v>27341314.939999998</v>
      </c>
      <c r="K37" s="725"/>
      <c r="L37" s="205"/>
      <c r="M37" s="205"/>
      <c r="N37" s="205"/>
      <c r="O37" s="205"/>
      <c r="P37" s="205"/>
      <c r="Q37" s="205"/>
      <c r="R37" s="205"/>
    </row>
    <row r="38" spans="1:18" ht="121.5" thickTop="1" thickBot="1" x14ac:dyDescent="0.25">
      <c r="B38" s="331" t="s">
        <v>1203</v>
      </c>
      <c r="C38" s="331" t="s">
        <v>1200</v>
      </c>
      <c r="D38" s="331" t="s">
        <v>206</v>
      </c>
      <c r="E38" s="645" t="s">
        <v>1201</v>
      </c>
      <c r="F38" s="646" t="s">
        <v>1562</v>
      </c>
      <c r="G38" s="338" t="s">
        <v>1457</v>
      </c>
      <c r="H38" s="339">
        <v>31195664</v>
      </c>
      <c r="I38" s="341">
        <f>1082344.8+J38</f>
        <v>13711560.720000001</v>
      </c>
      <c r="J38" s="339">
        <f>(6000000)+9865740-3236524.08</f>
        <v>12629215.92</v>
      </c>
      <c r="K38" s="342">
        <f>I38/H38</f>
        <v>0.43953418398146615</v>
      </c>
      <c r="L38" s="205"/>
      <c r="M38" s="205"/>
      <c r="N38" s="205"/>
      <c r="O38" s="205"/>
      <c r="P38" s="205"/>
      <c r="Q38" s="205"/>
      <c r="R38" s="205"/>
    </row>
    <row r="39" spans="1:18" ht="106.5" thickTop="1" thickBot="1" x14ac:dyDescent="0.25">
      <c r="B39" s="331" t="s">
        <v>1203</v>
      </c>
      <c r="C39" s="331" t="s">
        <v>1200</v>
      </c>
      <c r="D39" s="331" t="s">
        <v>206</v>
      </c>
      <c r="E39" s="645" t="s">
        <v>1201</v>
      </c>
      <c r="F39" s="646" t="s">
        <v>1456</v>
      </c>
      <c r="G39" s="338" t="s">
        <v>1457</v>
      </c>
      <c r="H39" s="339">
        <v>24622660</v>
      </c>
      <c r="I39" s="341">
        <f>1885817.21+J39</f>
        <v>16147916.23</v>
      </c>
      <c r="J39" s="339">
        <f>(8796386.02)+5465713</f>
        <v>14262099.02</v>
      </c>
      <c r="K39" s="342">
        <f>I39/H39</f>
        <v>0.65581526244524357</v>
      </c>
      <c r="L39" s="205" t="s">
        <v>1603</v>
      </c>
      <c r="M39" s="205"/>
      <c r="N39" s="205"/>
      <c r="O39" s="205"/>
      <c r="P39" s="205"/>
      <c r="Q39" s="205"/>
      <c r="R39" s="205"/>
    </row>
    <row r="40" spans="1:18" ht="46.5" thickTop="1" thickBot="1" x14ac:dyDescent="0.25">
      <c r="B40" s="331" t="s">
        <v>924</v>
      </c>
      <c r="C40" s="331" t="s">
        <v>925</v>
      </c>
      <c r="D40" s="331" t="s">
        <v>304</v>
      </c>
      <c r="E40" s="331" t="s">
        <v>1616</v>
      </c>
      <c r="F40" s="646" t="s">
        <v>1617</v>
      </c>
      <c r="G40" s="338" t="s">
        <v>1507</v>
      </c>
      <c r="H40" s="339">
        <v>999655</v>
      </c>
      <c r="I40" s="341">
        <f>0+J40</f>
        <v>450000</v>
      </c>
      <c r="J40" s="339">
        <f>999655-549655</f>
        <v>450000</v>
      </c>
      <c r="K40" s="342">
        <f>I40/H40</f>
        <v>0.45015530357973499</v>
      </c>
      <c r="L40" s="205"/>
      <c r="M40" s="205"/>
      <c r="N40" s="205"/>
      <c r="O40" s="205"/>
      <c r="P40" s="205"/>
      <c r="Q40" s="205"/>
      <c r="R40" s="205"/>
    </row>
    <row r="41" spans="1:18" ht="46.5" hidden="1" thickTop="1" thickBot="1" x14ac:dyDescent="0.25">
      <c r="A41" s="250"/>
      <c r="B41" s="233">
        <v>1000000</v>
      </c>
      <c r="C41" s="233"/>
      <c r="D41" s="233"/>
      <c r="E41" s="234" t="s">
        <v>24</v>
      </c>
      <c r="F41" s="233"/>
      <c r="G41" s="233"/>
      <c r="H41" s="235">
        <f>H42</f>
        <v>27064985</v>
      </c>
      <c r="I41" s="235">
        <f>I42</f>
        <v>19955037.289999999</v>
      </c>
      <c r="J41" s="235">
        <f>J42</f>
        <v>0</v>
      </c>
      <c r="K41" s="236"/>
      <c r="L41" s="205"/>
      <c r="M41" s="205"/>
      <c r="N41" s="205"/>
      <c r="O41" s="205"/>
      <c r="P41" s="205"/>
      <c r="Q41" s="205"/>
      <c r="R41" s="205"/>
    </row>
    <row r="42" spans="1:18" ht="44.25" hidden="1" thickTop="1" thickBot="1" x14ac:dyDescent="0.25">
      <c r="A42" s="250"/>
      <c r="B42" s="237">
        <v>1010000</v>
      </c>
      <c r="C42" s="237"/>
      <c r="D42" s="237"/>
      <c r="E42" s="238" t="s">
        <v>39</v>
      </c>
      <c r="F42" s="237"/>
      <c r="G42" s="237"/>
      <c r="H42" s="239">
        <f>SUM(H43:H44)</f>
        <v>27064985</v>
      </c>
      <c r="I42" s="239">
        <f>SUM(I43:I44)</f>
        <v>19955037.289999999</v>
      </c>
      <c r="J42" s="239">
        <f>SUM(J43:J44)</f>
        <v>0</v>
      </c>
      <c r="K42" s="240"/>
      <c r="L42" s="205"/>
      <c r="M42" s="205"/>
      <c r="N42" s="205"/>
      <c r="O42" s="205"/>
      <c r="P42" s="205"/>
      <c r="Q42" s="205"/>
      <c r="R42" s="205"/>
    </row>
    <row r="43" spans="1:18" ht="46.5" hidden="1" thickTop="1" thickBot="1" x14ac:dyDescent="0.25">
      <c r="B43" s="222" t="s">
        <v>176</v>
      </c>
      <c r="C43" s="222" t="s">
        <v>177</v>
      </c>
      <c r="D43" s="222" t="s">
        <v>174</v>
      </c>
      <c r="E43" s="222" t="s">
        <v>463</v>
      </c>
      <c r="F43" s="223" t="s">
        <v>936</v>
      </c>
      <c r="G43" s="225" t="s">
        <v>521</v>
      </c>
      <c r="H43" s="225">
        <v>27064985</v>
      </c>
      <c r="I43" s="225">
        <f>1430336+2994769.5+4929931.79+5600000+(3000000)+2000000</f>
        <v>19955037.289999999</v>
      </c>
      <c r="J43" s="225">
        <f>(4652920)-4652920</f>
        <v>0</v>
      </c>
      <c r="K43" s="241">
        <f>(J43+I43)/H43</f>
        <v>0.73730088119391157</v>
      </c>
      <c r="L43" s="205"/>
      <c r="M43" s="205"/>
      <c r="N43" s="205"/>
      <c r="O43" s="205"/>
      <c r="P43" s="205"/>
      <c r="Q43" s="205"/>
      <c r="R43" s="205"/>
    </row>
    <row r="44" spans="1:18" ht="106.5" hidden="1" thickTop="1" thickBot="1" x14ac:dyDescent="0.25">
      <c r="A44" s="250"/>
      <c r="B44" s="212" t="s">
        <v>917</v>
      </c>
      <c r="C44" s="212" t="s">
        <v>197</v>
      </c>
      <c r="D44" s="212" t="s">
        <v>170</v>
      </c>
      <c r="E44" s="212" t="s">
        <v>34</v>
      </c>
      <c r="F44" s="232" t="s">
        <v>943</v>
      </c>
      <c r="G44" s="217" t="s">
        <v>558</v>
      </c>
      <c r="H44" s="218"/>
      <c r="I44" s="219"/>
      <c r="J44" s="218"/>
      <c r="K44" s="219"/>
      <c r="L44" s="205"/>
      <c r="M44" s="205"/>
      <c r="N44" s="205"/>
      <c r="O44" s="205"/>
      <c r="P44" s="205"/>
      <c r="Q44" s="205"/>
      <c r="R44" s="205"/>
    </row>
    <row r="45" spans="1:18" ht="65.099999999999994" customHeight="1" thickTop="1" thickBot="1" x14ac:dyDescent="0.25">
      <c r="B45" s="684" t="s">
        <v>22</v>
      </c>
      <c r="C45" s="684"/>
      <c r="D45" s="684"/>
      <c r="E45" s="685" t="s">
        <v>23</v>
      </c>
      <c r="F45" s="684"/>
      <c r="G45" s="684"/>
      <c r="H45" s="686">
        <f t="shared" ref="H45:J45" si="3">H46</f>
        <v>35118863</v>
      </c>
      <c r="I45" s="686">
        <f t="shared" si="3"/>
        <v>31387992.66</v>
      </c>
      <c r="J45" s="686">
        <f t="shared" si="3"/>
        <v>1000000</v>
      </c>
      <c r="K45" s="723"/>
      <c r="L45" s="205"/>
      <c r="M45" s="205"/>
      <c r="N45" s="205"/>
      <c r="O45" s="205"/>
      <c r="P45" s="205"/>
      <c r="Q45" s="205"/>
      <c r="R45" s="205"/>
    </row>
    <row r="46" spans="1:18" ht="65.099999999999994" customHeight="1" thickTop="1" thickBot="1" x14ac:dyDescent="0.25">
      <c r="B46" s="688" t="s">
        <v>21</v>
      </c>
      <c r="C46" s="688"/>
      <c r="D46" s="688"/>
      <c r="E46" s="689" t="s">
        <v>35</v>
      </c>
      <c r="F46" s="688"/>
      <c r="G46" s="688"/>
      <c r="H46" s="724">
        <f>H48</f>
        <v>35118863</v>
      </c>
      <c r="I46" s="724">
        <f t="shared" ref="I46:J46" si="4">I48</f>
        <v>31387992.66</v>
      </c>
      <c r="J46" s="724">
        <f t="shared" si="4"/>
        <v>1000000</v>
      </c>
      <c r="K46" s="725"/>
      <c r="L46" s="205"/>
      <c r="M46" s="205"/>
      <c r="N46" s="205"/>
      <c r="O46" s="205"/>
      <c r="P46" s="205"/>
      <c r="Q46" s="205"/>
      <c r="R46" s="205"/>
    </row>
    <row r="47" spans="1:18" ht="46.5" hidden="1" thickTop="1" thickBot="1" x14ac:dyDescent="0.25">
      <c r="B47" s="331" t="s">
        <v>189</v>
      </c>
      <c r="C47" s="331" t="s">
        <v>190</v>
      </c>
      <c r="D47" s="331" t="s">
        <v>185</v>
      </c>
      <c r="E47" s="331" t="s">
        <v>10</v>
      </c>
      <c r="F47" s="337" t="s">
        <v>1258</v>
      </c>
      <c r="G47" s="338" t="s">
        <v>608</v>
      </c>
      <c r="H47" s="339">
        <v>2102059</v>
      </c>
      <c r="I47" s="341">
        <f>66820+3338.56+J47</f>
        <v>80838.559999999998</v>
      </c>
      <c r="J47" s="341">
        <v>10680</v>
      </c>
      <c r="K47" s="342">
        <f>I47/H47</f>
        <v>3.8456846358736835E-2</v>
      </c>
      <c r="L47" s="205"/>
      <c r="M47" s="205"/>
      <c r="N47" s="205"/>
      <c r="O47" s="205"/>
      <c r="P47" s="205"/>
      <c r="Q47" s="205"/>
      <c r="R47" s="205"/>
    </row>
    <row r="48" spans="1:18" s="251" customFormat="1" ht="83.25" customHeight="1" thickTop="1" thickBot="1" x14ac:dyDescent="0.25">
      <c r="B48" s="331" t="s">
        <v>28</v>
      </c>
      <c r="C48" s="331" t="s">
        <v>192</v>
      </c>
      <c r="D48" s="331" t="s">
        <v>195</v>
      </c>
      <c r="E48" s="331" t="s">
        <v>48</v>
      </c>
      <c r="F48" s="337" t="s">
        <v>1254</v>
      </c>
      <c r="G48" s="338" t="s">
        <v>1269</v>
      </c>
      <c r="H48" s="339">
        <v>35118863</v>
      </c>
      <c r="I48" s="341">
        <f>30387992.66+J48</f>
        <v>31387992.66</v>
      </c>
      <c r="J48" s="341">
        <v>1000000</v>
      </c>
      <c r="K48" s="342">
        <f>I48/H48</f>
        <v>0.89376448947108567</v>
      </c>
      <c r="L48" s="350">
        <f>H48-I48-4929869.92</f>
        <v>-1198999.58</v>
      </c>
      <c r="M48" s="243"/>
      <c r="N48" s="243"/>
      <c r="O48" s="243"/>
      <c r="P48" s="243"/>
      <c r="Q48" s="243"/>
      <c r="R48" s="243"/>
    </row>
    <row r="49" spans="1:18" s="251" customFormat="1" ht="16.5" hidden="1" thickTop="1" thickBot="1" x14ac:dyDescent="0.25">
      <c r="B49" s="331"/>
      <c r="C49" s="331"/>
      <c r="D49" s="331"/>
      <c r="E49" s="331"/>
      <c r="F49" s="337"/>
      <c r="G49" s="338"/>
      <c r="H49" s="339"/>
      <c r="I49" s="341"/>
      <c r="J49" s="341"/>
      <c r="K49" s="342"/>
      <c r="L49" s="350"/>
      <c r="M49" s="243"/>
      <c r="N49" s="243"/>
      <c r="O49" s="243"/>
      <c r="P49" s="243"/>
      <c r="Q49" s="243"/>
      <c r="R49" s="243"/>
    </row>
    <row r="50" spans="1:18" s="251" customFormat="1" ht="16.5" hidden="1" thickTop="1" thickBot="1" x14ac:dyDescent="0.25">
      <c r="B50" s="331"/>
      <c r="C50" s="331"/>
      <c r="D50" s="331"/>
      <c r="E50" s="331"/>
      <c r="F50" s="337"/>
      <c r="G50" s="338"/>
      <c r="H50" s="339"/>
      <c r="I50" s="341"/>
      <c r="J50" s="341"/>
      <c r="K50" s="342"/>
      <c r="L50" s="350"/>
      <c r="M50" s="243"/>
      <c r="N50" s="243"/>
      <c r="O50" s="243"/>
      <c r="P50" s="243"/>
      <c r="Q50" s="243"/>
      <c r="R50" s="243"/>
    </row>
    <row r="51" spans="1:18" s="251" customFormat="1" ht="46.5" hidden="1" thickTop="1" thickBot="1" x14ac:dyDescent="0.25">
      <c r="B51" s="174" t="s">
        <v>158</v>
      </c>
      <c r="C51" s="174"/>
      <c r="D51" s="174"/>
      <c r="E51" s="175" t="s">
        <v>561</v>
      </c>
      <c r="F51" s="174"/>
      <c r="G51" s="174"/>
      <c r="H51" s="176">
        <f t="shared" ref="H51:J51" si="5">H52</f>
        <v>4177606</v>
      </c>
      <c r="I51" s="176">
        <f t="shared" si="5"/>
        <v>0</v>
      </c>
      <c r="J51" s="176">
        <f t="shared" si="5"/>
        <v>0</v>
      </c>
      <c r="K51" s="220"/>
      <c r="L51" s="244"/>
      <c r="M51" s="243"/>
      <c r="N51" s="243"/>
      <c r="O51" s="243"/>
      <c r="P51" s="243"/>
      <c r="Q51" s="243"/>
      <c r="R51" s="243"/>
    </row>
    <row r="52" spans="1:18" s="251" customFormat="1" ht="44.25" hidden="1" thickTop="1" thickBot="1" x14ac:dyDescent="0.25">
      <c r="B52" s="178" t="s">
        <v>159</v>
      </c>
      <c r="C52" s="178"/>
      <c r="D52" s="178"/>
      <c r="E52" s="179" t="s">
        <v>562</v>
      </c>
      <c r="F52" s="178"/>
      <c r="G52" s="178"/>
      <c r="H52" s="180">
        <f>H53</f>
        <v>4177606</v>
      </c>
      <c r="I52" s="180">
        <f>I53</f>
        <v>0</v>
      </c>
      <c r="J52" s="180">
        <f>J53</f>
        <v>0</v>
      </c>
      <c r="K52" s="221"/>
      <c r="L52" s="244"/>
      <c r="M52" s="243"/>
      <c r="N52" s="243"/>
      <c r="O52" s="243"/>
      <c r="P52" s="243"/>
      <c r="Q52" s="243"/>
      <c r="R52" s="243"/>
    </row>
    <row r="53" spans="1:18" s="251" customFormat="1" ht="33.75" hidden="1" thickTop="1" thickBot="1" x14ac:dyDescent="0.25">
      <c r="B53" s="222" t="s">
        <v>1146</v>
      </c>
      <c r="C53" s="222" t="s">
        <v>305</v>
      </c>
      <c r="D53" s="222" t="s">
        <v>304</v>
      </c>
      <c r="E53" s="222" t="s">
        <v>1240</v>
      </c>
      <c r="F53" s="242" t="s">
        <v>1153</v>
      </c>
      <c r="G53" s="225" t="s">
        <v>1136</v>
      </c>
      <c r="H53" s="225">
        <v>4177606</v>
      </c>
      <c r="I53" s="225">
        <v>0</v>
      </c>
      <c r="J53" s="226"/>
      <c r="K53" s="241">
        <f>(I53+J53)/H53</f>
        <v>0</v>
      </c>
      <c r="L53" s="244"/>
      <c r="M53" s="243"/>
      <c r="N53" s="243"/>
      <c r="O53" s="243"/>
      <c r="P53" s="243"/>
      <c r="Q53" s="243"/>
      <c r="R53" s="243"/>
    </row>
    <row r="54" spans="1:18" s="251" customFormat="1" ht="65.099999999999994" customHeight="1" thickTop="1" thickBot="1" x14ac:dyDescent="0.25">
      <c r="B54" s="684" t="s">
        <v>540</v>
      </c>
      <c r="C54" s="684"/>
      <c r="D54" s="684"/>
      <c r="E54" s="685" t="s">
        <v>559</v>
      </c>
      <c r="F54" s="684"/>
      <c r="G54" s="684"/>
      <c r="H54" s="686">
        <f>H55</f>
        <v>181925120</v>
      </c>
      <c r="I54" s="686">
        <f>I55</f>
        <v>100085393.77</v>
      </c>
      <c r="J54" s="686">
        <f>J55</f>
        <v>24418550</v>
      </c>
      <c r="K54" s="723"/>
      <c r="L54" s="244"/>
      <c r="M54" s="243"/>
      <c r="N54" s="243"/>
      <c r="O54" s="243"/>
      <c r="P54" s="243"/>
      <c r="Q54" s="243"/>
      <c r="R54" s="243"/>
    </row>
    <row r="55" spans="1:18" s="251" customFormat="1" ht="65.099999999999994" customHeight="1" thickTop="1" thickBot="1" x14ac:dyDescent="0.25">
      <c r="B55" s="688" t="s">
        <v>541</v>
      </c>
      <c r="C55" s="688"/>
      <c r="D55" s="688"/>
      <c r="E55" s="689" t="s">
        <v>560</v>
      </c>
      <c r="F55" s="688"/>
      <c r="G55" s="688"/>
      <c r="H55" s="724">
        <f>H63+H64+H74+H81+H82+H83+H84+H62+H95+H99</f>
        <v>181925120</v>
      </c>
      <c r="I55" s="724">
        <f>I63+I64+I74+I81+I82+I83+I84+I62+I95+I99</f>
        <v>100085393.77</v>
      </c>
      <c r="J55" s="724">
        <f>J63+J64+J74+J81+J82+J83+J84+J62+J95+J99</f>
        <v>24418550</v>
      </c>
      <c r="K55" s="725"/>
      <c r="L55" s="244"/>
      <c r="M55" s="243"/>
      <c r="N55" s="243"/>
      <c r="O55" s="243"/>
      <c r="P55" s="243"/>
      <c r="Q55" s="243"/>
      <c r="R55" s="243"/>
    </row>
    <row r="56" spans="1:18" s="251" customFormat="1" ht="46.5" hidden="1" thickTop="1" thickBot="1" x14ac:dyDescent="0.25">
      <c r="A56" s="170"/>
      <c r="B56" s="222" t="s">
        <v>548</v>
      </c>
      <c r="C56" s="222" t="s">
        <v>305</v>
      </c>
      <c r="D56" s="222" t="s">
        <v>304</v>
      </c>
      <c r="E56" s="222" t="s">
        <v>469</v>
      </c>
      <c r="F56" s="245" t="s">
        <v>1134</v>
      </c>
      <c r="G56" s="225" t="s">
        <v>1269</v>
      </c>
      <c r="H56" s="225">
        <v>10423167</v>
      </c>
      <c r="I56" s="225">
        <f>1987516+J56</f>
        <v>2297516</v>
      </c>
      <c r="J56" s="225">
        <f>(3000000-2000000)-690000</f>
        <v>310000</v>
      </c>
      <c r="K56" s="241">
        <f>I56/H56</f>
        <v>0.22042398438017927</v>
      </c>
      <c r="L56" s="244"/>
      <c r="M56" s="243"/>
      <c r="N56" s="243"/>
      <c r="O56" s="243"/>
      <c r="P56" s="243"/>
      <c r="Q56" s="243"/>
      <c r="R56" s="243"/>
    </row>
    <row r="57" spans="1:18" s="251" customFormat="1" ht="31.5" hidden="1" thickTop="1" thickBot="1" x14ac:dyDescent="0.25">
      <c r="A57" s="170"/>
      <c r="B57" s="222" t="s">
        <v>548</v>
      </c>
      <c r="C57" s="222" t="s">
        <v>305</v>
      </c>
      <c r="D57" s="222" t="s">
        <v>304</v>
      </c>
      <c r="E57" s="222" t="s">
        <v>469</v>
      </c>
      <c r="F57" s="245" t="s">
        <v>1135</v>
      </c>
      <c r="G57" s="225" t="s">
        <v>522</v>
      </c>
      <c r="H57" s="225">
        <v>19973126</v>
      </c>
      <c r="I57" s="225">
        <v>3000000</v>
      </c>
      <c r="J57" s="225">
        <f>(2000000)-2000000</f>
        <v>0</v>
      </c>
      <c r="K57" s="241">
        <f t="shared" ref="K57:K97" si="6">(I57+J57)/H57</f>
        <v>0.15020182619385669</v>
      </c>
      <c r="L57" s="244"/>
      <c r="M57" s="243"/>
      <c r="N57" s="243"/>
      <c r="O57" s="243"/>
      <c r="P57" s="243"/>
      <c r="Q57" s="243"/>
      <c r="R57" s="243"/>
    </row>
    <row r="58" spans="1:18" s="251" customFormat="1" ht="46.5" hidden="1" thickTop="1" thickBot="1" x14ac:dyDescent="0.25">
      <c r="A58" s="170"/>
      <c r="B58" s="222" t="s">
        <v>548</v>
      </c>
      <c r="C58" s="222" t="s">
        <v>305</v>
      </c>
      <c r="D58" s="222" t="s">
        <v>304</v>
      </c>
      <c r="E58" s="222" t="s">
        <v>469</v>
      </c>
      <c r="F58" s="245" t="s">
        <v>1172</v>
      </c>
      <c r="G58" s="225" t="s">
        <v>1136</v>
      </c>
      <c r="H58" s="225">
        <v>7326277</v>
      </c>
      <c r="I58" s="225">
        <v>0</v>
      </c>
      <c r="J58" s="225"/>
      <c r="K58" s="241">
        <f t="shared" si="6"/>
        <v>0</v>
      </c>
      <c r="L58" s="244"/>
      <c r="M58" s="243"/>
      <c r="N58" s="243"/>
      <c r="O58" s="243"/>
      <c r="P58" s="243"/>
      <c r="Q58" s="243"/>
      <c r="R58" s="243"/>
    </row>
    <row r="59" spans="1:18" s="251" customFormat="1" ht="46.5" hidden="1" thickTop="1" thickBot="1" x14ac:dyDescent="0.25">
      <c r="A59" s="170"/>
      <c r="B59" s="222" t="s">
        <v>548</v>
      </c>
      <c r="C59" s="222" t="s">
        <v>305</v>
      </c>
      <c r="D59" s="222" t="s">
        <v>304</v>
      </c>
      <c r="E59" s="222" t="s">
        <v>469</v>
      </c>
      <c r="F59" s="245" t="s">
        <v>1140</v>
      </c>
      <c r="G59" s="225" t="s">
        <v>1136</v>
      </c>
      <c r="H59" s="225">
        <v>8650378</v>
      </c>
      <c r="I59" s="225">
        <v>0</v>
      </c>
      <c r="J59" s="225"/>
      <c r="K59" s="241">
        <f t="shared" si="6"/>
        <v>0</v>
      </c>
      <c r="L59" s="244"/>
      <c r="M59" s="243"/>
      <c r="N59" s="243"/>
      <c r="O59" s="243"/>
      <c r="P59" s="243"/>
      <c r="Q59" s="243"/>
      <c r="R59" s="243"/>
    </row>
    <row r="60" spans="1:18" s="251" customFormat="1" ht="46.5" hidden="1" thickTop="1" thickBot="1" x14ac:dyDescent="0.25">
      <c r="A60" s="170"/>
      <c r="B60" s="222" t="s">
        <v>548</v>
      </c>
      <c r="C60" s="222" t="s">
        <v>305</v>
      </c>
      <c r="D60" s="222" t="s">
        <v>304</v>
      </c>
      <c r="E60" s="222" t="s">
        <v>469</v>
      </c>
      <c r="F60" s="245" t="s">
        <v>1141</v>
      </c>
      <c r="G60" s="225" t="s">
        <v>521</v>
      </c>
      <c r="H60" s="225">
        <v>68621716</v>
      </c>
      <c r="I60" s="225">
        <v>65923472</v>
      </c>
      <c r="J60" s="225"/>
      <c r="K60" s="241">
        <f t="shared" si="6"/>
        <v>0.96067944439046093</v>
      </c>
      <c r="L60" s="244"/>
      <c r="M60" s="243"/>
      <c r="N60" s="243"/>
      <c r="O60" s="243"/>
      <c r="P60" s="243"/>
      <c r="Q60" s="243"/>
      <c r="R60" s="243"/>
    </row>
    <row r="61" spans="1:18" s="251" customFormat="1" ht="46.5" hidden="1" thickTop="1" thickBot="1" x14ac:dyDescent="0.25">
      <c r="A61" s="170"/>
      <c r="B61" s="222" t="s">
        <v>548</v>
      </c>
      <c r="C61" s="222" t="s">
        <v>305</v>
      </c>
      <c r="D61" s="222" t="s">
        <v>304</v>
      </c>
      <c r="E61" s="222" t="s">
        <v>469</v>
      </c>
      <c r="F61" s="245" t="s">
        <v>1160</v>
      </c>
      <c r="G61" s="225" t="s">
        <v>521</v>
      </c>
      <c r="H61" s="225">
        <v>18370999</v>
      </c>
      <c r="I61" s="225">
        <f>(300000+171778.77+2000000+2000000)</f>
        <v>4471778.7699999996</v>
      </c>
      <c r="J61" s="225"/>
      <c r="K61" s="241">
        <f>(I61+J61)/H61</f>
        <v>0.24341511150264608</v>
      </c>
      <c r="L61" s="244"/>
      <c r="M61" s="243"/>
      <c r="N61" s="243"/>
      <c r="O61" s="243"/>
      <c r="P61" s="243"/>
      <c r="Q61" s="243"/>
      <c r="R61" s="243"/>
    </row>
    <row r="62" spans="1:18" s="251" customFormat="1" ht="46.5" thickTop="1" thickBot="1" x14ac:dyDescent="0.25">
      <c r="A62" s="170"/>
      <c r="B62" s="331" t="s">
        <v>548</v>
      </c>
      <c r="C62" s="331" t="s">
        <v>305</v>
      </c>
      <c r="D62" s="331" t="s">
        <v>304</v>
      </c>
      <c r="E62" s="331" t="s">
        <v>469</v>
      </c>
      <c r="F62" s="722" t="s">
        <v>1604</v>
      </c>
      <c r="G62" s="339" t="s">
        <v>1457</v>
      </c>
      <c r="H62" s="650">
        <v>3786090</v>
      </c>
      <c r="I62" s="339">
        <f>1240165.95+J62</f>
        <v>2440165.9500000002</v>
      </c>
      <c r="J62" s="339">
        <v>1200000</v>
      </c>
      <c r="K62" s="642">
        <f>I62/H62</f>
        <v>0.64450817333977806</v>
      </c>
      <c r="L62" s="244"/>
      <c r="M62" s="243"/>
      <c r="N62" s="243"/>
      <c r="O62" s="243"/>
      <c r="P62" s="243"/>
      <c r="Q62" s="243"/>
      <c r="R62" s="243"/>
    </row>
    <row r="63" spans="1:18" s="251" customFormat="1" ht="46.5" thickTop="1" thickBot="1" x14ac:dyDescent="0.25">
      <c r="A63" s="170"/>
      <c r="B63" s="331" t="s">
        <v>549</v>
      </c>
      <c r="C63" s="331" t="s">
        <v>293</v>
      </c>
      <c r="D63" s="331" t="s">
        <v>295</v>
      </c>
      <c r="E63" s="331" t="s">
        <v>294</v>
      </c>
      <c r="F63" s="335" t="s">
        <v>1490</v>
      </c>
      <c r="G63" s="339" t="s">
        <v>1269</v>
      </c>
      <c r="H63" s="650">
        <v>96666042</v>
      </c>
      <c r="I63" s="339">
        <f>29190319.74+J63</f>
        <v>31190319.739999998</v>
      </c>
      <c r="J63" s="339">
        <v>2000000</v>
      </c>
      <c r="K63" s="642">
        <f>I63/H63</f>
        <v>0.32266056512378977</v>
      </c>
      <c r="L63" s="244"/>
      <c r="M63" s="243"/>
      <c r="N63" s="243"/>
      <c r="O63" s="243"/>
      <c r="P63" s="243"/>
      <c r="Q63" s="243"/>
      <c r="R63" s="243"/>
    </row>
    <row r="64" spans="1:18" s="251" customFormat="1" ht="61.5" thickTop="1" thickBot="1" x14ac:dyDescent="0.25">
      <c r="A64" s="170"/>
      <c r="B64" s="331" t="s">
        <v>550</v>
      </c>
      <c r="C64" s="331" t="s">
        <v>212</v>
      </c>
      <c r="D64" s="331" t="s">
        <v>213</v>
      </c>
      <c r="E64" s="331" t="s">
        <v>41</v>
      </c>
      <c r="F64" s="651" t="s">
        <v>1137</v>
      </c>
      <c r="G64" s="338" t="s">
        <v>1503</v>
      </c>
      <c r="H64" s="652">
        <v>41231871</v>
      </c>
      <c r="I64" s="339">
        <f>19590037.78+J64</f>
        <v>35153921.780000001</v>
      </c>
      <c r="J64" s="339">
        <f>(9760000)+4303884+1500000</f>
        <v>15563884</v>
      </c>
      <c r="K64" s="342">
        <v>1</v>
      </c>
      <c r="L64" s="244"/>
      <c r="M64" s="243"/>
      <c r="N64" s="243"/>
      <c r="O64" s="243"/>
      <c r="P64" s="243"/>
      <c r="Q64" s="243"/>
      <c r="R64" s="243"/>
    </row>
    <row r="65" spans="1:18" s="251" customFormat="1" ht="31.5" hidden="1" thickTop="1" thickBot="1" x14ac:dyDescent="0.25">
      <c r="A65" s="170"/>
      <c r="B65" s="426" t="s">
        <v>551</v>
      </c>
      <c r="C65" s="426" t="s">
        <v>197</v>
      </c>
      <c r="D65" s="426" t="s">
        <v>170</v>
      </c>
      <c r="E65" s="426" t="s">
        <v>34</v>
      </c>
      <c r="F65" s="446" t="s">
        <v>1328</v>
      </c>
      <c r="G65" s="224"/>
      <c r="H65" s="445"/>
      <c r="I65" s="225"/>
      <c r="J65" s="225"/>
      <c r="K65" s="227"/>
      <c r="L65" s="244"/>
      <c r="M65" s="243"/>
      <c r="N65" s="243"/>
      <c r="O65" s="243"/>
      <c r="P65" s="243"/>
      <c r="Q65" s="243"/>
      <c r="R65" s="243"/>
    </row>
    <row r="66" spans="1:18" s="251" customFormat="1" ht="76.5" hidden="1" thickTop="1" thickBot="1" x14ac:dyDescent="0.25">
      <c r="A66" s="170"/>
      <c r="B66" s="222" t="s">
        <v>551</v>
      </c>
      <c r="C66" s="222" t="s">
        <v>197</v>
      </c>
      <c r="D66" s="222" t="s">
        <v>170</v>
      </c>
      <c r="E66" s="222" t="s">
        <v>34</v>
      </c>
      <c r="F66" s="246" t="s">
        <v>1138</v>
      </c>
      <c r="G66" s="224" t="s">
        <v>1132</v>
      </c>
      <c r="H66" s="225">
        <v>4730960</v>
      </c>
      <c r="I66" s="225">
        <f>5000</f>
        <v>5000</v>
      </c>
      <c r="J66" s="225"/>
      <c r="K66" s="241">
        <f t="shared" si="6"/>
        <v>1.0568679506907689E-3</v>
      </c>
      <c r="L66" s="244"/>
      <c r="M66" s="243"/>
      <c r="N66" s="243"/>
      <c r="O66" s="243"/>
      <c r="P66" s="243"/>
      <c r="Q66" s="243"/>
      <c r="R66" s="243"/>
    </row>
    <row r="67" spans="1:18" s="251" customFormat="1" ht="31.5" hidden="1" thickTop="1" thickBot="1" x14ac:dyDescent="0.25">
      <c r="A67" s="170"/>
      <c r="B67" s="222" t="s">
        <v>551</v>
      </c>
      <c r="C67" s="222" t="s">
        <v>197</v>
      </c>
      <c r="D67" s="222" t="s">
        <v>170</v>
      </c>
      <c r="E67" s="222" t="s">
        <v>34</v>
      </c>
      <c r="F67" s="231" t="s">
        <v>1329</v>
      </c>
      <c r="G67" s="224" t="s">
        <v>1253</v>
      </c>
      <c r="H67" s="225">
        <v>3936902</v>
      </c>
      <c r="I67" s="225">
        <f>J67</f>
        <v>100000</v>
      </c>
      <c r="J67" s="225">
        <v>100000</v>
      </c>
      <c r="K67" s="227">
        <f>I67/H67</f>
        <v>2.5400683075169257E-2</v>
      </c>
      <c r="L67" s="244"/>
      <c r="M67" s="243"/>
      <c r="N67" s="243"/>
      <c r="O67" s="243"/>
      <c r="P67" s="243"/>
      <c r="Q67" s="243"/>
      <c r="R67" s="243"/>
    </row>
    <row r="68" spans="1:18" s="251" customFormat="1" ht="31.5" hidden="1" thickTop="1" thickBot="1" x14ac:dyDescent="0.25">
      <c r="A68" s="170"/>
      <c r="B68" s="426" t="s">
        <v>551</v>
      </c>
      <c r="C68" s="426" t="s">
        <v>197</v>
      </c>
      <c r="D68" s="426" t="s">
        <v>170</v>
      </c>
      <c r="E68" s="426" t="s">
        <v>34</v>
      </c>
      <c r="F68" s="446" t="s">
        <v>1328</v>
      </c>
      <c r="G68" s="224"/>
      <c r="H68" s="225"/>
      <c r="I68" s="225"/>
      <c r="J68" s="225"/>
      <c r="K68" s="241"/>
      <c r="L68" s="244"/>
      <c r="M68" s="243"/>
      <c r="N68" s="243"/>
      <c r="O68" s="243"/>
      <c r="P68" s="243"/>
      <c r="Q68" s="243"/>
      <c r="R68" s="243"/>
    </row>
    <row r="69" spans="1:18" s="251" customFormat="1" ht="46.5" hidden="1" thickTop="1" thickBot="1" x14ac:dyDescent="0.25">
      <c r="A69" s="170"/>
      <c r="B69" s="222" t="s">
        <v>551</v>
      </c>
      <c r="C69" s="222" t="s">
        <v>197</v>
      </c>
      <c r="D69" s="222" t="s">
        <v>170</v>
      </c>
      <c r="E69" s="222" t="s">
        <v>34</v>
      </c>
      <c r="F69" s="231" t="s">
        <v>1407</v>
      </c>
      <c r="G69" s="224" t="s">
        <v>1269</v>
      </c>
      <c r="H69" s="225">
        <v>7619432.4500000002</v>
      </c>
      <c r="I69" s="225">
        <f>2006390.45+J69</f>
        <v>6506390.4500000002</v>
      </c>
      <c r="J69" s="225">
        <f>(((100000)+1500000)+2000000)+900000</f>
        <v>4500000</v>
      </c>
      <c r="K69" s="227">
        <f>I69/H69</f>
        <v>0.85392061583274492</v>
      </c>
      <c r="L69" s="244"/>
      <c r="M69" s="243"/>
      <c r="N69" s="243"/>
      <c r="O69" s="243"/>
      <c r="P69" s="243"/>
      <c r="Q69" s="243"/>
      <c r="R69" s="243"/>
    </row>
    <row r="70" spans="1:18" s="251" customFormat="1" ht="31.5" hidden="1" thickTop="1" thickBot="1" x14ac:dyDescent="0.25">
      <c r="A70" s="170"/>
      <c r="B70" s="426" t="s">
        <v>551</v>
      </c>
      <c r="C70" s="426" t="s">
        <v>197</v>
      </c>
      <c r="D70" s="426" t="s">
        <v>170</v>
      </c>
      <c r="E70" s="426" t="s">
        <v>34</v>
      </c>
      <c r="F70" s="446" t="s">
        <v>1327</v>
      </c>
      <c r="G70" s="224"/>
      <c r="H70" s="225"/>
      <c r="I70" s="225"/>
      <c r="J70" s="225"/>
      <c r="K70" s="241"/>
      <c r="L70" s="244"/>
      <c r="M70" s="243"/>
      <c r="N70" s="243"/>
      <c r="O70" s="243"/>
      <c r="P70" s="243"/>
      <c r="Q70" s="243"/>
      <c r="R70" s="243"/>
    </row>
    <row r="71" spans="1:18" s="251" customFormat="1" ht="61.5" hidden="1" thickTop="1" thickBot="1" x14ac:dyDescent="0.25">
      <c r="A71" s="170"/>
      <c r="B71" s="222" t="s">
        <v>551</v>
      </c>
      <c r="C71" s="222" t="s">
        <v>197</v>
      </c>
      <c r="D71" s="222" t="s">
        <v>170</v>
      </c>
      <c r="E71" s="222" t="s">
        <v>34</v>
      </c>
      <c r="F71" s="231" t="s">
        <v>1326</v>
      </c>
      <c r="G71" s="225" t="s">
        <v>1264</v>
      </c>
      <c r="H71" s="225">
        <v>1814685</v>
      </c>
      <c r="I71" s="225">
        <f>0+J71</f>
        <v>1814685</v>
      </c>
      <c r="J71" s="225">
        <v>1814685</v>
      </c>
      <c r="K71" s="227">
        <f>I71/H71</f>
        <v>1</v>
      </c>
      <c r="L71" s="244"/>
      <c r="M71" s="243"/>
      <c r="N71" s="243"/>
      <c r="O71" s="243"/>
      <c r="P71" s="243"/>
      <c r="Q71" s="243"/>
      <c r="R71" s="243"/>
    </row>
    <row r="72" spans="1:18" s="251" customFormat="1" ht="46.5" thickTop="1" thickBot="1" x14ac:dyDescent="0.25">
      <c r="A72" s="170"/>
      <c r="B72" s="521" t="s">
        <v>551</v>
      </c>
      <c r="C72" s="521" t="s">
        <v>197</v>
      </c>
      <c r="D72" s="521" t="s">
        <v>170</v>
      </c>
      <c r="E72" s="521" t="s">
        <v>34</v>
      </c>
      <c r="F72" s="653" t="s">
        <v>1606</v>
      </c>
      <c r="G72" s="654"/>
      <c r="H72" s="654"/>
      <c r="I72" s="654"/>
      <c r="J72" s="654"/>
      <c r="K72" s="655"/>
      <c r="L72" s="244"/>
      <c r="M72" s="243"/>
      <c r="N72" s="243"/>
      <c r="O72" s="243"/>
      <c r="P72" s="243"/>
      <c r="Q72" s="243"/>
      <c r="R72" s="243"/>
    </row>
    <row r="73" spans="1:18" s="251" customFormat="1" ht="46.5" hidden="1" thickTop="1" thickBot="1" x14ac:dyDescent="0.25">
      <c r="A73" s="170"/>
      <c r="B73" s="222" t="s">
        <v>551</v>
      </c>
      <c r="C73" s="222" t="s">
        <v>197</v>
      </c>
      <c r="D73" s="222" t="s">
        <v>170</v>
      </c>
      <c r="E73" s="222" t="s">
        <v>34</v>
      </c>
      <c r="F73" s="231" t="s">
        <v>1313</v>
      </c>
      <c r="G73" s="225" t="s">
        <v>1263</v>
      </c>
      <c r="H73" s="225">
        <v>5372119</v>
      </c>
      <c r="I73" s="225">
        <f>98758+J73</f>
        <v>3645877</v>
      </c>
      <c r="J73" s="225">
        <f>(((800000)+4473361)-1008242)-718000</f>
        <v>3547119</v>
      </c>
      <c r="K73" s="227">
        <v>1</v>
      </c>
      <c r="L73" s="244"/>
      <c r="M73" s="243"/>
      <c r="N73" s="243"/>
      <c r="O73" s="243"/>
      <c r="P73" s="243"/>
      <c r="Q73" s="243"/>
      <c r="R73" s="243"/>
    </row>
    <row r="74" spans="1:18" s="251" customFormat="1" ht="46.5" thickTop="1" thickBot="1" x14ac:dyDescent="0.25">
      <c r="A74" s="340"/>
      <c r="B74" s="331" t="s">
        <v>551</v>
      </c>
      <c r="C74" s="331" t="s">
        <v>197</v>
      </c>
      <c r="D74" s="331" t="s">
        <v>170</v>
      </c>
      <c r="E74" s="331" t="s">
        <v>34</v>
      </c>
      <c r="F74" s="646" t="s">
        <v>1584</v>
      </c>
      <c r="G74" s="339" t="s">
        <v>1457</v>
      </c>
      <c r="H74" s="339">
        <v>7772411</v>
      </c>
      <c r="I74" s="339">
        <f>4658497.53+J74</f>
        <v>5308497.53</v>
      </c>
      <c r="J74" s="339">
        <v>650000</v>
      </c>
      <c r="K74" s="342">
        <v>1</v>
      </c>
      <c r="L74" s="244"/>
      <c r="M74" s="243"/>
      <c r="N74" s="243"/>
      <c r="O74" s="243"/>
      <c r="P74" s="243"/>
      <c r="Q74" s="243"/>
      <c r="R74" s="243"/>
    </row>
    <row r="75" spans="1:18" s="251" customFormat="1" ht="46.5" hidden="1" thickTop="1" thickBot="1" x14ac:dyDescent="0.25">
      <c r="A75" s="170"/>
      <c r="B75" s="222" t="s">
        <v>551</v>
      </c>
      <c r="C75" s="222" t="s">
        <v>197</v>
      </c>
      <c r="D75" s="222" t="s">
        <v>170</v>
      </c>
      <c r="E75" s="222" t="s">
        <v>34</v>
      </c>
      <c r="F75" s="231" t="s">
        <v>1314</v>
      </c>
      <c r="G75" s="225" t="s">
        <v>1264</v>
      </c>
      <c r="H75" s="225">
        <f>9279628-9279628</f>
        <v>0</v>
      </c>
      <c r="I75" s="225">
        <f t="shared" ref="I75:I80" si="7">0+J75</f>
        <v>0</v>
      </c>
      <c r="J75" s="225">
        <f>(((800000)+8479628)-752674)-8526954</f>
        <v>0</v>
      </c>
      <c r="K75" s="227">
        <v>1</v>
      </c>
      <c r="L75" s="244"/>
      <c r="M75" s="243"/>
      <c r="N75" s="243"/>
      <c r="O75" s="243"/>
      <c r="P75" s="243"/>
      <c r="Q75" s="243"/>
      <c r="R75" s="243"/>
    </row>
    <row r="76" spans="1:18" s="251" customFormat="1" ht="46.5" hidden="1" thickTop="1" thickBot="1" x14ac:dyDescent="0.25">
      <c r="A76" s="170"/>
      <c r="B76" s="222" t="s">
        <v>551</v>
      </c>
      <c r="C76" s="222" t="s">
        <v>197</v>
      </c>
      <c r="D76" s="222" t="s">
        <v>170</v>
      </c>
      <c r="E76" s="222" t="s">
        <v>34</v>
      </c>
      <c r="F76" s="231" t="s">
        <v>1315</v>
      </c>
      <c r="G76" s="225" t="s">
        <v>1264</v>
      </c>
      <c r="H76" s="225">
        <v>1414397</v>
      </c>
      <c r="I76" s="225">
        <f t="shared" si="7"/>
        <v>1392754</v>
      </c>
      <c r="J76" s="225">
        <f>((216700)+1197697)-21643</f>
        <v>1392754</v>
      </c>
      <c r="K76" s="227">
        <v>1</v>
      </c>
      <c r="L76" s="244"/>
      <c r="M76" s="243"/>
      <c r="N76" s="243"/>
      <c r="O76" s="243"/>
      <c r="P76" s="243"/>
      <c r="Q76" s="243"/>
      <c r="R76" s="243"/>
    </row>
    <row r="77" spans="1:18" s="251" customFormat="1" ht="31.5" hidden="1" thickTop="1" thickBot="1" x14ac:dyDescent="0.25">
      <c r="A77" s="170"/>
      <c r="B77" s="222" t="s">
        <v>551</v>
      </c>
      <c r="C77" s="222" t="s">
        <v>197</v>
      </c>
      <c r="D77" s="222" t="s">
        <v>170</v>
      </c>
      <c r="E77" s="222" t="s">
        <v>34</v>
      </c>
      <c r="F77" s="231" t="s">
        <v>1319</v>
      </c>
      <c r="G77" s="225" t="s">
        <v>1264</v>
      </c>
      <c r="H77" s="225">
        <v>1102662</v>
      </c>
      <c r="I77" s="225">
        <f t="shared" si="7"/>
        <v>1083784</v>
      </c>
      <c r="J77" s="225">
        <f>((500000)+602662)-18878</f>
        <v>1083784</v>
      </c>
      <c r="K77" s="227">
        <v>1</v>
      </c>
      <c r="L77" s="244"/>
      <c r="M77" s="243"/>
      <c r="N77" s="243"/>
      <c r="O77" s="243"/>
      <c r="P77" s="243"/>
      <c r="Q77" s="243"/>
      <c r="R77" s="243"/>
    </row>
    <row r="78" spans="1:18" s="251" customFormat="1" ht="46.5" hidden="1" thickTop="1" thickBot="1" x14ac:dyDescent="0.25">
      <c r="A78" s="170"/>
      <c r="B78" s="222" t="s">
        <v>551</v>
      </c>
      <c r="C78" s="222" t="s">
        <v>197</v>
      </c>
      <c r="D78" s="222" t="s">
        <v>170</v>
      </c>
      <c r="E78" s="222" t="s">
        <v>34</v>
      </c>
      <c r="F78" s="231" t="s">
        <v>1316</v>
      </c>
      <c r="G78" s="225" t="s">
        <v>1264</v>
      </c>
      <c r="H78" s="225">
        <v>2295880</v>
      </c>
      <c r="I78" s="225">
        <f t="shared" si="7"/>
        <v>2272102</v>
      </c>
      <c r="J78" s="225">
        <f>((800000)+1495880)-23778</f>
        <v>2272102</v>
      </c>
      <c r="K78" s="227">
        <v>1</v>
      </c>
      <c r="L78" s="244"/>
      <c r="M78" s="243"/>
      <c r="N78" s="243"/>
      <c r="O78" s="243"/>
      <c r="P78" s="243"/>
      <c r="Q78" s="243"/>
      <c r="R78" s="243"/>
    </row>
    <row r="79" spans="1:18" s="251" customFormat="1" ht="46.5" hidden="1" thickTop="1" thickBot="1" x14ac:dyDescent="0.25">
      <c r="A79" s="170"/>
      <c r="B79" s="222" t="s">
        <v>551</v>
      </c>
      <c r="C79" s="222" t="s">
        <v>197</v>
      </c>
      <c r="D79" s="222" t="s">
        <v>170</v>
      </c>
      <c r="E79" s="222" t="s">
        <v>34</v>
      </c>
      <c r="F79" s="231" t="s">
        <v>1317</v>
      </c>
      <c r="G79" s="225" t="s">
        <v>1264</v>
      </c>
      <c r="H79" s="225">
        <v>130655</v>
      </c>
      <c r="I79" s="225">
        <f t="shared" si="7"/>
        <v>130655</v>
      </c>
      <c r="J79" s="225">
        <f>(119860)+10795</f>
        <v>130655</v>
      </c>
      <c r="K79" s="227">
        <f t="shared" ref="K79:K80" si="8">I79/H79</f>
        <v>1</v>
      </c>
      <c r="L79" s="244"/>
      <c r="M79" s="243"/>
      <c r="N79" s="243"/>
      <c r="O79" s="243"/>
      <c r="P79" s="243"/>
      <c r="Q79" s="243"/>
      <c r="R79" s="243"/>
    </row>
    <row r="80" spans="1:18" s="251" customFormat="1" ht="46.5" hidden="1" thickTop="1" thickBot="1" x14ac:dyDescent="0.25">
      <c r="A80" s="170"/>
      <c r="B80" s="222" t="s">
        <v>551</v>
      </c>
      <c r="C80" s="222" t="s">
        <v>197</v>
      </c>
      <c r="D80" s="222" t="s">
        <v>170</v>
      </c>
      <c r="E80" s="222" t="s">
        <v>34</v>
      </c>
      <c r="F80" s="231" t="s">
        <v>1318</v>
      </c>
      <c r="G80" s="225" t="s">
        <v>1264</v>
      </c>
      <c r="H80" s="225">
        <v>294266</v>
      </c>
      <c r="I80" s="225">
        <f t="shared" si="7"/>
        <v>294266</v>
      </c>
      <c r="J80" s="225">
        <f>(213380)+80886</f>
        <v>294266</v>
      </c>
      <c r="K80" s="227">
        <f t="shared" si="8"/>
        <v>1</v>
      </c>
      <c r="L80" s="244"/>
      <c r="M80" s="243"/>
      <c r="N80" s="243"/>
      <c r="O80" s="243"/>
      <c r="P80" s="243"/>
      <c r="Q80" s="243"/>
      <c r="R80" s="243"/>
    </row>
    <row r="81" spans="1:18" s="251" customFormat="1" ht="61.5" thickTop="1" thickBot="1" x14ac:dyDescent="0.25">
      <c r="A81" s="170"/>
      <c r="B81" s="331" t="s">
        <v>551</v>
      </c>
      <c r="C81" s="331" t="s">
        <v>197</v>
      </c>
      <c r="D81" s="331" t="s">
        <v>170</v>
      </c>
      <c r="E81" s="331" t="s">
        <v>34</v>
      </c>
      <c r="F81" s="646" t="s">
        <v>1585</v>
      </c>
      <c r="G81" s="339" t="s">
        <v>1457</v>
      </c>
      <c r="H81" s="339">
        <v>17008063</v>
      </c>
      <c r="I81" s="339">
        <f>12294844.89+J81</f>
        <v>12818628.890000001</v>
      </c>
      <c r="J81" s="339">
        <v>523784</v>
      </c>
      <c r="K81" s="342">
        <v>1</v>
      </c>
      <c r="L81" s="244"/>
      <c r="M81" s="243"/>
      <c r="N81" s="243"/>
      <c r="O81" s="243"/>
      <c r="P81" s="243"/>
      <c r="Q81" s="243"/>
      <c r="R81" s="243"/>
    </row>
    <row r="82" spans="1:18" s="251" customFormat="1" ht="46.5" thickTop="1" thickBot="1" x14ac:dyDescent="0.25">
      <c r="A82" s="170"/>
      <c r="B82" s="331" t="s">
        <v>551</v>
      </c>
      <c r="C82" s="331" t="s">
        <v>197</v>
      </c>
      <c r="D82" s="331" t="s">
        <v>170</v>
      </c>
      <c r="E82" s="331" t="s">
        <v>34</v>
      </c>
      <c r="F82" s="646" t="s">
        <v>1586</v>
      </c>
      <c r="G82" s="339" t="s">
        <v>1457</v>
      </c>
      <c r="H82" s="339">
        <v>5736181</v>
      </c>
      <c r="I82" s="339">
        <f>4740400.33+J82</f>
        <v>5067178.33</v>
      </c>
      <c r="J82" s="339">
        <v>326778</v>
      </c>
      <c r="K82" s="342">
        <v>1</v>
      </c>
      <c r="L82" s="244"/>
      <c r="M82" s="243"/>
      <c r="N82" s="243"/>
      <c r="O82" s="243"/>
      <c r="P82" s="243"/>
      <c r="Q82" s="243"/>
      <c r="R82" s="243"/>
    </row>
    <row r="83" spans="1:18" s="251" customFormat="1" ht="76.5" thickTop="1" thickBot="1" x14ac:dyDescent="0.25">
      <c r="A83" s="170"/>
      <c r="B83" s="331" t="s">
        <v>551</v>
      </c>
      <c r="C83" s="331" t="s">
        <v>197</v>
      </c>
      <c r="D83" s="331" t="s">
        <v>170</v>
      </c>
      <c r="E83" s="331" t="s">
        <v>34</v>
      </c>
      <c r="F83" s="646" t="s">
        <v>1589</v>
      </c>
      <c r="G83" s="339" t="s">
        <v>1457</v>
      </c>
      <c r="H83" s="339">
        <v>2852505</v>
      </c>
      <c r="I83" s="339">
        <f>1038210.19+J83</f>
        <v>2774696.19</v>
      </c>
      <c r="J83" s="339">
        <v>1736486</v>
      </c>
      <c r="K83" s="342">
        <v>1</v>
      </c>
      <c r="L83" s="244"/>
      <c r="M83" s="243"/>
      <c r="N83" s="243"/>
      <c r="O83" s="243"/>
      <c r="P83" s="243"/>
      <c r="Q83" s="243"/>
      <c r="R83" s="243"/>
    </row>
    <row r="84" spans="1:18" s="251" customFormat="1" ht="45.75" customHeight="1" thickTop="1" thickBot="1" x14ac:dyDescent="0.25">
      <c r="A84" s="170"/>
      <c r="B84" s="331" t="s">
        <v>551</v>
      </c>
      <c r="C84" s="331" t="s">
        <v>197</v>
      </c>
      <c r="D84" s="331" t="s">
        <v>170</v>
      </c>
      <c r="E84" s="331" t="s">
        <v>34</v>
      </c>
      <c r="F84" s="646" t="s">
        <v>1320</v>
      </c>
      <c r="G84" s="339" t="s">
        <v>1457</v>
      </c>
      <c r="H84" s="339">
        <v>3610921</v>
      </c>
      <c r="I84" s="339">
        <f>2914367.36+J84</f>
        <v>3178721.36</v>
      </c>
      <c r="J84" s="339">
        <v>264354</v>
      </c>
      <c r="K84" s="342">
        <v>1</v>
      </c>
      <c r="L84" s="244"/>
      <c r="M84" s="243"/>
      <c r="N84" s="243"/>
      <c r="O84" s="243"/>
      <c r="P84" s="243"/>
      <c r="Q84" s="243"/>
      <c r="R84" s="243"/>
    </row>
    <row r="85" spans="1:18" s="251" customFormat="1" ht="46.5" hidden="1" thickTop="1" thickBot="1" x14ac:dyDescent="0.25">
      <c r="A85" s="170"/>
      <c r="B85" s="222" t="s">
        <v>551</v>
      </c>
      <c r="C85" s="222" t="s">
        <v>197</v>
      </c>
      <c r="D85" s="222" t="s">
        <v>170</v>
      </c>
      <c r="E85" s="222" t="s">
        <v>34</v>
      </c>
      <c r="F85" s="231" t="s">
        <v>1321</v>
      </c>
      <c r="G85" s="225" t="s">
        <v>1253</v>
      </c>
      <c r="H85" s="225">
        <v>2163176</v>
      </c>
      <c r="I85" s="225">
        <f>333866.12+J85</f>
        <v>1685143</v>
      </c>
      <c r="J85" s="225">
        <f>(778960+362316.88)+210000</f>
        <v>1351276.88</v>
      </c>
      <c r="K85" s="227">
        <f>I85/H85</f>
        <v>0.77901335813636985</v>
      </c>
      <c r="L85" s="244" t="s">
        <v>1486</v>
      </c>
      <c r="M85" s="243"/>
      <c r="N85" s="243"/>
      <c r="O85" s="243"/>
      <c r="P85" s="243"/>
      <c r="Q85" s="243"/>
      <c r="R85" s="243"/>
    </row>
    <row r="86" spans="1:18" s="251" customFormat="1" ht="61.5" hidden="1" thickTop="1" thickBot="1" x14ac:dyDescent="0.25">
      <c r="A86" s="170"/>
      <c r="B86" s="222" t="s">
        <v>551</v>
      </c>
      <c r="C86" s="222" t="s">
        <v>197</v>
      </c>
      <c r="D86" s="222" t="s">
        <v>170</v>
      </c>
      <c r="E86" s="222" t="s">
        <v>34</v>
      </c>
      <c r="F86" s="231" t="s">
        <v>1322</v>
      </c>
      <c r="G86" s="225" t="s">
        <v>1253</v>
      </c>
      <c r="H86" s="225">
        <v>990371</v>
      </c>
      <c r="I86" s="225">
        <f>495172+J86</f>
        <v>602150</v>
      </c>
      <c r="J86" s="225">
        <v>106978</v>
      </c>
      <c r="K86" s="227">
        <f>I86/H86</f>
        <v>0.60800447509064781</v>
      </c>
      <c r="L86" s="244" t="s">
        <v>1323</v>
      </c>
      <c r="M86" s="243"/>
      <c r="N86" s="243"/>
      <c r="O86" s="243"/>
      <c r="P86" s="243"/>
      <c r="Q86" s="243"/>
      <c r="R86" s="243"/>
    </row>
    <row r="87" spans="1:18" s="251" customFormat="1" ht="61.5" hidden="1" thickTop="1" thickBot="1" x14ac:dyDescent="0.25">
      <c r="A87" s="170"/>
      <c r="B87" s="222" t="s">
        <v>551</v>
      </c>
      <c r="C87" s="222" t="s">
        <v>197</v>
      </c>
      <c r="D87" s="222" t="s">
        <v>170</v>
      </c>
      <c r="E87" s="222" t="s">
        <v>34</v>
      </c>
      <c r="F87" s="231" t="s">
        <v>1325</v>
      </c>
      <c r="G87" s="225" t="s">
        <v>1253</v>
      </c>
      <c r="H87" s="225">
        <v>3193463</v>
      </c>
      <c r="I87" s="225">
        <f>990793.71+J87</f>
        <v>2706428.58</v>
      </c>
      <c r="J87" s="225">
        <f>500000+1215634.87</f>
        <v>1715634.87</v>
      </c>
      <c r="K87" s="227">
        <f>I87/H87</f>
        <v>0.84749019481359267</v>
      </c>
      <c r="L87" s="244" t="s">
        <v>1323</v>
      </c>
      <c r="M87" s="243"/>
      <c r="N87" s="243"/>
      <c r="O87" s="243"/>
      <c r="P87" s="243"/>
      <c r="Q87" s="243"/>
      <c r="R87" s="243"/>
    </row>
    <row r="88" spans="1:18" s="251" customFormat="1" ht="76.5" hidden="1" thickTop="1" thickBot="1" x14ac:dyDescent="0.25">
      <c r="A88" s="170"/>
      <c r="B88" s="222" t="s">
        <v>551</v>
      </c>
      <c r="C88" s="222" t="s">
        <v>197</v>
      </c>
      <c r="D88" s="222" t="s">
        <v>170</v>
      </c>
      <c r="E88" s="222" t="s">
        <v>34</v>
      </c>
      <c r="F88" s="231" t="s">
        <v>1142</v>
      </c>
      <c r="G88" s="225" t="s">
        <v>1136</v>
      </c>
      <c r="H88" s="225">
        <v>3387286</v>
      </c>
      <c r="I88" s="225">
        <v>0</v>
      </c>
      <c r="J88" s="225">
        <f>(500000)-500000</f>
        <v>0</v>
      </c>
      <c r="K88" s="241">
        <f t="shared" si="6"/>
        <v>0</v>
      </c>
      <c r="L88" s="244"/>
      <c r="M88" s="243"/>
      <c r="N88" s="243"/>
      <c r="O88" s="243"/>
      <c r="P88" s="243"/>
      <c r="Q88" s="243"/>
      <c r="R88" s="243"/>
    </row>
    <row r="89" spans="1:18" s="251" customFormat="1" ht="76.5" hidden="1" thickTop="1" thickBot="1" x14ac:dyDescent="0.25">
      <c r="A89" s="170"/>
      <c r="B89" s="222" t="s">
        <v>551</v>
      </c>
      <c r="C89" s="222" t="s">
        <v>197</v>
      </c>
      <c r="D89" s="222" t="s">
        <v>170</v>
      </c>
      <c r="E89" s="222" t="s">
        <v>34</v>
      </c>
      <c r="F89" s="231" t="s">
        <v>1139</v>
      </c>
      <c r="G89" s="225" t="s">
        <v>1136</v>
      </c>
      <c r="H89" s="225">
        <v>5891152</v>
      </c>
      <c r="I89" s="225">
        <v>0</v>
      </c>
      <c r="J89" s="225">
        <f>(1000000)-1000000</f>
        <v>0</v>
      </c>
      <c r="K89" s="241">
        <f t="shared" si="6"/>
        <v>0</v>
      </c>
      <c r="L89" s="244"/>
      <c r="M89" s="243"/>
      <c r="N89" s="243"/>
      <c r="O89" s="243"/>
      <c r="P89" s="243"/>
      <c r="Q89" s="243"/>
      <c r="R89" s="243"/>
    </row>
    <row r="90" spans="1:18" s="251" customFormat="1" ht="31.5" hidden="1" thickTop="1" thickBot="1" x14ac:dyDescent="0.25">
      <c r="A90" s="170"/>
      <c r="B90" s="222" t="s">
        <v>551</v>
      </c>
      <c r="C90" s="222" t="s">
        <v>197</v>
      </c>
      <c r="D90" s="222" t="s">
        <v>170</v>
      </c>
      <c r="E90" s="222" t="s">
        <v>34</v>
      </c>
      <c r="F90" s="231" t="s">
        <v>1324</v>
      </c>
      <c r="G90" s="225" t="s">
        <v>1263</v>
      </c>
      <c r="H90" s="225">
        <v>1442309</v>
      </c>
      <c r="I90" s="225">
        <f>0+J90</f>
        <v>1165856.81</v>
      </c>
      <c r="J90" s="225">
        <v>1165856.81</v>
      </c>
      <c r="K90" s="227">
        <v>1</v>
      </c>
      <c r="L90" s="244"/>
      <c r="M90" s="243"/>
      <c r="N90" s="243"/>
      <c r="O90" s="243"/>
      <c r="P90" s="243"/>
      <c r="Q90" s="243"/>
      <c r="R90" s="243"/>
    </row>
    <row r="91" spans="1:18" s="251" customFormat="1" ht="46.5" hidden="1" thickTop="1" thickBot="1" x14ac:dyDescent="0.25">
      <c r="A91" s="170"/>
      <c r="B91" s="222" t="s">
        <v>551</v>
      </c>
      <c r="C91" s="222" t="s">
        <v>197</v>
      </c>
      <c r="D91" s="222" t="s">
        <v>170</v>
      </c>
      <c r="E91" s="222" t="s">
        <v>34</v>
      </c>
      <c r="F91" s="231" t="s">
        <v>1337</v>
      </c>
      <c r="G91" s="225" t="s">
        <v>939</v>
      </c>
      <c r="H91" s="225">
        <v>21842639</v>
      </c>
      <c r="I91" s="225">
        <f>3147154.85+J91</f>
        <v>9252879.8499999996</v>
      </c>
      <c r="J91" s="225">
        <f>(5891152)+214573</f>
        <v>6105725</v>
      </c>
      <c r="K91" s="227">
        <f t="shared" ref="K91:K96" si="9">I91/H91</f>
        <v>0.42361547292888918</v>
      </c>
      <c r="L91" s="244"/>
      <c r="M91" s="243"/>
      <c r="N91" s="243"/>
      <c r="O91" s="243"/>
      <c r="P91" s="243"/>
      <c r="Q91" s="243"/>
      <c r="R91" s="243"/>
    </row>
    <row r="92" spans="1:18" s="251" customFormat="1" ht="31.5" hidden="1" thickTop="1" thickBot="1" x14ac:dyDescent="0.25">
      <c r="A92" s="170"/>
      <c r="B92" s="222" t="s">
        <v>551</v>
      </c>
      <c r="C92" s="222" t="s">
        <v>197</v>
      </c>
      <c r="D92" s="222" t="s">
        <v>170</v>
      </c>
      <c r="E92" s="222" t="s">
        <v>34</v>
      </c>
      <c r="F92" s="231" t="s">
        <v>1442</v>
      </c>
      <c r="G92" s="225" t="s">
        <v>1264</v>
      </c>
      <c r="H92" s="225">
        <v>428388</v>
      </c>
      <c r="I92" s="225">
        <v>428388</v>
      </c>
      <c r="J92" s="225">
        <f>(428388)-12412</f>
        <v>415976</v>
      </c>
      <c r="K92" s="227">
        <f t="shared" si="9"/>
        <v>1</v>
      </c>
      <c r="L92" s="244"/>
      <c r="M92" s="243"/>
      <c r="N92" s="243"/>
      <c r="O92" s="243"/>
      <c r="P92" s="243"/>
      <c r="Q92" s="243"/>
      <c r="R92" s="243"/>
    </row>
    <row r="93" spans="1:18" s="251" customFormat="1" ht="46.5" hidden="1" thickTop="1" thickBot="1" x14ac:dyDescent="0.25">
      <c r="A93" s="170"/>
      <c r="B93" s="222" t="s">
        <v>551</v>
      </c>
      <c r="C93" s="222" t="s">
        <v>197</v>
      </c>
      <c r="D93" s="222" t="s">
        <v>170</v>
      </c>
      <c r="E93" s="222" t="s">
        <v>34</v>
      </c>
      <c r="F93" s="231" t="s">
        <v>1497</v>
      </c>
      <c r="G93" s="225" t="s">
        <v>1264</v>
      </c>
      <c r="H93" s="225">
        <v>3122498</v>
      </c>
      <c r="I93" s="225">
        <v>3122498</v>
      </c>
      <c r="J93" s="225">
        <f>(3122498)-325803</f>
        <v>2796695</v>
      </c>
      <c r="K93" s="227">
        <f t="shared" si="9"/>
        <v>1</v>
      </c>
      <c r="L93" s="244"/>
      <c r="M93" s="243"/>
      <c r="N93" s="243"/>
      <c r="O93" s="243"/>
      <c r="P93" s="243"/>
      <c r="Q93" s="243"/>
      <c r="R93" s="243"/>
    </row>
    <row r="94" spans="1:18" s="251" customFormat="1" ht="31.5" hidden="1" thickTop="1" thickBot="1" x14ac:dyDescent="0.25">
      <c r="A94" s="170"/>
      <c r="B94" s="222" t="s">
        <v>551</v>
      </c>
      <c r="C94" s="222" t="s">
        <v>197</v>
      </c>
      <c r="D94" s="222" t="s">
        <v>170</v>
      </c>
      <c r="E94" s="222" t="s">
        <v>34</v>
      </c>
      <c r="F94" s="231" t="s">
        <v>1418</v>
      </c>
      <c r="G94" s="225" t="s">
        <v>1264</v>
      </c>
      <c r="H94" s="225">
        <v>738847</v>
      </c>
      <c r="I94" s="225">
        <v>738847</v>
      </c>
      <c r="J94" s="225">
        <f>(738847)-43844</f>
        <v>695003</v>
      </c>
      <c r="K94" s="227">
        <f t="shared" si="9"/>
        <v>1</v>
      </c>
      <c r="L94" s="244"/>
      <c r="M94" s="243"/>
      <c r="N94" s="243"/>
      <c r="O94" s="243"/>
      <c r="P94" s="243"/>
      <c r="Q94" s="243"/>
      <c r="R94" s="243"/>
    </row>
    <row r="95" spans="1:18" s="251" customFormat="1" ht="31.5" thickTop="1" thickBot="1" x14ac:dyDescent="0.25">
      <c r="A95" s="170"/>
      <c r="B95" s="331" t="s">
        <v>551</v>
      </c>
      <c r="C95" s="331" t="s">
        <v>197</v>
      </c>
      <c r="D95" s="331" t="s">
        <v>170</v>
      </c>
      <c r="E95" s="331" t="s">
        <v>34</v>
      </c>
      <c r="F95" s="646" t="s">
        <v>1419</v>
      </c>
      <c r="G95" s="338" t="s">
        <v>1457</v>
      </c>
      <c r="H95" s="339">
        <v>963194</v>
      </c>
      <c r="I95" s="339">
        <f>0+J95</f>
        <v>663000</v>
      </c>
      <c r="J95" s="339">
        <v>663000</v>
      </c>
      <c r="K95" s="342">
        <f t="shared" si="9"/>
        <v>0.68833485258421456</v>
      </c>
      <c r="L95" s="244"/>
      <c r="M95" s="243"/>
      <c r="N95" s="243"/>
      <c r="O95" s="243"/>
      <c r="P95" s="243"/>
      <c r="Q95" s="243"/>
      <c r="R95" s="243"/>
    </row>
    <row r="96" spans="1:18" s="251" customFormat="1" ht="46.5" hidden="1" thickTop="1" thickBot="1" x14ac:dyDescent="0.25">
      <c r="A96" s="170"/>
      <c r="B96" s="222" t="s">
        <v>551</v>
      </c>
      <c r="C96" s="222" t="s">
        <v>197</v>
      </c>
      <c r="D96" s="222" t="s">
        <v>170</v>
      </c>
      <c r="E96" s="222" t="s">
        <v>34</v>
      </c>
      <c r="F96" s="231" t="s">
        <v>1420</v>
      </c>
      <c r="G96" s="225" t="s">
        <v>1264</v>
      </c>
      <c r="H96" s="225">
        <v>923291</v>
      </c>
      <c r="I96" s="225">
        <v>923291</v>
      </c>
      <c r="J96" s="225">
        <f>(923291)-17624</f>
        <v>905667</v>
      </c>
      <c r="K96" s="227">
        <f t="shared" si="9"/>
        <v>1</v>
      </c>
      <c r="L96" s="244"/>
      <c r="M96" s="243"/>
      <c r="N96" s="243"/>
      <c r="O96" s="243"/>
      <c r="P96" s="243"/>
      <c r="Q96" s="243"/>
      <c r="R96" s="243"/>
    </row>
    <row r="97" spans="1:18" s="251" customFormat="1" ht="76.5" hidden="1" thickTop="1" thickBot="1" x14ac:dyDescent="0.25">
      <c r="A97" s="170"/>
      <c r="B97" s="222" t="s">
        <v>551</v>
      </c>
      <c r="C97" s="222" t="s">
        <v>197</v>
      </c>
      <c r="D97" s="222" t="s">
        <v>170</v>
      </c>
      <c r="E97" s="222" t="s">
        <v>34</v>
      </c>
      <c r="F97" s="231" t="s">
        <v>905</v>
      </c>
      <c r="G97" s="224" t="s">
        <v>993</v>
      </c>
      <c r="H97" s="225">
        <v>2924077</v>
      </c>
      <c r="I97" s="225">
        <v>100000</v>
      </c>
      <c r="J97" s="225">
        <f>(500000)-500000</f>
        <v>0</v>
      </c>
      <c r="K97" s="241">
        <f t="shared" si="6"/>
        <v>3.4198825817514385E-2</v>
      </c>
      <c r="L97" s="244"/>
      <c r="M97" s="243"/>
      <c r="N97" s="243"/>
      <c r="O97" s="243"/>
      <c r="P97" s="243"/>
      <c r="Q97" s="243"/>
      <c r="R97" s="243"/>
    </row>
    <row r="98" spans="1:18" s="251" customFormat="1" ht="61.5" thickTop="1" thickBot="1" x14ac:dyDescent="0.25">
      <c r="A98" s="170"/>
      <c r="B98" s="521" t="s">
        <v>551</v>
      </c>
      <c r="C98" s="521" t="s">
        <v>197</v>
      </c>
      <c r="D98" s="521" t="s">
        <v>170</v>
      </c>
      <c r="E98" s="521" t="s">
        <v>34</v>
      </c>
      <c r="F98" s="653" t="s">
        <v>1605</v>
      </c>
      <c r="G98" s="654"/>
      <c r="H98" s="654"/>
      <c r="I98" s="654"/>
      <c r="J98" s="654"/>
      <c r="K98" s="655"/>
      <c r="L98" s="244"/>
      <c r="M98" s="243"/>
      <c r="N98" s="243"/>
      <c r="O98" s="243"/>
      <c r="P98" s="243"/>
      <c r="Q98" s="243"/>
      <c r="R98" s="243"/>
    </row>
    <row r="99" spans="1:18" s="251" customFormat="1" ht="61.5" thickTop="1" thickBot="1" x14ac:dyDescent="0.25">
      <c r="A99" s="170"/>
      <c r="B99" s="331" t="s">
        <v>548</v>
      </c>
      <c r="C99" s="331" t="s">
        <v>305</v>
      </c>
      <c r="D99" s="331" t="s">
        <v>304</v>
      </c>
      <c r="E99" s="331" t="s">
        <v>469</v>
      </c>
      <c r="F99" s="722" t="s">
        <v>1607</v>
      </c>
      <c r="G99" s="339" t="s">
        <v>1507</v>
      </c>
      <c r="H99" s="650">
        <v>2297842</v>
      </c>
      <c r="I99" s="339">
        <f>0+J99</f>
        <v>1490264</v>
      </c>
      <c r="J99" s="339">
        <f>(1090264)+400000</f>
        <v>1490264</v>
      </c>
      <c r="K99" s="642">
        <f>I99/H99</f>
        <v>0.6485493780686401</v>
      </c>
      <c r="L99" s="244"/>
      <c r="M99" s="243"/>
      <c r="N99" s="243"/>
      <c r="O99" s="243"/>
      <c r="P99" s="243"/>
      <c r="Q99" s="243"/>
      <c r="R99" s="243"/>
    </row>
    <row r="100" spans="1:18" ht="65.099999999999994" customHeight="1" thickTop="1" thickBot="1" x14ac:dyDescent="0.25">
      <c r="B100" s="684" t="s">
        <v>25</v>
      </c>
      <c r="C100" s="684"/>
      <c r="D100" s="684"/>
      <c r="E100" s="685" t="s">
        <v>891</v>
      </c>
      <c r="F100" s="684"/>
      <c r="G100" s="684"/>
      <c r="H100" s="686">
        <f>H101</f>
        <v>514822216</v>
      </c>
      <c r="I100" s="686">
        <f>I101</f>
        <v>99615247.260000005</v>
      </c>
      <c r="J100" s="686">
        <f>J101</f>
        <v>56152393.939999998</v>
      </c>
      <c r="K100" s="723"/>
      <c r="L100" s="247"/>
      <c r="M100" s="205"/>
      <c r="N100" s="205"/>
      <c r="O100" s="205"/>
      <c r="P100" s="205"/>
      <c r="Q100" s="205"/>
      <c r="R100" s="205"/>
    </row>
    <row r="101" spans="1:18" ht="65.099999999999994" customHeight="1" thickTop="1" thickBot="1" x14ac:dyDescent="0.25">
      <c r="B101" s="688" t="s">
        <v>26</v>
      </c>
      <c r="C101" s="688"/>
      <c r="D101" s="688"/>
      <c r="E101" s="689" t="s">
        <v>892</v>
      </c>
      <c r="F101" s="688"/>
      <c r="G101" s="688"/>
      <c r="H101" s="724">
        <f>H107+H108+H109+H119+H120+H117+H111</f>
        <v>514822216</v>
      </c>
      <c r="I101" s="724">
        <f>I107+I108+I109+I119+I120+I117+I111</f>
        <v>99615247.260000005</v>
      </c>
      <c r="J101" s="724">
        <f>J107+J108+J109+J119+J120+J117+J111</f>
        <v>56152393.939999998</v>
      </c>
      <c r="K101" s="725"/>
      <c r="L101" s="247"/>
      <c r="M101" s="205"/>
      <c r="N101" s="205"/>
      <c r="O101" s="205"/>
      <c r="P101" s="205"/>
      <c r="Q101" s="205"/>
      <c r="R101" s="205"/>
    </row>
    <row r="102" spans="1:18" ht="91.5" hidden="1" thickTop="1" thickBot="1" x14ac:dyDescent="0.25">
      <c r="A102" s="340"/>
      <c r="B102" s="447" t="s">
        <v>433</v>
      </c>
      <c r="C102" s="447" t="s">
        <v>434</v>
      </c>
      <c r="D102" s="447" t="s">
        <v>195</v>
      </c>
      <c r="E102" s="447" t="s">
        <v>1178</v>
      </c>
      <c r="F102" s="242" t="s">
        <v>1122</v>
      </c>
      <c r="G102" s="225" t="s">
        <v>1124</v>
      </c>
      <c r="H102" s="225">
        <v>448128773</v>
      </c>
      <c r="I102" s="225">
        <f>287427907.48+3866315.08+J102</f>
        <v>293494222.56</v>
      </c>
      <c r="J102" s="225">
        <f>(3000000)-800000</f>
        <v>2200000</v>
      </c>
      <c r="K102" s="241">
        <f t="shared" ref="K102:K120" si="10">I102/H102</f>
        <v>0.6549327787974909</v>
      </c>
      <c r="L102" s="247"/>
      <c r="M102" s="205"/>
      <c r="N102" s="205"/>
      <c r="O102" s="205"/>
      <c r="P102" s="205"/>
      <c r="Q102" s="205"/>
      <c r="R102" s="205"/>
    </row>
    <row r="103" spans="1:18" ht="46.5" hidden="1" thickTop="1" thickBot="1" x14ac:dyDescent="0.25">
      <c r="A103" s="340"/>
      <c r="B103" s="447" t="s">
        <v>927</v>
      </c>
      <c r="C103" s="447" t="s">
        <v>305</v>
      </c>
      <c r="D103" s="447" t="s">
        <v>304</v>
      </c>
      <c r="E103" s="447" t="s">
        <v>469</v>
      </c>
      <c r="F103" s="448" t="s">
        <v>1123</v>
      </c>
      <c r="G103" s="225" t="s">
        <v>1269</v>
      </c>
      <c r="H103" s="225">
        <v>6293206</v>
      </c>
      <c r="I103" s="225">
        <f>1639036.69+J103</f>
        <v>6139036.6899999995</v>
      </c>
      <c r="J103" s="225">
        <f>(100000+1000000)+3400000</f>
        <v>4500000</v>
      </c>
      <c r="K103" s="241">
        <f t="shared" si="10"/>
        <v>0.97550226228094228</v>
      </c>
      <c r="L103" s="449">
        <f>1639037+J103</f>
        <v>6139037</v>
      </c>
      <c r="M103" s="205"/>
      <c r="N103" s="205"/>
      <c r="O103" s="205"/>
      <c r="P103" s="205"/>
      <c r="Q103" s="205"/>
      <c r="R103" s="205"/>
    </row>
    <row r="104" spans="1:18" ht="61.5" hidden="1" thickTop="1" thickBot="1" x14ac:dyDescent="0.25">
      <c r="A104" s="340"/>
      <c r="B104" s="447" t="s">
        <v>310</v>
      </c>
      <c r="C104" s="447" t="s">
        <v>311</v>
      </c>
      <c r="D104" s="447" t="s">
        <v>304</v>
      </c>
      <c r="E104" s="447" t="s">
        <v>309</v>
      </c>
      <c r="F104" s="448" t="s">
        <v>937</v>
      </c>
      <c r="G104" s="225" t="s">
        <v>1124</v>
      </c>
      <c r="H104" s="225">
        <f>(9300000+10829899)-20129899</f>
        <v>0</v>
      </c>
      <c r="I104" s="225">
        <f>(7572904.16+J104)-7572904.16</f>
        <v>0</v>
      </c>
      <c r="J104" s="225">
        <f>(200000+2000000)-2200000</f>
        <v>0</v>
      </c>
      <c r="K104" s="241" t="e">
        <f t="shared" si="10"/>
        <v>#DIV/0!</v>
      </c>
      <c r="L104" s="449">
        <f>7572904+J104</f>
        <v>7572904</v>
      </c>
      <c r="M104" s="205"/>
      <c r="N104" s="205"/>
      <c r="O104" s="205"/>
      <c r="P104" s="205"/>
      <c r="Q104" s="205"/>
      <c r="R104" s="205"/>
    </row>
    <row r="105" spans="1:18" ht="46.5" hidden="1" thickTop="1" thickBot="1" x14ac:dyDescent="0.25">
      <c r="A105" s="340"/>
      <c r="B105" s="447" t="s">
        <v>310</v>
      </c>
      <c r="C105" s="447" t="s">
        <v>311</v>
      </c>
      <c r="D105" s="447" t="s">
        <v>304</v>
      </c>
      <c r="E105" s="447" t="s">
        <v>309</v>
      </c>
      <c r="F105" s="448" t="s">
        <v>1340</v>
      </c>
      <c r="G105" s="225" t="s">
        <v>1341</v>
      </c>
      <c r="H105" s="225">
        <f>56437448-56437448</f>
        <v>0</v>
      </c>
      <c r="I105" s="225">
        <f>48973733.31+J105-48973733.31</f>
        <v>0</v>
      </c>
      <c r="J105" s="225">
        <f>(2000000)-2000000</f>
        <v>0</v>
      </c>
      <c r="K105" s="241" t="e">
        <f>I105/H105</f>
        <v>#DIV/0!</v>
      </c>
      <c r="L105" s="449">
        <f>28071676+15122869+2857360+1500000+1458181+J105</f>
        <v>49010086</v>
      </c>
      <c r="M105" s="359"/>
      <c r="N105" s="205"/>
      <c r="O105" s="205"/>
      <c r="P105" s="205"/>
      <c r="Q105" s="205"/>
      <c r="R105" s="205"/>
    </row>
    <row r="106" spans="1:18" ht="61.5" hidden="1" thickTop="1" thickBot="1" x14ac:dyDescent="0.25">
      <c r="A106" s="340"/>
      <c r="B106" s="447" t="s">
        <v>310</v>
      </c>
      <c r="C106" s="447" t="s">
        <v>311</v>
      </c>
      <c r="D106" s="447" t="s">
        <v>304</v>
      </c>
      <c r="E106" s="447" t="s">
        <v>309</v>
      </c>
      <c r="F106" s="448" t="s">
        <v>1342</v>
      </c>
      <c r="G106" s="225" t="s">
        <v>1343</v>
      </c>
      <c r="H106" s="225">
        <f>34056704-34056704</f>
        <v>0</v>
      </c>
      <c r="I106" s="225">
        <f>24032981.17+J106-24032981.17</f>
        <v>0</v>
      </c>
      <c r="J106" s="225">
        <f>1000000-1000000</f>
        <v>0</v>
      </c>
      <c r="K106" s="241" t="e">
        <f>I106/H106</f>
        <v>#DIV/0!</v>
      </c>
      <c r="L106" s="449">
        <f>13051785+7748088+1427600+2095030-176100+J106</f>
        <v>24146403</v>
      </c>
      <c r="M106" s="359"/>
      <c r="N106" s="205"/>
      <c r="O106" s="205"/>
      <c r="P106" s="205"/>
      <c r="Q106" s="205"/>
      <c r="R106" s="205"/>
    </row>
    <row r="107" spans="1:18" ht="64.5" thickTop="1" thickBot="1" x14ac:dyDescent="0.25">
      <c r="A107" s="340"/>
      <c r="B107" s="640" t="s">
        <v>310</v>
      </c>
      <c r="C107" s="640" t="s">
        <v>311</v>
      </c>
      <c r="D107" s="640" t="s">
        <v>304</v>
      </c>
      <c r="E107" s="640" t="s">
        <v>309</v>
      </c>
      <c r="F107" s="641" t="s">
        <v>1560</v>
      </c>
      <c r="G107" s="339" t="s">
        <v>1457</v>
      </c>
      <c r="H107" s="339">
        <v>26289468</v>
      </c>
      <c r="I107" s="339">
        <f>9023652.06+J107</f>
        <v>26289468</v>
      </c>
      <c r="J107" s="339">
        <f>(5000000)+12265815.94</f>
        <v>17265815.939999998</v>
      </c>
      <c r="K107" s="642">
        <f t="shared" ref="K107:K110" si="11">I107/H107</f>
        <v>1</v>
      </c>
      <c r="L107" s="449"/>
      <c r="M107" s="359"/>
      <c r="N107" s="205"/>
      <c r="O107" s="205"/>
      <c r="P107" s="205"/>
      <c r="Q107" s="205"/>
      <c r="R107" s="205"/>
    </row>
    <row r="108" spans="1:18" ht="80.25" thickTop="1" thickBot="1" x14ac:dyDescent="0.25">
      <c r="A108" s="340"/>
      <c r="B108" s="640" t="s">
        <v>310</v>
      </c>
      <c r="C108" s="640" t="s">
        <v>311</v>
      </c>
      <c r="D108" s="640" t="s">
        <v>304</v>
      </c>
      <c r="E108" s="640" t="s">
        <v>309</v>
      </c>
      <c r="F108" s="643" t="s">
        <v>1610</v>
      </c>
      <c r="G108" s="339" t="s">
        <v>1457</v>
      </c>
      <c r="H108" s="339">
        <v>42847731</v>
      </c>
      <c r="I108" s="339">
        <f>5381378.3+J108</f>
        <v>30541378.300000001</v>
      </c>
      <c r="J108" s="339">
        <f>((5000000)+10160000)+10000000</f>
        <v>25160000</v>
      </c>
      <c r="K108" s="642">
        <f t="shared" si="11"/>
        <v>0.71278869585883087</v>
      </c>
      <c r="L108" s="449"/>
      <c r="M108" s="359"/>
      <c r="N108" s="205"/>
      <c r="O108" s="205"/>
      <c r="P108" s="205"/>
      <c r="Q108" s="205"/>
      <c r="R108" s="205"/>
    </row>
    <row r="109" spans="1:18" ht="96" thickTop="1" thickBot="1" x14ac:dyDescent="0.25">
      <c r="A109" s="340"/>
      <c r="B109" s="640" t="s">
        <v>310</v>
      </c>
      <c r="C109" s="640" t="s">
        <v>311</v>
      </c>
      <c r="D109" s="640" t="s">
        <v>304</v>
      </c>
      <c r="E109" s="640" t="s">
        <v>309</v>
      </c>
      <c r="F109" s="643" t="s">
        <v>1561</v>
      </c>
      <c r="G109" s="339" t="s">
        <v>1457</v>
      </c>
      <c r="H109" s="339">
        <v>48619051</v>
      </c>
      <c r="I109" s="339">
        <f>5758322.59+J109</f>
        <v>12758322.59</v>
      </c>
      <c r="J109" s="339">
        <f>(2000000)+5000000</f>
        <v>7000000</v>
      </c>
      <c r="K109" s="642">
        <f t="shared" si="11"/>
        <v>0.26241406048834642</v>
      </c>
      <c r="L109" s="449"/>
      <c r="M109" s="359"/>
      <c r="N109" s="205"/>
      <c r="O109" s="205"/>
      <c r="P109" s="205"/>
      <c r="Q109" s="205"/>
      <c r="R109" s="205"/>
    </row>
    <row r="110" spans="1:18" ht="80.25" hidden="1" thickTop="1" thickBot="1" x14ac:dyDescent="0.25">
      <c r="A110" s="340"/>
      <c r="B110" s="447" t="s">
        <v>310</v>
      </c>
      <c r="C110" s="447" t="s">
        <v>311</v>
      </c>
      <c r="D110" s="447" t="s">
        <v>304</v>
      </c>
      <c r="E110" s="447" t="s">
        <v>309</v>
      </c>
      <c r="F110" s="699" t="s">
        <v>1555</v>
      </c>
      <c r="G110" s="225" t="s">
        <v>1457</v>
      </c>
      <c r="H110" s="225">
        <v>54864985</v>
      </c>
      <c r="I110" s="225">
        <f>1449509.74+J110</f>
        <v>1449509.74</v>
      </c>
      <c r="J110" s="225">
        <f>(1000000)-1000000</f>
        <v>0</v>
      </c>
      <c r="K110" s="241">
        <f t="shared" si="11"/>
        <v>2.641957780540722E-2</v>
      </c>
      <c r="L110" s="449"/>
      <c r="M110" s="359"/>
      <c r="N110" s="205"/>
      <c r="O110" s="205"/>
      <c r="P110" s="205"/>
      <c r="Q110" s="205"/>
      <c r="R110" s="205"/>
    </row>
    <row r="111" spans="1:18" ht="46.5" thickTop="1" thickBot="1" x14ac:dyDescent="0.25">
      <c r="B111" s="640" t="s">
        <v>516</v>
      </c>
      <c r="C111" s="640" t="s">
        <v>517</v>
      </c>
      <c r="D111" s="640" t="s">
        <v>304</v>
      </c>
      <c r="E111" s="640" t="s">
        <v>1612</v>
      </c>
      <c r="F111" s="641" t="s">
        <v>1611</v>
      </c>
      <c r="G111" s="339" t="s">
        <v>939</v>
      </c>
      <c r="H111" s="339">
        <v>22598484</v>
      </c>
      <c r="I111" s="339">
        <f>980635.67+J111</f>
        <v>1980635.67</v>
      </c>
      <c r="J111" s="339">
        <v>1000000</v>
      </c>
      <c r="K111" s="642">
        <f>I111/H111</f>
        <v>8.7644625630639642E-2</v>
      </c>
      <c r="L111" s="449">
        <f>730636+J111</f>
        <v>1730636</v>
      </c>
      <c r="M111" s="205"/>
      <c r="N111" s="205"/>
      <c r="O111" s="205"/>
      <c r="P111" s="205"/>
      <c r="Q111" s="205"/>
      <c r="R111" s="205"/>
    </row>
    <row r="112" spans="1:18" ht="61.5" hidden="1" thickTop="1" thickBot="1" x14ac:dyDescent="0.25">
      <c r="B112" s="447" t="s">
        <v>314</v>
      </c>
      <c r="C112" s="447" t="s">
        <v>315</v>
      </c>
      <c r="D112" s="447" t="s">
        <v>304</v>
      </c>
      <c r="E112" s="447" t="s">
        <v>462</v>
      </c>
      <c r="F112" s="450" t="s">
        <v>1125</v>
      </c>
      <c r="G112" s="225" t="s">
        <v>940</v>
      </c>
      <c r="H112" s="225">
        <v>15423995</v>
      </c>
      <c r="I112" s="225">
        <f>211261.75+1743.5+J112</f>
        <v>663787.25</v>
      </c>
      <c r="J112" s="225">
        <f>100000+350782</f>
        <v>450782</v>
      </c>
      <c r="K112" s="241">
        <f t="shared" si="10"/>
        <v>4.3036013043313358E-2</v>
      </c>
      <c r="L112" s="449">
        <f>213005+J112</f>
        <v>663787</v>
      </c>
      <c r="M112" s="205"/>
      <c r="N112" s="205"/>
      <c r="O112" s="205"/>
      <c r="P112" s="205"/>
      <c r="Q112" s="205"/>
      <c r="R112" s="205"/>
    </row>
    <row r="113" spans="1:18" ht="61.5" hidden="1" thickTop="1" thickBot="1" x14ac:dyDescent="0.25">
      <c r="B113" s="447" t="s">
        <v>314</v>
      </c>
      <c r="C113" s="447" t="s">
        <v>315</v>
      </c>
      <c r="D113" s="447" t="s">
        <v>304</v>
      </c>
      <c r="E113" s="447" t="s">
        <v>462</v>
      </c>
      <c r="F113" s="450" t="s">
        <v>1126</v>
      </c>
      <c r="G113" s="225" t="s">
        <v>1124</v>
      </c>
      <c r="H113" s="225">
        <v>14473674</v>
      </c>
      <c r="I113" s="225">
        <f>8250400.29+J113</f>
        <v>8833240.2899999991</v>
      </c>
      <c r="J113" s="225">
        <f>((100000+1760720)+4362554)-5640434</f>
        <v>582840</v>
      </c>
      <c r="K113" s="241">
        <f t="shared" si="10"/>
        <v>0.61029703239136102</v>
      </c>
      <c r="L113" s="449">
        <f>8250400+J113</f>
        <v>8833240</v>
      </c>
      <c r="M113" s="205"/>
      <c r="N113" s="205"/>
      <c r="O113" s="205"/>
      <c r="P113" s="205"/>
      <c r="Q113" s="205"/>
      <c r="R113" s="205"/>
    </row>
    <row r="114" spans="1:18" ht="31.5" hidden="1" thickTop="1" thickBot="1" x14ac:dyDescent="0.25">
      <c r="B114" s="447" t="s">
        <v>314</v>
      </c>
      <c r="C114" s="447" t="s">
        <v>315</v>
      </c>
      <c r="D114" s="447" t="s">
        <v>304</v>
      </c>
      <c r="E114" s="447" t="s">
        <v>462</v>
      </c>
      <c r="F114" s="450" t="s">
        <v>1403</v>
      </c>
      <c r="G114" s="225" t="s">
        <v>938</v>
      </c>
      <c r="H114" s="225">
        <v>80787509</v>
      </c>
      <c r="I114" s="225">
        <f>1618673.51+31922.71+J114</f>
        <v>2046000.22</v>
      </c>
      <c r="J114" s="225">
        <f>(270000)+125404</f>
        <v>395404</v>
      </c>
      <c r="K114" s="241">
        <f t="shared" si="10"/>
        <v>2.5325700041079369E-2</v>
      </c>
      <c r="L114" s="449">
        <f>1618674+J114</f>
        <v>2014078</v>
      </c>
      <c r="M114" s="205"/>
      <c r="N114" s="205"/>
      <c r="O114" s="205"/>
      <c r="P114" s="205"/>
      <c r="Q114" s="205"/>
      <c r="R114" s="205"/>
    </row>
    <row r="115" spans="1:18" ht="46.5" hidden="1" thickTop="1" thickBot="1" x14ac:dyDescent="0.25">
      <c r="B115" s="447" t="s">
        <v>314</v>
      </c>
      <c r="C115" s="447" t="s">
        <v>315</v>
      </c>
      <c r="D115" s="447" t="s">
        <v>304</v>
      </c>
      <c r="E115" s="447" t="s">
        <v>462</v>
      </c>
      <c r="F115" s="451" t="s">
        <v>1228</v>
      </c>
      <c r="G115" s="225" t="s">
        <v>940</v>
      </c>
      <c r="H115" s="225">
        <v>65017720</v>
      </c>
      <c r="I115" s="225">
        <f>22468487.3+J115</f>
        <v>38809572.299999997</v>
      </c>
      <c r="J115" s="225">
        <f>(100000+2000000)+14241085</f>
        <v>16341085</v>
      </c>
      <c r="K115" s="241">
        <f t="shared" si="10"/>
        <v>0.59690761687736815</v>
      </c>
      <c r="L115" s="449">
        <f>22468487+J115</f>
        <v>38809572</v>
      </c>
      <c r="M115" s="205"/>
      <c r="N115" s="205"/>
      <c r="O115" s="205"/>
      <c r="P115" s="205"/>
      <c r="Q115" s="205"/>
      <c r="R115" s="205"/>
    </row>
    <row r="116" spans="1:18" ht="61.5" hidden="1" thickTop="1" thickBot="1" x14ac:dyDescent="0.25">
      <c r="B116" s="447" t="s">
        <v>314</v>
      </c>
      <c r="C116" s="447" t="s">
        <v>315</v>
      </c>
      <c r="D116" s="447" t="s">
        <v>304</v>
      </c>
      <c r="E116" s="447" t="s">
        <v>462</v>
      </c>
      <c r="F116" s="451" t="s">
        <v>1268</v>
      </c>
      <c r="G116" s="225" t="s">
        <v>1270</v>
      </c>
      <c r="H116" s="225">
        <v>14225016</v>
      </c>
      <c r="I116" s="225">
        <f>49956+33089.84+J116</f>
        <v>133045.84</v>
      </c>
      <c r="J116" s="225">
        <v>50000</v>
      </c>
      <c r="K116" s="241">
        <f t="shared" si="10"/>
        <v>9.3529483552074744E-3</v>
      </c>
      <c r="L116" s="449">
        <f>83046+J116</f>
        <v>133046</v>
      </c>
      <c r="M116" s="205"/>
      <c r="N116" s="205"/>
      <c r="O116" s="205"/>
      <c r="P116" s="205"/>
      <c r="Q116" s="205"/>
      <c r="R116" s="205"/>
    </row>
    <row r="117" spans="1:18" ht="61.5" thickTop="1" thickBot="1" x14ac:dyDescent="0.25">
      <c r="B117" s="640" t="s">
        <v>314</v>
      </c>
      <c r="C117" s="640" t="s">
        <v>315</v>
      </c>
      <c r="D117" s="640" t="s">
        <v>304</v>
      </c>
      <c r="E117" s="640" t="s">
        <v>462</v>
      </c>
      <c r="F117" s="644" t="s">
        <v>1267</v>
      </c>
      <c r="G117" s="339" t="s">
        <v>939</v>
      </c>
      <c r="H117" s="339">
        <v>215810767</v>
      </c>
      <c r="I117" s="339">
        <f>1481149.2+J117</f>
        <v>1557727.2</v>
      </c>
      <c r="J117" s="339">
        <f>((0)+50000)+26578</f>
        <v>76578</v>
      </c>
      <c r="K117" s="642">
        <f t="shared" si="10"/>
        <v>7.2180235567208748E-3</v>
      </c>
      <c r="L117" s="449">
        <f>151662+J117</f>
        <v>228240</v>
      </c>
      <c r="M117" s="205"/>
      <c r="N117" s="205"/>
      <c r="O117" s="205"/>
      <c r="P117" s="205"/>
      <c r="Q117" s="205"/>
      <c r="R117" s="205"/>
    </row>
    <row r="118" spans="1:18" ht="61.5" hidden="1" thickTop="1" thickBot="1" x14ac:dyDescent="0.25">
      <c r="B118" s="447" t="s">
        <v>314</v>
      </c>
      <c r="C118" s="447" t="s">
        <v>315</v>
      </c>
      <c r="D118" s="447" t="s">
        <v>304</v>
      </c>
      <c r="E118" s="447" t="s">
        <v>462</v>
      </c>
      <c r="F118" s="451" t="s">
        <v>1422</v>
      </c>
      <c r="G118" s="225" t="s">
        <v>1302</v>
      </c>
      <c r="H118" s="225">
        <v>2848861</v>
      </c>
      <c r="I118" s="225">
        <f>102794.48+J118</f>
        <v>2848861.48</v>
      </c>
      <c r="J118" s="225">
        <f>(2000000)+746067</f>
        <v>2746067</v>
      </c>
      <c r="K118" s="241">
        <f t="shared" si="10"/>
        <v>1.0000001684883888</v>
      </c>
      <c r="L118" s="449">
        <f>102794+J118</f>
        <v>2848861</v>
      </c>
      <c r="M118" s="205"/>
      <c r="N118" s="205"/>
      <c r="O118" s="205"/>
      <c r="P118" s="205"/>
      <c r="Q118" s="205"/>
      <c r="R118" s="205"/>
    </row>
    <row r="119" spans="1:18" ht="76.5" thickTop="1" thickBot="1" x14ac:dyDescent="0.25">
      <c r="B119" s="640" t="s">
        <v>314</v>
      </c>
      <c r="C119" s="640" t="s">
        <v>315</v>
      </c>
      <c r="D119" s="640" t="s">
        <v>304</v>
      </c>
      <c r="E119" s="640" t="s">
        <v>462</v>
      </c>
      <c r="F119" s="644" t="s">
        <v>1506</v>
      </c>
      <c r="G119" s="339" t="s">
        <v>1507</v>
      </c>
      <c r="H119" s="339">
        <v>1516892</v>
      </c>
      <c r="I119" s="339">
        <f>J119</f>
        <v>1500000</v>
      </c>
      <c r="J119" s="339">
        <v>1500000</v>
      </c>
      <c r="K119" s="642">
        <f t="shared" si="10"/>
        <v>0.98886407206313964</v>
      </c>
      <c r="L119" s="449"/>
      <c r="M119" s="205"/>
      <c r="N119" s="205"/>
      <c r="O119" s="205"/>
      <c r="P119" s="205"/>
      <c r="Q119" s="205"/>
      <c r="R119" s="205"/>
    </row>
    <row r="120" spans="1:18" ht="61.5" thickTop="1" thickBot="1" x14ac:dyDescent="0.25">
      <c r="B120" s="640" t="s">
        <v>314</v>
      </c>
      <c r="C120" s="640" t="s">
        <v>315</v>
      </c>
      <c r="D120" s="640" t="s">
        <v>304</v>
      </c>
      <c r="E120" s="640" t="s">
        <v>462</v>
      </c>
      <c r="F120" s="644" t="s">
        <v>1423</v>
      </c>
      <c r="G120" s="339" t="s">
        <v>939</v>
      </c>
      <c r="H120" s="339">
        <v>157139823</v>
      </c>
      <c r="I120" s="339">
        <f>20837715.5+J120</f>
        <v>24987715.5</v>
      </c>
      <c r="J120" s="339">
        <f>(1500000+50000)+2600000</f>
        <v>4150000</v>
      </c>
      <c r="K120" s="642">
        <f t="shared" si="10"/>
        <v>0.15901580530608081</v>
      </c>
      <c r="L120" s="449">
        <f>4088+756990+J120</f>
        <v>4911078</v>
      </c>
      <c r="M120" s="205"/>
      <c r="N120" s="205"/>
      <c r="O120" s="205"/>
      <c r="P120" s="205"/>
      <c r="Q120" s="205"/>
      <c r="R120" s="205"/>
    </row>
    <row r="121" spans="1:18" ht="21.75" thickTop="1" thickBot="1" x14ac:dyDescent="0.25">
      <c r="A121" s="249"/>
      <c r="B121" s="726" t="s">
        <v>381</v>
      </c>
      <c r="C121" s="726" t="s">
        <v>381</v>
      </c>
      <c r="D121" s="726" t="s">
        <v>381</v>
      </c>
      <c r="E121" s="726" t="s">
        <v>383</v>
      </c>
      <c r="F121" s="726" t="s">
        <v>381</v>
      </c>
      <c r="G121" s="726" t="s">
        <v>381</v>
      </c>
      <c r="H121" s="726">
        <f>H100+H54+H45+H36+H19+H29</f>
        <v>933327501.57000005</v>
      </c>
      <c r="I121" s="726">
        <f>I100+I54+I45+I36+I19+I29</f>
        <v>341403171.47000003</v>
      </c>
      <c r="J121" s="726">
        <f>J100+J54+J45+J36+J19+J29</f>
        <v>170080857.37</v>
      </c>
      <c r="K121" s="726" t="s">
        <v>381</v>
      </c>
      <c r="L121" s="732" t="b">
        <f>H121=H120+H119+H117+H111+H109+H108+H107+H99+H95+H84+H83+H82+H81+H74+H64+H63+H62+H48+H40+H39+H38+H33+H27+H26+H25+H24+H22+H21</f>
        <v>1</v>
      </c>
      <c r="M121" s="732" t="b">
        <f>I121=I120+I119+I117+I111+I109+I108+I107+I99+I95+I84+I83+I82+I81+I74+I64+I63+I62+I48+I40+I39+I38+I33+I27+I26+I25+I24+I22+I21</f>
        <v>1</v>
      </c>
      <c r="N121" s="732" t="b">
        <f>J121=J120+J119+J117+J111+J109+J108+J107+J99+J95+J84+J83+J82+J81+J74+J64+J63+J62+J48+J40+J39+J38+J33+J27+J26+J25+J24+J22+J21</f>
        <v>1</v>
      </c>
      <c r="O121" s="205"/>
      <c r="P121" s="205"/>
      <c r="Q121" s="205"/>
      <c r="R121" s="205"/>
    </row>
    <row r="122" spans="1:18" ht="16.5" thickTop="1" x14ac:dyDescent="0.2">
      <c r="B122" s="891" t="s">
        <v>1540</v>
      </c>
      <c r="C122" s="860"/>
      <c r="D122" s="860"/>
      <c r="E122" s="860"/>
      <c r="F122" s="860"/>
      <c r="G122" s="860"/>
      <c r="H122" s="860"/>
      <c r="I122" s="860"/>
      <c r="J122" s="860"/>
      <c r="K122" s="860"/>
      <c r="L122" s="860"/>
      <c r="M122" s="860"/>
      <c r="N122" s="860"/>
      <c r="O122" s="860"/>
      <c r="P122" s="860"/>
      <c r="Q122" s="860"/>
      <c r="R122" s="860"/>
    </row>
    <row r="123" spans="1:18" ht="11.25" customHeight="1" x14ac:dyDescent="0.2">
      <c r="B123" s="892"/>
      <c r="C123" s="892"/>
      <c r="D123" s="892"/>
      <c r="E123" s="892"/>
      <c r="F123" s="892"/>
      <c r="G123" s="892"/>
      <c r="H123" s="892"/>
      <c r="I123" s="892"/>
      <c r="J123" s="892"/>
      <c r="K123" s="892"/>
      <c r="L123" s="340"/>
      <c r="M123" s="340"/>
      <c r="N123" s="340"/>
      <c r="O123" s="340"/>
      <c r="P123" s="340"/>
      <c r="Q123" s="340"/>
      <c r="R123" s="340"/>
    </row>
    <row r="124" spans="1:18" ht="15" x14ac:dyDescent="0.25">
      <c r="B124" s="332"/>
      <c r="C124" s="332"/>
      <c r="D124" s="889" t="s">
        <v>1480</v>
      </c>
      <c r="E124" s="890"/>
      <c r="F124" s="368"/>
      <c r="G124" s="368" t="s">
        <v>1481</v>
      </c>
      <c r="H124" s="351"/>
      <c r="I124" s="346"/>
      <c r="J124" s="346"/>
      <c r="K124" s="344"/>
      <c r="L124" s="340"/>
      <c r="M124" s="340"/>
      <c r="N124" s="340"/>
      <c r="O124" s="340"/>
      <c r="P124" s="340"/>
      <c r="Q124" s="340"/>
      <c r="R124" s="340"/>
    </row>
    <row r="125" spans="1:18" ht="15" hidden="1" x14ac:dyDescent="0.25">
      <c r="B125" s="332"/>
      <c r="C125" s="332"/>
      <c r="D125" s="344" t="s">
        <v>1482</v>
      </c>
      <c r="E125" s="345"/>
      <c r="F125" s="344"/>
      <c r="G125" s="344" t="s">
        <v>1446</v>
      </c>
      <c r="H125" s="351"/>
      <c r="I125" s="346"/>
      <c r="J125" s="346"/>
      <c r="K125" s="344"/>
      <c r="L125" s="340"/>
      <c r="M125" s="340"/>
      <c r="N125" s="340"/>
      <c r="O125" s="340"/>
      <c r="P125" s="340"/>
      <c r="Q125" s="340"/>
      <c r="R125" s="340"/>
    </row>
    <row r="126" spans="1:18" ht="3" customHeight="1" x14ac:dyDescent="0.25">
      <c r="B126" s="332"/>
      <c r="C126" s="332"/>
      <c r="D126" s="344"/>
      <c r="E126" s="344"/>
      <c r="F126" s="344"/>
      <c r="G126" s="344"/>
      <c r="H126" s="351"/>
      <c r="I126" s="351"/>
      <c r="J126" s="332"/>
      <c r="K126" s="332"/>
      <c r="L126" s="340"/>
      <c r="M126" s="340"/>
      <c r="N126" s="340"/>
      <c r="O126" s="340"/>
      <c r="P126" s="340"/>
      <c r="Q126" s="340"/>
      <c r="R126" s="340"/>
    </row>
    <row r="127" spans="1:18" ht="15" x14ac:dyDescent="0.25">
      <c r="B127" s="332"/>
      <c r="C127" s="332"/>
      <c r="D127" s="889" t="s">
        <v>523</v>
      </c>
      <c r="E127" s="890"/>
      <c r="F127" s="344"/>
      <c r="G127" s="344" t="s">
        <v>1346</v>
      </c>
      <c r="H127" s="344"/>
      <c r="I127" s="346"/>
      <c r="J127" s="346"/>
      <c r="K127" s="344"/>
      <c r="L127" s="340"/>
      <c r="M127" s="340"/>
      <c r="N127" s="340"/>
      <c r="O127" s="340"/>
      <c r="P127" s="340"/>
      <c r="Q127" s="340"/>
      <c r="R127" s="340"/>
    </row>
    <row r="138" spans="4:11" x14ac:dyDescent="0.2">
      <c r="D138" s="11">
        <f>SUM(D139:D151)+D158</f>
        <v>88281</v>
      </c>
    </row>
    <row r="139" spans="4:11" ht="46.5" x14ac:dyDescent="0.2">
      <c r="K139" s="253"/>
    </row>
    <row r="142" spans="4:11" ht="46.5" x14ac:dyDescent="0.2">
      <c r="G142" s="253"/>
      <c r="K142" s="253"/>
    </row>
    <row r="158" spans="1:10" x14ac:dyDescent="0.2">
      <c r="A158" s="170">
        <v>41057700</v>
      </c>
      <c r="B158" s="11" t="s">
        <v>1377</v>
      </c>
      <c r="D158" s="11">
        <v>88281</v>
      </c>
    </row>
    <row r="159" spans="1:10" x14ac:dyDescent="0.2">
      <c r="G159" s="252" t="e">
        <f>C159=C155+C154+C153+C133+C127+C120+C113+C112+C104+C103+C102+C101+C91+C90+C89+C88+C86+C85+C83+C81+C80+C79+C76+C75+C74+C72+C71+C65+C64+C63+C59+C58+C57+C55+C54+C50+C49+C48+C47+C46+C45+C44+C43+C42+C41+C35+C32+C29+#REF!+#REF!+#REF!+#REF!+C20+C19+C18+C117+C116+C36+C52+C144+C143+C124+C158</f>
        <v>#REF!</v>
      </c>
      <c r="H159" s="252" t="e">
        <f>D159=D155+D154+D153+D133+D127+D120+D113+D112+D104+D103+D102+D101+D91+D90+D89+D88+D86+D85+D83+D81+D80+D79+D76+D75+D74+D72+D71+D65+D64+D63+D59+D58+D57+D55+D54+D50+D49+D48+D47+D46+D45+D44+D43+D42+D41+D35+D32+D29+#REF!+#REF!+#REF!+#REF!+D20+D19+D18+D117+D116+D36+D52+D144+D143+D124+D158</f>
        <v>#VALUE!</v>
      </c>
      <c r="I159" s="252" t="e">
        <f>E159=E155+E154+E153+E133+E127+E120+E113+E112+E104+E103+E102+E101+E91+E90+E89+E88+E86+E85+E83+E81+E80+E79+E76+E75+E74+E72+E71+E65+E64+E63+E59+E58+E57+E55+E54+E50+E49+E48+E47+E46+E45+E44+E43+E42+E41+E35+E32+E29+#REF!+#REF!+#REF!+#REF!+E20+E19+E18+E117+E116+E36+E52+E144+E143+E124+E158</f>
        <v>#VALUE!</v>
      </c>
      <c r="J159" s="252" t="e">
        <f>F159=F155+F154+F153+F133+F127+F120+F113+F112+F104+F103+F102+F101+F91+F90+F89+F88+F86+F85+F83+F81+F80+F79+F76+F75+F74+F72+F71+F65+F64+F63+F59+F58+F57+F55+F54+F50+F49+F48+F47+F46+F45+F44+F43+F42+F41+F35+F32+F29+#REF!+#REF!+#REF!+#REF!+F20+F19+F18+F117+F116+F36+F52+F144+F143+F124+F158</f>
        <v>#VALUE!</v>
      </c>
    </row>
    <row r="160" spans="1:10" x14ac:dyDescent="0.2">
      <c r="G160" s="252" t="b">
        <f>(3453807039-'d2'!C37+7423154+961639+622418100+3715400+4544686)+16400+4309689+6350319+16579700+88281=C159</f>
        <v>0</v>
      </c>
    </row>
    <row r="162" spans="12:12" ht="90" x14ac:dyDescent="1.1499999999999999">
      <c r="L162" s="191"/>
    </row>
  </sheetData>
  <mergeCells count="11">
    <mergeCell ref="D127:E127"/>
    <mergeCell ref="B122:R122"/>
    <mergeCell ref="B123:K123"/>
    <mergeCell ref="B8:C8"/>
    <mergeCell ref="B1:K1"/>
    <mergeCell ref="G2:K2"/>
    <mergeCell ref="B4:K4"/>
    <mergeCell ref="B5:K5"/>
    <mergeCell ref="B7:C7"/>
    <mergeCell ref="B6:K6"/>
    <mergeCell ref="D124:E124"/>
  </mergeCells>
  <printOptions horizontalCentered="1"/>
  <pageMargins left="0.82677165354330717" right="0" top="0.31496062992125984" bottom="0.31496062992125984" header="0.23622047244094491" footer="0.19685039370078741"/>
  <pageSetup paperSize="9" scale="59" fitToHeight="0" orientation="landscape" r:id="rId1"/>
  <headerFooter alignWithMargins="0">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78"/>
  <sheetViews>
    <sheetView view="pageBreakPreview" zoomScale="10" zoomScaleNormal="25" zoomScaleSheetLayoutView="10" zoomScalePageLayoutView="10" workbookViewId="0">
      <pane ySplit="14" topLeftCell="A307" activePane="bottomLeft" state="frozen"/>
      <selection activeCell="B52" sqref="B52:E52"/>
      <selection pane="bottomLeft" activeCell="I2" sqref="I2:J2"/>
    </sheetView>
  </sheetViews>
  <sheetFormatPr defaultColWidth="9.140625" defaultRowHeight="12.75" x14ac:dyDescent="0.2"/>
  <cols>
    <col min="1" max="1" width="48" style="192" customWidth="1"/>
    <col min="2" max="2" width="52.5703125" style="192" customWidth="1"/>
    <col min="3" max="3" width="65.7109375" style="192" customWidth="1"/>
    <col min="4" max="4" width="137.7109375" style="192" customWidth="1"/>
    <col min="5" max="5" width="136.7109375" style="286" customWidth="1"/>
    <col min="6" max="6" width="114" style="192" customWidth="1"/>
    <col min="7" max="7" width="55.42578125" style="192" customWidth="1"/>
    <col min="8" max="8" width="63.5703125" style="192" customWidth="1"/>
    <col min="9" max="9" width="62.140625" style="192" customWidth="1"/>
    <col min="10" max="10" width="70.28515625" style="286" customWidth="1"/>
    <col min="11" max="11" width="100.28515625" style="123" customWidth="1"/>
    <col min="12" max="12" width="99.5703125" style="123" bestFit="1" customWidth="1"/>
    <col min="13" max="13" width="71.5703125" style="123" bestFit="1" customWidth="1"/>
    <col min="14" max="14" width="71.5703125" style="13" bestFit="1" customWidth="1"/>
    <col min="15" max="15" width="52.140625" style="13" bestFit="1" customWidth="1"/>
    <col min="16" max="16" width="9.140625" style="13"/>
    <col min="17" max="17" width="70.28515625" style="13" customWidth="1"/>
    <col min="18" max="16384" width="9.140625" style="13"/>
  </cols>
  <sheetData>
    <row r="1" spans="1:13" ht="45.75" x14ac:dyDescent="0.2">
      <c r="A1" s="75"/>
      <c r="B1" s="75"/>
      <c r="C1" s="75"/>
      <c r="D1" s="76"/>
      <c r="E1" s="77"/>
      <c r="F1" s="78"/>
      <c r="G1" s="77"/>
      <c r="H1" s="77"/>
      <c r="I1" s="806" t="s">
        <v>591</v>
      </c>
      <c r="J1" s="806"/>
    </row>
    <row r="2" spans="1:13" ht="45.75" x14ac:dyDescent="0.2">
      <c r="A2" s="76"/>
      <c r="B2" s="76"/>
      <c r="C2" s="76"/>
      <c r="D2" s="76"/>
      <c r="E2" s="77"/>
      <c r="F2" s="78"/>
      <c r="G2" s="77"/>
      <c r="H2" s="77"/>
      <c r="I2" s="806" t="s">
        <v>1634</v>
      </c>
      <c r="J2" s="809"/>
    </row>
    <row r="3" spans="1:13" ht="40.700000000000003" customHeight="1" x14ac:dyDescent="0.2">
      <c r="A3" s="76"/>
      <c r="B3" s="76"/>
      <c r="C3" s="76"/>
      <c r="D3" s="76"/>
      <c r="E3" s="77"/>
      <c r="F3" s="78"/>
      <c r="G3" s="77"/>
      <c r="H3" s="77"/>
      <c r="I3" s="806"/>
      <c r="J3" s="809"/>
    </row>
    <row r="4" spans="1:13" ht="45.75" hidden="1" x14ac:dyDescent="0.2">
      <c r="A4" s="76"/>
      <c r="B4" s="76"/>
      <c r="C4" s="76"/>
      <c r="D4" s="76"/>
      <c r="E4" s="77"/>
      <c r="F4" s="78"/>
      <c r="G4" s="77"/>
      <c r="H4" s="77"/>
      <c r="I4" s="76"/>
      <c r="J4" s="78"/>
    </row>
    <row r="5" spans="1:13" ht="45" x14ac:dyDescent="0.2">
      <c r="A5" s="810" t="s">
        <v>565</v>
      </c>
      <c r="B5" s="810"/>
      <c r="C5" s="810"/>
      <c r="D5" s="810"/>
      <c r="E5" s="810"/>
      <c r="F5" s="810"/>
      <c r="G5" s="810"/>
      <c r="H5" s="810"/>
      <c r="I5" s="810"/>
      <c r="J5" s="810"/>
    </row>
    <row r="6" spans="1:13" ht="45" x14ac:dyDescent="0.2">
      <c r="A6" s="810" t="s">
        <v>1119</v>
      </c>
      <c r="B6" s="810"/>
      <c r="C6" s="810"/>
      <c r="D6" s="810"/>
      <c r="E6" s="810"/>
      <c r="F6" s="810"/>
      <c r="G6" s="810"/>
      <c r="H6" s="810"/>
      <c r="I6" s="810"/>
      <c r="J6" s="810"/>
    </row>
    <row r="7" spans="1:13" ht="45" x14ac:dyDescent="0.2">
      <c r="A7" s="810" t="s">
        <v>1499</v>
      </c>
      <c r="B7" s="810"/>
      <c r="C7" s="810"/>
      <c r="D7" s="810"/>
      <c r="E7" s="810"/>
      <c r="F7" s="810"/>
      <c r="G7" s="810"/>
      <c r="H7" s="810"/>
      <c r="I7" s="810"/>
      <c r="J7" s="810"/>
    </row>
    <row r="8" spans="1:13" ht="45" x14ac:dyDescent="0.2">
      <c r="A8" s="810"/>
      <c r="B8" s="810"/>
      <c r="C8" s="810"/>
      <c r="D8" s="810"/>
      <c r="E8" s="810"/>
      <c r="F8" s="810"/>
      <c r="G8" s="810"/>
      <c r="H8" s="810"/>
      <c r="I8" s="810"/>
      <c r="J8" s="810"/>
    </row>
    <row r="9" spans="1:13" ht="45.75" x14ac:dyDescent="0.65">
      <c r="A9" s="811">
        <v>2256400000</v>
      </c>
      <c r="B9" s="812"/>
      <c r="C9" s="762"/>
      <c r="D9" s="762"/>
      <c r="E9" s="762"/>
      <c r="F9" s="762"/>
      <c r="G9" s="762"/>
      <c r="H9" s="762"/>
      <c r="I9" s="762"/>
      <c r="J9" s="762"/>
      <c r="K9" s="139"/>
      <c r="L9" s="139"/>
      <c r="M9" s="139"/>
    </row>
    <row r="10" spans="1:13" ht="45.75" x14ac:dyDescent="0.2">
      <c r="A10" s="816" t="s">
        <v>490</v>
      </c>
      <c r="B10" s="817"/>
      <c r="C10" s="762"/>
      <c r="D10" s="762"/>
      <c r="E10" s="762"/>
      <c r="F10" s="762"/>
      <c r="G10" s="762"/>
      <c r="H10" s="762"/>
      <c r="I10" s="762"/>
      <c r="J10" s="762"/>
      <c r="K10" s="139"/>
      <c r="L10" s="139"/>
      <c r="M10" s="139"/>
    </row>
    <row r="11" spans="1:13" ht="53.45" customHeight="1" thickBot="1" x14ac:dyDescent="0.25">
      <c r="A11" s="77"/>
      <c r="B11" s="77"/>
      <c r="C11" s="77"/>
      <c r="D11" s="77"/>
      <c r="E11" s="77"/>
      <c r="F11" s="78"/>
      <c r="G11" s="77"/>
      <c r="H11" s="77"/>
      <c r="I11" s="77"/>
      <c r="J11" s="316" t="s">
        <v>404</v>
      </c>
      <c r="K11" s="139"/>
      <c r="L11" s="139"/>
      <c r="M11" s="139"/>
    </row>
    <row r="12" spans="1:13" ht="104.25" customHeight="1" thickTop="1" thickBot="1" x14ac:dyDescent="0.25">
      <c r="A12" s="904" t="s">
        <v>491</v>
      </c>
      <c r="B12" s="904" t="s">
        <v>492</v>
      </c>
      <c r="C12" s="904" t="s">
        <v>390</v>
      </c>
      <c r="D12" s="904" t="s">
        <v>566</v>
      </c>
      <c r="E12" s="904" t="s">
        <v>495</v>
      </c>
      <c r="F12" s="904" t="s">
        <v>496</v>
      </c>
      <c r="G12" s="904" t="s">
        <v>383</v>
      </c>
      <c r="H12" s="904" t="s">
        <v>12</v>
      </c>
      <c r="I12" s="905" t="s">
        <v>52</v>
      </c>
      <c r="J12" s="814"/>
      <c r="K12" s="139"/>
      <c r="L12" s="139"/>
      <c r="M12" s="139"/>
    </row>
    <row r="13" spans="1:13" ht="406.5" customHeight="1" thickTop="1" thickBot="1" x14ac:dyDescent="0.25">
      <c r="A13" s="905"/>
      <c r="B13" s="814"/>
      <c r="C13" s="814"/>
      <c r="D13" s="905"/>
      <c r="E13" s="905"/>
      <c r="F13" s="905"/>
      <c r="G13" s="905"/>
      <c r="H13" s="905"/>
      <c r="I13" s="320" t="s">
        <v>384</v>
      </c>
      <c r="J13" s="320" t="s">
        <v>385</v>
      </c>
      <c r="K13" s="139"/>
      <c r="L13" s="139"/>
      <c r="M13" s="139"/>
    </row>
    <row r="14" spans="1:13" s="4" customFormat="1" ht="47.25" thickTop="1" thickBot="1" x14ac:dyDescent="0.25">
      <c r="A14" s="103" t="s">
        <v>2</v>
      </c>
      <c r="B14" s="103" t="s">
        <v>3</v>
      </c>
      <c r="C14" s="103" t="s">
        <v>14</v>
      </c>
      <c r="D14" s="103" t="s">
        <v>5</v>
      </c>
      <c r="E14" s="103" t="s">
        <v>392</v>
      </c>
      <c r="F14" s="103" t="s">
        <v>393</v>
      </c>
      <c r="G14" s="103" t="s">
        <v>394</v>
      </c>
      <c r="H14" s="103" t="s">
        <v>395</v>
      </c>
      <c r="I14" s="103" t="s">
        <v>396</v>
      </c>
      <c r="J14" s="103" t="s">
        <v>397</v>
      </c>
      <c r="K14" s="133"/>
      <c r="L14" s="133"/>
      <c r="M14" s="133"/>
    </row>
    <row r="15" spans="1:13" s="4" customFormat="1" ht="170.1" customHeight="1" thickTop="1" thickBot="1" x14ac:dyDescent="0.25">
      <c r="A15" s="661" t="s">
        <v>148</v>
      </c>
      <c r="B15" s="661"/>
      <c r="C15" s="661"/>
      <c r="D15" s="662" t="s">
        <v>150</v>
      </c>
      <c r="E15" s="661"/>
      <c r="F15" s="661"/>
      <c r="G15" s="664">
        <f>G16</f>
        <v>507710508.34000003</v>
      </c>
      <c r="H15" s="664">
        <f t="shared" ref="H15:J15" si="0">H16</f>
        <v>218391470.13999999</v>
      </c>
      <c r="I15" s="664">
        <f>I16</f>
        <v>289319038.20000005</v>
      </c>
      <c r="J15" s="664">
        <f t="shared" si="0"/>
        <v>284103238.20000005</v>
      </c>
      <c r="K15" s="96" t="b">
        <f>H16='d3'!E16-'d3'!E18+'d7'!H17+'d7'!H20+'d7'!H22+H21</f>
        <v>1</v>
      </c>
      <c r="L15" s="96" t="b">
        <f>I16='d3'!J16-'d3'!J18+I17+I20+I22+I21</f>
        <v>1</v>
      </c>
      <c r="M15" s="96" t="b">
        <f>J16='d3'!K16-'d3'!K18+J17+J20+J22+J21</f>
        <v>1</v>
      </c>
    </row>
    <row r="16" spans="1:13" s="4" customFormat="1" ht="170.1" customHeight="1" thickTop="1" thickBot="1" x14ac:dyDescent="0.25">
      <c r="A16" s="658" t="s">
        <v>149</v>
      </c>
      <c r="B16" s="658"/>
      <c r="C16" s="658"/>
      <c r="D16" s="659" t="s">
        <v>151</v>
      </c>
      <c r="E16" s="660"/>
      <c r="F16" s="660"/>
      <c r="G16" s="660">
        <f>SUM(G17:G57)</f>
        <v>507710508.34000003</v>
      </c>
      <c r="H16" s="660">
        <f>SUM(H17:H57)</f>
        <v>218391470.13999999</v>
      </c>
      <c r="I16" s="660">
        <f>SUM(I17:I57)</f>
        <v>289319038.20000005</v>
      </c>
      <c r="J16" s="660">
        <f>SUM(J17:J57)</f>
        <v>284103238.20000005</v>
      </c>
      <c r="K16" s="133"/>
      <c r="L16" s="133"/>
      <c r="M16" s="133"/>
    </row>
    <row r="17" spans="1:13" ht="276" thickTop="1" thickBot="1" x14ac:dyDescent="0.25">
      <c r="A17" s="103" t="s">
        <v>232</v>
      </c>
      <c r="B17" s="103" t="s">
        <v>233</v>
      </c>
      <c r="C17" s="103" t="s">
        <v>234</v>
      </c>
      <c r="D17" s="103" t="s">
        <v>231</v>
      </c>
      <c r="E17" s="321" t="s">
        <v>1037</v>
      </c>
      <c r="F17" s="318" t="s">
        <v>857</v>
      </c>
      <c r="G17" s="318">
        <f t="shared" ref="G17:G34" si="1">H17+I17</f>
        <v>465000</v>
      </c>
      <c r="H17" s="322">
        <v>0</v>
      </c>
      <c r="I17" s="318">
        <f>((0)+435000)+30000</f>
        <v>465000</v>
      </c>
      <c r="J17" s="318">
        <f>((0)+435000)+30000</f>
        <v>465000</v>
      </c>
      <c r="K17" s="254"/>
      <c r="L17" s="254"/>
      <c r="M17" s="254"/>
    </row>
    <row r="18" spans="1:13" ht="409.6" hidden="1" thickTop="1" thickBot="1" x14ac:dyDescent="0.25">
      <c r="A18" s="128" t="s">
        <v>232</v>
      </c>
      <c r="B18" s="128" t="s">
        <v>233</v>
      </c>
      <c r="C18" s="128" t="s">
        <v>234</v>
      </c>
      <c r="D18" s="128" t="s">
        <v>231</v>
      </c>
      <c r="E18" s="196" t="s">
        <v>1211</v>
      </c>
      <c r="F18" s="196" t="s">
        <v>859</v>
      </c>
      <c r="G18" s="196">
        <f t="shared" si="1"/>
        <v>0</v>
      </c>
      <c r="H18" s="256">
        <v>0</v>
      </c>
      <c r="I18" s="196">
        <v>0</v>
      </c>
      <c r="J18" s="196">
        <v>0</v>
      </c>
      <c r="K18" s="257"/>
      <c r="L18" s="257"/>
      <c r="M18" s="257"/>
    </row>
    <row r="19" spans="1:13" ht="321.75" hidden="1" thickTop="1" thickBot="1" x14ac:dyDescent="0.25">
      <c r="A19" s="41" t="s">
        <v>232</v>
      </c>
      <c r="B19" s="41" t="s">
        <v>233</v>
      </c>
      <c r="C19" s="41" t="s">
        <v>234</v>
      </c>
      <c r="D19" s="41" t="s">
        <v>231</v>
      </c>
      <c r="E19" s="258" t="s">
        <v>872</v>
      </c>
      <c r="F19" s="73" t="s">
        <v>873</v>
      </c>
      <c r="G19" s="73">
        <f t="shared" si="1"/>
        <v>0</v>
      </c>
      <c r="H19" s="259"/>
      <c r="I19" s="73"/>
      <c r="J19" s="73"/>
      <c r="K19" s="260"/>
      <c r="L19" s="150"/>
      <c r="M19" s="139"/>
    </row>
    <row r="20" spans="1:13" ht="276" hidden="1" thickTop="1" thickBot="1" x14ac:dyDescent="0.25">
      <c r="A20" s="128" t="s">
        <v>232</v>
      </c>
      <c r="B20" s="128" t="s">
        <v>233</v>
      </c>
      <c r="C20" s="128" t="s">
        <v>234</v>
      </c>
      <c r="D20" s="128" t="s">
        <v>231</v>
      </c>
      <c r="E20" s="255" t="s">
        <v>1152</v>
      </c>
      <c r="F20" s="196" t="s">
        <v>1151</v>
      </c>
      <c r="G20" s="196">
        <f t="shared" si="1"/>
        <v>0</v>
      </c>
      <c r="H20" s="256">
        <v>0</v>
      </c>
      <c r="I20" s="196">
        <v>0</v>
      </c>
      <c r="J20" s="196">
        <v>0</v>
      </c>
      <c r="K20" s="260"/>
      <c r="L20" s="150"/>
      <c r="M20" s="139"/>
    </row>
    <row r="21" spans="1:13" ht="276" hidden="1" thickTop="1" thickBot="1" x14ac:dyDescent="0.25">
      <c r="A21" s="128" t="s">
        <v>232</v>
      </c>
      <c r="B21" s="128" t="s">
        <v>233</v>
      </c>
      <c r="C21" s="128" t="s">
        <v>234</v>
      </c>
      <c r="D21" s="128" t="s">
        <v>231</v>
      </c>
      <c r="E21" s="255" t="s">
        <v>1443</v>
      </c>
      <c r="F21" s="196" t="s">
        <v>1444</v>
      </c>
      <c r="G21" s="196">
        <f t="shared" si="1"/>
        <v>0</v>
      </c>
      <c r="H21" s="256">
        <v>0</v>
      </c>
      <c r="I21" s="196">
        <v>0</v>
      </c>
      <c r="J21" s="196">
        <v>0</v>
      </c>
      <c r="K21" s="260"/>
      <c r="L21" s="150"/>
      <c r="M21" s="139"/>
    </row>
    <row r="22" spans="1:13" ht="276" hidden="1" thickTop="1" thickBot="1" x14ac:dyDescent="0.25">
      <c r="A22" s="128" t="s">
        <v>232</v>
      </c>
      <c r="B22" s="128" t="s">
        <v>233</v>
      </c>
      <c r="C22" s="128" t="s">
        <v>234</v>
      </c>
      <c r="D22" s="128" t="s">
        <v>231</v>
      </c>
      <c r="E22" s="255" t="s">
        <v>1282</v>
      </c>
      <c r="F22" s="196" t="s">
        <v>1283</v>
      </c>
      <c r="G22" s="196">
        <f t="shared" si="1"/>
        <v>0</v>
      </c>
      <c r="H22" s="256">
        <v>0</v>
      </c>
      <c r="I22" s="196">
        <v>0</v>
      </c>
      <c r="J22" s="196">
        <v>0</v>
      </c>
      <c r="K22" s="260"/>
      <c r="L22" s="150"/>
      <c r="M22" s="139"/>
    </row>
    <row r="23" spans="1:13" ht="367.5" hidden="1" thickTop="1" thickBot="1" x14ac:dyDescent="0.25">
      <c r="A23" s="128" t="s">
        <v>624</v>
      </c>
      <c r="B23" s="128" t="s">
        <v>362</v>
      </c>
      <c r="C23" s="128" t="s">
        <v>625</v>
      </c>
      <c r="D23" s="128" t="s">
        <v>626</v>
      </c>
      <c r="E23" s="255" t="s">
        <v>1297</v>
      </c>
      <c r="F23" s="196" t="s">
        <v>1298</v>
      </c>
      <c r="G23" s="196">
        <f t="shared" si="1"/>
        <v>0</v>
      </c>
      <c r="H23" s="256">
        <f>'d3'!E20</f>
        <v>0</v>
      </c>
      <c r="I23" s="196">
        <v>0</v>
      </c>
      <c r="J23" s="196">
        <v>0</v>
      </c>
      <c r="K23" s="260"/>
      <c r="L23" s="150"/>
      <c r="M23" s="139"/>
    </row>
    <row r="24" spans="1:13" ht="367.5" thickTop="1" thickBot="1" x14ac:dyDescent="0.25">
      <c r="A24" s="103" t="s">
        <v>247</v>
      </c>
      <c r="B24" s="103" t="s">
        <v>43</v>
      </c>
      <c r="C24" s="103" t="s">
        <v>42</v>
      </c>
      <c r="D24" s="103" t="s">
        <v>248</v>
      </c>
      <c r="E24" s="321" t="s">
        <v>1385</v>
      </c>
      <c r="F24" s="318" t="s">
        <v>1348</v>
      </c>
      <c r="G24" s="318">
        <f t="shared" si="1"/>
        <v>25960000</v>
      </c>
      <c r="H24" s="322">
        <f>(21000000+1410000+10000000)-6450000</f>
        <v>25960000</v>
      </c>
      <c r="I24" s="318">
        <v>0</v>
      </c>
      <c r="J24" s="318">
        <v>0</v>
      </c>
      <c r="K24" s="906" t="b">
        <f>H24+H26+H25+H28+H27='d3'!E21</f>
        <v>1</v>
      </c>
      <c r="L24" s="902"/>
      <c r="M24" s="902"/>
    </row>
    <row r="25" spans="1:13" ht="138.75" hidden="1" thickTop="1" thickBot="1" x14ac:dyDescent="0.25">
      <c r="A25" s="103" t="s">
        <v>247</v>
      </c>
      <c r="B25" s="103" t="s">
        <v>43</v>
      </c>
      <c r="C25" s="103" t="s">
        <v>42</v>
      </c>
      <c r="D25" s="103" t="s">
        <v>248</v>
      </c>
      <c r="E25" s="321" t="s">
        <v>1525</v>
      </c>
      <c r="F25" s="318" t="s">
        <v>1541</v>
      </c>
      <c r="G25" s="318">
        <f t="shared" ref="G25" si="2">H25+I25</f>
        <v>0</v>
      </c>
      <c r="H25" s="322">
        <f>950000-100000-850000</f>
        <v>0</v>
      </c>
      <c r="I25" s="318">
        <v>0</v>
      </c>
      <c r="J25" s="318">
        <v>0</v>
      </c>
      <c r="K25" s="906"/>
      <c r="L25" s="902"/>
      <c r="M25" s="902"/>
    </row>
    <row r="26" spans="1:13" ht="184.7" customHeight="1" thickTop="1" thickBot="1" x14ac:dyDescent="0.25">
      <c r="A26" s="103" t="s">
        <v>247</v>
      </c>
      <c r="B26" s="103" t="s">
        <v>43</v>
      </c>
      <c r="C26" s="103" t="s">
        <v>42</v>
      </c>
      <c r="D26" s="103" t="s">
        <v>248</v>
      </c>
      <c r="E26" s="321" t="s">
        <v>1516</v>
      </c>
      <c r="F26" s="318" t="s">
        <v>1542</v>
      </c>
      <c r="G26" s="318">
        <f t="shared" si="1"/>
        <v>2731400</v>
      </c>
      <c r="H26" s="322">
        <f>112000+1669400+100000+850000</f>
        <v>2731400</v>
      </c>
      <c r="I26" s="318">
        <v>0</v>
      </c>
      <c r="J26" s="318">
        <v>0</v>
      </c>
      <c r="K26" s="907"/>
      <c r="L26" s="903"/>
      <c r="M26" s="903"/>
    </row>
    <row r="27" spans="1:13" ht="184.7" hidden="1" customHeight="1" thickTop="1" thickBot="1" x14ac:dyDescent="0.25">
      <c r="A27" s="128" t="s">
        <v>247</v>
      </c>
      <c r="B27" s="128" t="s">
        <v>43</v>
      </c>
      <c r="C27" s="128" t="s">
        <v>42</v>
      </c>
      <c r="D27" s="128" t="s">
        <v>248</v>
      </c>
      <c r="E27" s="255" t="s">
        <v>1266</v>
      </c>
      <c r="F27" s="196" t="s">
        <v>935</v>
      </c>
      <c r="G27" s="196">
        <f t="shared" si="1"/>
        <v>0</v>
      </c>
      <c r="H27" s="256">
        <v>0</v>
      </c>
      <c r="I27" s="196">
        <v>0</v>
      </c>
      <c r="J27" s="196">
        <v>0</v>
      </c>
      <c r="K27" s="139"/>
      <c r="L27" s="139"/>
      <c r="M27" s="139"/>
    </row>
    <row r="28" spans="1:13" ht="321.75" thickTop="1" thickBot="1" x14ac:dyDescent="0.25">
      <c r="A28" s="103" t="s">
        <v>247</v>
      </c>
      <c r="B28" s="103" t="s">
        <v>43</v>
      </c>
      <c r="C28" s="103" t="s">
        <v>42</v>
      </c>
      <c r="D28" s="103" t="s">
        <v>248</v>
      </c>
      <c r="E28" s="318" t="s">
        <v>1526</v>
      </c>
      <c r="F28" s="330" t="s">
        <v>1191</v>
      </c>
      <c r="G28" s="318">
        <f>H28+I28</f>
        <v>20000000</v>
      </c>
      <c r="H28" s="318">
        <f>((90000000-10000000+32000000-67690000+1000000-2000000+30000000)-23310000)-30000000</f>
        <v>20000000</v>
      </c>
      <c r="I28" s="318">
        <v>0</v>
      </c>
      <c r="J28" s="318">
        <v>0</v>
      </c>
      <c r="K28" s="139"/>
      <c r="L28" s="139"/>
      <c r="M28" s="139"/>
    </row>
    <row r="29" spans="1:13" ht="276" thickTop="1" thickBot="1" x14ac:dyDescent="0.25">
      <c r="A29" s="103" t="s">
        <v>1628</v>
      </c>
      <c r="B29" s="103" t="s">
        <v>329</v>
      </c>
      <c r="C29" s="103" t="s">
        <v>191</v>
      </c>
      <c r="D29" s="470" t="s">
        <v>331</v>
      </c>
      <c r="E29" s="321" t="s">
        <v>1227</v>
      </c>
      <c r="F29" s="318" t="s">
        <v>869</v>
      </c>
      <c r="G29" s="318">
        <f>H29+I29</f>
        <v>1000000</v>
      </c>
      <c r="H29" s="318">
        <f>'d3'!E24</f>
        <v>1000000</v>
      </c>
      <c r="I29" s="318">
        <f>'d3'!J24</f>
        <v>0</v>
      </c>
      <c r="J29" s="318">
        <f>'d3'!K24</f>
        <v>0</v>
      </c>
      <c r="K29" s="139"/>
      <c r="L29" s="139"/>
      <c r="M29" s="139"/>
    </row>
    <row r="30" spans="1:13" ht="138.75" thickTop="1" thickBot="1" x14ac:dyDescent="0.25">
      <c r="A30" s="103" t="s">
        <v>238</v>
      </c>
      <c r="B30" s="103" t="s">
        <v>239</v>
      </c>
      <c r="C30" s="103" t="s">
        <v>240</v>
      </c>
      <c r="D30" s="103" t="s">
        <v>237</v>
      </c>
      <c r="E30" s="321" t="s">
        <v>1037</v>
      </c>
      <c r="F30" s="318" t="s">
        <v>857</v>
      </c>
      <c r="G30" s="318">
        <f t="shared" si="1"/>
        <v>5383000</v>
      </c>
      <c r="H30" s="318">
        <f>'d3'!E27</f>
        <v>5383000</v>
      </c>
      <c r="I30" s="318">
        <f>'d3'!J27</f>
        <v>0</v>
      </c>
      <c r="J30" s="318">
        <f>'d3'!K27</f>
        <v>0</v>
      </c>
      <c r="K30" s="96" t="b">
        <f>H30='d3'!E27</f>
        <v>1</v>
      </c>
      <c r="L30" s="465" t="b">
        <f>I30='d3'!J27</f>
        <v>1</v>
      </c>
      <c r="M30" s="560" t="b">
        <f>J30='d3'!K27</f>
        <v>1</v>
      </c>
    </row>
    <row r="31" spans="1:13" ht="184.5" hidden="1" thickTop="1" thickBot="1" x14ac:dyDescent="0.25">
      <c r="A31" s="41" t="s">
        <v>976</v>
      </c>
      <c r="B31" s="41" t="s">
        <v>977</v>
      </c>
      <c r="C31" s="41" t="s">
        <v>240</v>
      </c>
      <c r="D31" s="41" t="s">
        <v>978</v>
      </c>
      <c r="E31" s="258" t="s">
        <v>1037</v>
      </c>
      <c r="F31" s="73" t="s">
        <v>857</v>
      </c>
      <c r="G31" s="196">
        <f t="shared" si="1"/>
        <v>0</v>
      </c>
      <c r="H31" s="196">
        <f>'d3'!E28</f>
        <v>0</v>
      </c>
      <c r="I31" s="196">
        <f>'d3'!J28</f>
        <v>0</v>
      </c>
      <c r="J31" s="196">
        <f>'d3'!K28</f>
        <v>0</v>
      </c>
      <c r="K31" s="254" t="b">
        <f>H31='d3'!E28</f>
        <v>1</v>
      </c>
      <c r="L31" s="261" t="b">
        <f>I31='d3'!J28</f>
        <v>1</v>
      </c>
      <c r="M31" s="262" t="b">
        <f>J31='d3'!K28</f>
        <v>1</v>
      </c>
    </row>
    <row r="32" spans="1:13" ht="184.5" hidden="1" thickTop="1" thickBot="1" x14ac:dyDescent="0.25">
      <c r="A32" s="128" t="s">
        <v>1404</v>
      </c>
      <c r="B32" s="128" t="s">
        <v>212</v>
      </c>
      <c r="C32" s="128" t="s">
        <v>213</v>
      </c>
      <c r="D32" s="128" t="s">
        <v>41</v>
      </c>
      <c r="E32" s="255" t="s">
        <v>1443</v>
      </c>
      <c r="F32" s="196" t="s">
        <v>1444</v>
      </c>
      <c r="G32" s="196">
        <f t="shared" si="1"/>
        <v>0</v>
      </c>
      <c r="H32" s="196">
        <v>0</v>
      </c>
      <c r="I32" s="196">
        <v>0</v>
      </c>
      <c r="J32" s="196">
        <v>0</v>
      </c>
      <c r="K32" s="254" t="b">
        <f>'d3'!E30='d7'!H32</f>
        <v>1</v>
      </c>
      <c r="L32" s="261" t="b">
        <f>I32='d3'!J30</f>
        <v>1</v>
      </c>
      <c r="M32" s="262" t="b">
        <f>J32='d3'!K30</f>
        <v>1</v>
      </c>
    </row>
    <row r="33" spans="1:13" ht="184.5" thickTop="1" thickBot="1" x14ac:dyDescent="0.25">
      <c r="A33" s="103" t="s">
        <v>299</v>
      </c>
      <c r="B33" s="103" t="s">
        <v>300</v>
      </c>
      <c r="C33" s="103" t="s">
        <v>170</v>
      </c>
      <c r="D33" s="103" t="s">
        <v>442</v>
      </c>
      <c r="E33" s="321" t="s">
        <v>1516</v>
      </c>
      <c r="F33" s="318" t="s">
        <v>1542</v>
      </c>
      <c r="G33" s="318">
        <f t="shared" si="1"/>
        <v>329335</v>
      </c>
      <c r="H33" s="318">
        <f>'d3'!E31</f>
        <v>329335</v>
      </c>
      <c r="I33" s="318">
        <f>'d3'!J31</f>
        <v>0</v>
      </c>
      <c r="J33" s="318">
        <f>'d3'!K31</f>
        <v>0</v>
      </c>
      <c r="K33" s="96" t="b">
        <f>H33='d3'!E31</f>
        <v>1</v>
      </c>
      <c r="L33" s="465" t="b">
        <f>I33='d3'!J31</f>
        <v>1</v>
      </c>
      <c r="M33" s="560" t="b">
        <f>J33='d3'!K31</f>
        <v>1</v>
      </c>
    </row>
    <row r="34" spans="1:13" ht="292.5" customHeight="1" thickTop="1" thickBot="1" x14ac:dyDescent="0.7">
      <c r="A34" s="796" t="s">
        <v>339</v>
      </c>
      <c r="B34" s="796" t="s">
        <v>338</v>
      </c>
      <c r="C34" s="796" t="s">
        <v>170</v>
      </c>
      <c r="D34" s="567" t="s">
        <v>440</v>
      </c>
      <c r="E34" s="908" t="s">
        <v>1516</v>
      </c>
      <c r="F34" s="801" t="s">
        <v>1542</v>
      </c>
      <c r="G34" s="801">
        <f t="shared" si="1"/>
        <v>5215800</v>
      </c>
      <c r="H34" s="801">
        <f>'d3'!E33</f>
        <v>0</v>
      </c>
      <c r="I34" s="801">
        <f>'d3'!J33</f>
        <v>5215800</v>
      </c>
      <c r="J34" s="801">
        <f>'d3'!K33</f>
        <v>0</v>
      </c>
      <c r="K34" s="96" t="b">
        <f>H34='d3'!E33</f>
        <v>1</v>
      </c>
      <c r="L34" s="465" t="b">
        <f>I34='d3'!J33</f>
        <v>1</v>
      </c>
      <c r="M34" s="560" t="b">
        <f>J34='d3'!K33</f>
        <v>1</v>
      </c>
    </row>
    <row r="35" spans="1:13" ht="138.75" customHeight="1" thickTop="1" thickBot="1" x14ac:dyDescent="0.25">
      <c r="A35" s="803"/>
      <c r="B35" s="803"/>
      <c r="C35" s="803"/>
      <c r="D35" s="568" t="s">
        <v>441</v>
      </c>
      <c r="E35" s="909"/>
      <c r="F35" s="802"/>
      <c r="G35" s="897"/>
      <c r="H35" s="897"/>
      <c r="I35" s="897"/>
      <c r="J35" s="897"/>
      <c r="K35" s="139"/>
      <c r="L35" s="139"/>
      <c r="M35" s="139"/>
    </row>
    <row r="36" spans="1:13" ht="230.25" thickTop="1" thickBot="1" x14ac:dyDescent="0.25">
      <c r="A36" s="103" t="s">
        <v>914</v>
      </c>
      <c r="B36" s="103" t="s">
        <v>257</v>
      </c>
      <c r="C36" s="103" t="s">
        <v>170</v>
      </c>
      <c r="D36" s="103" t="s">
        <v>255</v>
      </c>
      <c r="E36" s="318" t="s">
        <v>1527</v>
      </c>
      <c r="F36" s="330" t="s">
        <v>1171</v>
      </c>
      <c r="G36" s="318">
        <f t="shared" ref="G36:G44" si="3">H36+I36</f>
        <v>2362000</v>
      </c>
      <c r="H36" s="318">
        <f>'d3'!E35</f>
        <v>2362000</v>
      </c>
      <c r="I36" s="318">
        <f>'d3'!J35</f>
        <v>0</v>
      </c>
      <c r="J36" s="318">
        <f>'d3'!K35</f>
        <v>0</v>
      </c>
      <c r="K36" s="139"/>
      <c r="L36" s="139"/>
      <c r="M36" s="139"/>
    </row>
    <row r="37" spans="1:13" ht="321.75" thickTop="1" thickBot="1" x14ac:dyDescent="0.25">
      <c r="A37" s="103" t="s">
        <v>1212</v>
      </c>
      <c r="B37" s="103" t="s">
        <v>1213</v>
      </c>
      <c r="C37" s="103" t="s">
        <v>1188</v>
      </c>
      <c r="D37" s="103" t="s">
        <v>1214</v>
      </c>
      <c r="E37" s="318" t="s">
        <v>1526</v>
      </c>
      <c r="F37" s="330" t="s">
        <v>1191</v>
      </c>
      <c r="G37" s="318">
        <f t="shared" si="3"/>
        <v>157500000</v>
      </c>
      <c r="H37" s="318">
        <f>(5000000+3000000+8000000+10000000)+6000000</f>
        <v>32000000</v>
      </c>
      <c r="I37" s="318">
        <f>((25000000+15000000)+60500000)+25000000</f>
        <v>125500000</v>
      </c>
      <c r="J37" s="318">
        <f>((25000000+15000000)+60500000)+25000000</f>
        <v>125500000</v>
      </c>
      <c r="K37" s="96" t="b">
        <f>H37+H39+H38='d3'!E38</f>
        <v>1</v>
      </c>
      <c r="L37" s="465" t="b">
        <f>I37+I39+I38='d3'!J38</f>
        <v>1</v>
      </c>
      <c r="M37" s="465" t="b">
        <f>J37+J39+J38='d3'!K38</f>
        <v>1</v>
      </c>
    </row>
    <row r="38" spans="1:13" ht="138.75" hidden="1" thickTop="1" thickBot="1" x14ac:dyDescent="0.25">
      <c r="A38" s="103" t="s">
        <v>1212</v>
      </c>
      <c r="B38" s="103" t="s">
        <v>1213</v>
      </c>
      <c r="C38" s="103" t="s">
        <v>1188</v>
      </c>
      <c r="D38" s="103" t="s">
        <v>1214</v>
      </c>
      <c r="E38" s="103" t="s">
        <v>1517</v>
      </c>
      <c r="F38" s="318" t="s">
        <v>1543</v>
      </c>
      <c r="G38" s="318">
        <f t="shared" ref="G38" si="4">H38+I38</f>
        <v>0</v>
      </c>
      <c r="H38" s="318">
        <v>0</v>
      </c>
      <c r="I38" s="318">
        <v>0</v>
      </c>
      <c r="J38" s="318">
        <v>0</v>
      </c>
      <c r="K38" s="734"/>
      <c r="L38" s="734"/>
      <c r="M38" s="734"/>
    </row>
    <row r="39" spans="1:13" ht="409.6" hidden="1" thickTop="1" thickBot="1" x14ac:dyDescent="0.25">
      <c r="A39" s="128" t="s">
        <v>1212</v>
      </c>
      <c r="B39" s="128" t="s">
        <v>1213</v>
      </c>
      <c r="C39" s="128" t="s">
        <v>1188</v>
      </c>
      <c r="D39" s="128" t="s">
        <v>1214</v>
      </c>
      <c r="E39" s="196" t="s">
        <v>1390</v>
      </c>
      <c r="F39" s="196" t="s">
        <v>859</v>
      </c>
      <c r="G39" s="196">
        <f t="shared" si="3"/>
        <v>0</v>
      </c>
      <c r="H39" s="196">
        <v>0</v>
      </c>
      <c r="I39" s="196">
        <v>0</v>
      </c>
      <c r="J39" s="196">
        <v>0</v>
      </c>
      <c r="K39" s="139"/>
      <c r="L39" s="139"/>
      <c r="M39" s="139"/>
    </row>
    <row r="40" spans="1:13" ht="138.75" thickTop="1" thickBot="1" x14ac:dyDescent="0.25">
      <c r="A40" s="103" t="s">
        <v>1189</v>
      </c>
      <c r="B40" s="103" t="s">
        <v>1190</v>
      </c>
      <c r="C40" s="103" t="s">
        <v>1188</v>
      </c>
      <c r="D40" s="103" t="s">
        <v>1187</v>
      </c>
      <c r="E40" s="103" t="s">
        <v>1517</v>
      </c>
      <c r="F40" s="318" t="s">
        <v>1543</v>
      </c>
      <c r="G40" s="318">
        <f t="shared" si="3"/>
        <v>5000000</v>
      </c>
      <c r="H40" s="318">
        <f>(5000000)</f>
        <v>5000000</v>
      </c>
      <c r="I40" s="318">
        <v>0</v>
      </c>
      <c r="J40" s="318">
        <v>0</v>
      </c>
      <c r="K40" s="96" t="b">
        <f>H40+H41='d3'!E39</f>
        <v>1</v>
      </c>
      <c r="L40" s="465" t="b">
        <f>I40+I41='d3'!J39</f>
        <v>1</v>
      </c>
      <c r="M40" s="465" t="b">
        <f>J40+J41='d3'!K39</f>
        <v>1</v>
      </c>
    </row>
    <row r="41" spans="1:13" ht="230.25" thickTop="1" thickBot="1" x14ac:dyDescent="0.25">
      <c r="A41" s="103" t="s">
        <v>1189</v>
      </c>
      <c r="B41" s="103" t="s">
        <v>1190</v>
      </c>
      <c r="C41" s="103" t="s">
        <v>1188</v>
      </c>
      <c r="D41" s="103" t="s">
        <v>1187</v>
      </c>
      <c r="E41" s="318" t="s">
        <v>1544</v>
      </c>
      <c r="F41" s="318" t="s">
        <v>1545</v>
      </c>
      <c r="G41" s="318">
        <f>H41+I41</f>
        <v>9607405.3399999999</v>
      </c>
      <c r="H41" s="318">
        <f>(3862000)+760769+200000+370480+40000+435000+49750</f>
        <v>5717999</v>
      </c>
      <c r="I41" s="318">
        <f>(0)+739231+1266175.34+1250000+124000+25000+485000</f>
        <v>3889406.34</v>
      </c>
      <c r="J41" s="318">
        <f>(0)+739231+1266175.34+1250000+124000+25000+485000</f>
        <v>3889406.34</v>
      </c>
      <c r="K41" s="13"/>
      <c r="L41" s="13"/>
      <c r="M41" s="13"/>
    </row>
    <row r="42" spans="1:13" ht="184.5" thickTop="1" thickBot="1" x14ac:dyDescent="0.25">
      <c r="A42" s="103" t="s">
        <v>241</v>
      </c>
      <c r="B42" s="103" t="s">
        <v>242</v>
      </c>
      <c r="C42" s="103" t="s">
        <v>243</v>
      </c>
      <c r="D42" s="103" t="s">
        <v>244</v>
      </c>
      <c r="E42" s="318" t="s">
        <v>1546</v>
      </c>
      <c r="F42" s="318" t="s">
        <v>1547</v>
      </c>
      <c r="G42" s="318">
        <f t="shared" si="3"/>
        <v>10200000</v>
      </c>
      <c r="H42" s="318">
        <f>'d3'!E41</f>
        <v>10200000</v>
      </c>
      <c r="I42" s="318">
        <f>'d3'!J41</f>
        <v>0</v>
      </c>
      <c r="J42" s="318">
        <f>'d3'!K41</f>
        <v>0</v>
      </c>
      <c r="K42" s="96" t="b">
        <f>H42='d3'!E41</f>
        <v>1</v>
      </c>
      <c r="L42" s="465" t="b">
        <f>I42='d3'!J41</f>
        <v>1</v>
      </c>
      <c r="M42" s="560" t="b">
        <f>J42='d3'!K41</f>
        <v>1</v>
      </c>
    </row>
    <row r="43" spans="1:13" ht="230.25" thickTop="1" thickBot="1" x14ac:dyDescent="0.25">
      <c r="A43" s="103" t="s">
        <v>245</v>
      </c>
      <c r="B43" s="103" t="s">
        <v>246</v>
      </c>
      <c r="C43" s="103" t="s">
        <v>43</v>
      </c>
      <c r="D43" s="103" t="s">
        <v>443</v>
      </c>
      <c r="E43" s="321" t="s">
        <v>1516</v>
      </c>
      <c r="F43" s="318" t="s">
        <v>1542</v>
      </c>
      <c r="G43" s="318">
        <f t="shared" si="3"/>
        <v>1178000</v>
      </c>
      <c r="H43" s="322">
        <f>'d3'!E44</f>
        <v>1178000</v>
      </c>
      <c r="I43" s="318">
        <f>'d3'!J44</f>
        <v>0</v>
      </c>
      <c r="J43" s="318">
        <f>'d3'!K44</f>
        <v>0</v>
      </c>
      <c r="K43" s="96" t="b">
        <f>H43='d3'!E44</f>
        <v>1</v>
      </c>
      <c r="L43" s="465" t="b">
        <f>I43='d3'!J44</f>
        <v>1</v>
      </c>
      <c r="M43" s="465" t="b">
        <f>J43='d3'!K44</f>
        <v>1</v>
      </c>
    </row>
    <row r="44" spans="1:13" ht="184.5" thickTop="1" thickBot="1" x14ac:dyDescent="0.25">
      <c r="A44" s="103" t="s">
        <v>575</v>
      </c>
      <c r="B44" s="103" t="s">
        <v>363</v>
      </c>
      <c r="C44" s="103" t="s">
        <v>43</v>
      </c>
      <c r="D44" s="103" t="s">
        <v>364</v>
      </c>
      <c r="E44" s="321" t="s">
        <v>1516</v>
      </c>
      <c r="F44" s="318" t="s">
        <v>1542</v>
      </c>
      <c r="G44" s="318">
        <f t="shared" si="3"/>
        <v>155600</v>
      </c>
      <c r="H44" s="322">
        <f>'d3'!E45</f>
        <v>155600</v>
      </c>
      <c r="I44" s="318">
        <f>'d3'!J45</f>
        <v>0</v>
      </c>
      <c r="J44" s="318">
        <f>'d3'!K45</f>
        <v>0</v>
      </c>
      <c r="K44" s="96" t="b">
        <f>H44='d3'!E45</f>
        <v>1</v>
      </c>
      <c r="L44" s="465" t="b">
        <f>I44='d3'!J45</f>
        <v>1</v>
      </c>
      <c r="M44" s="465" t="b">
        <f>J44='d3'!K45</f>
        <v>1</v>
      </c>
    </row>
    <row r="45" spans="1:13" ht="321.75" thickTop="1" thickBot="1" x14ac:dyDescent="0.25">
      <c r="A45" s="103" t="s">
        <v>513</v>
      </c>
      <c r="B45" s="103" t="s">
        <v>514</v>
      </c>
      <c r="C45" s="103" t="s">
        <v>43</v>
      </c>
      <c r="D45" s="103" t="s">
        <v>515</v>
      </c>
      <c r="E45" s="318" t="s">
        <v>1526</v>
      </c>
      <c r="F45" s="330" t="s">
        <v>1191</v>
      </c>
      <c r="G45" s="318">
        <f t="shared" ref="G45:G57" si="5">H45+I45</f>
        <v>228747968</v>
      </c>
      <c r="H45" s="318">
        <f>((35873318.14-300000+2000000)+43144600)+500000-600000-400000-200000-6000000+6000000+72800+106000+60000-2000000+2000000-3000000+3000000+12000+1000+600000+264000+76418+225000</f>
        <v>81435136.140000001</v>
      </c>
      <c r="I45" s="318">
        <f>((26816681.86-700000)+94834900)+3000000+7300000+3000000+900000+6954220+45780+1000000+2000000+400000+1200000+506250+280000-10025000+9800000</f>
        <v>147312831.86000001</v>
      </c>
      <c r="J45" s="318">
        <f>((26816681.86-700000)+94834900)+3000000+7300000+3000000+900000+6954220+45780+1000000+2000000+400000+1200000+506250+280000-10025000+9800000</f>
        <v>147312831.86000001</v>
      </c>
      <c r="K45" s="96" t="b">
        <f>H45+H46+H47+H48+H49+H50+H56+H51+H53+H55+H52+H57+H54='d3'!E46</f>
        <v>1</v>
      </c>
      <c r="L45" s="465" t="b">
        <f>I45+I46+I47+I48+I49+I50+I56+I53+I55+I51+I52+I57+I54='d3'!J46</f>
        <v>1</v>
      </c>
      <c r="M45" s="465" t="b">
        <f>J45+J46+J47+J48+J49+J50+J56+J53+J55+J51+J52+J57+J54='d3'!K46</f>
        <v>1</v>
      </c>
    </row>
    <row r="46" spans="1:13" ht="409.6" thickTop="1" thickBot="1" x14ac:dyDescent="0.25">
      <c r="A46" s="103" t="s">
        <v>513</v>
      </c>
      <c r="B46" s="103" t="s">
        <v>514</v>
      </c>
      <c r="C46" s="103" t="s">
        <v>43</v>
      </c>
      <c r="D46" s="103" t="s">
        <v>515</v>
      </c>
      <c r="E46" s="318" t="s">
        <v>1390</v>
      </c>
      <c r="F46" s="318" t="s">
        <v>859</v>
      </c>
      <c r="G46" s="318">
        <f t="shared" si="5"/>
        <v>4000000</v>
      </c>
      <c r="H46" s="318">
        <f>(2900000)+880000+120000</f>
        <v>3900000</v>
      </c>
      <c r="I46" s="318">
        <v>100000</v>
      </c>
      <c r="J46" s="318">
        <v>100000</v>
      </c>
      <c r="K46" s="254"/>
      <c r="L46" s="261"/>
      <c r="M46" s="262"/>
    </row>
    <row r="47" spans="1:13" ht="321.75" thickTop="1" thickBot="1" x14ac:dyDescent="0.25">
      <c r="A47" s="103" t="s">
        <v>513</v>
      </c>
      <c r="B47" s="103" t="s">
        <v>514</v>
      </c>
      <c r="C47" s="103" t="s">
        <v>43</v>
      </c>
      <c r="D47" s="103" t="s">
        <v>515</v>
      </c>
      <c r="E47" s="318" t="s">
        <v>1041</v>
      </c>
      <c r="F47" s="318" t="s">
        <v>934</v>
      </c>
      <c r="G47" s="318">
        <f t="shared" si="5"/>
        <v>6000000</v>
      </c>
      <c r="H47" s="318">
        <v>4214000</v>
      </c>
      <c r="I47" s="318">
        <f>(786000)+1000000</f>
        <v>1786000</v>
      </c>
      <c r="J47" s="318">
        <f>(786000)+1000000</f>
        <v>1786000</v>
      </c>
      <c r="K47" s="254"/>
      <c r="L47" s="261"/>
      <c r="M47" s="262"/>
    </row>
    <row r="48" spans="1:13" ht="230.25" thickTop="1" thickBot="1" x14ac:dyDescent="0.25">
      <c r="A48" s="103" t="s">
        <v>513</v>
      </c>
      <c r="B48" s="103" t="s">
        <v>514</v>
      </c>
      <c r="C48" s="103" t="s">
        <v>43</v>
      </c>
      <c r="D48" s="103" t="s">
        <v>515</v>
      </c>
      <c r="E48" s="318" t="s">
        <v>1382</v>
      </c>
      <c r="F48" s="318" t="s">
        <v>1312</v>
      </c>
      <c r="G48" s="318">
        <f t="shared" si="5"/>
        <v>15220000</v>
      </c>
      <c r="H48" s="318">
        <f>((5000000)+7020000)+2700000</f>
        <v>14720000</v>
      </c>
      <c r="I48" s="318">
        <f>(0)+500000</f>
        <v>500000</v>
      </c>
      <c r="J48" s="318">
        <f>(0)+500000</f>
        <v>500000</v>
      </c>
      <c r="K48" s="254"/>
      <c r="L48" s="261"/>
      <c r="M48" s="262"/>
    </row>
    <row r="49" spans="1:13" ht="409.6" thickTop="1" thickBot="1" x14ac:dyDescent="0.25">
      <c r="A49" s="103" t="s">
        <v>513</v>
      </c>
      <c r="B49" s="103" t="s">
        <v>514</v>
      </c>
      <c r="C49" s="103" t="s">
        <v>43</v>
      </c>
      <c r="D49" s="103" t="s">
        <v>515</v>
      </c>
      <c r="E49" s="318" t="s">
        <v>1344</v>
      </c>
      <c r="F49" s="318" t="s">
        <v>1311</v>
      </c>
      <c r="G49" s="318">
        <f t="shared" si="5"/>
        <v>4000000</v>
      </c>
      <c r="H49" s="318">
        <v>0</v>
      </c>
      <c r="I49" s="318">
        <v>4000000</v>
      </c>
      <c r="J49" s="318">
        <v>4000000</v>
      </c>
      <c r="K49" s="254"/>
      <c r="L49" s="261"/>
      <c r="M49" s="262"/>
    </row>
    <row r="50" spans="1:13" ht="321.75" thickTop="1" thickBot="1" x14ac:dyDescent="0.25">
      <c r="A50" s="103" t="s">
        <v>513</v>
      </c>
      <c r="B50" s="103" t="s">
        <v>514</v>
      </c>
      <c r="C50" s="103" t="s">
        <v>43</v>
      </c>
      <c r="D50" s="103" t="s">
        <v>515</v>
      </c>
      <c r="E50" s="318" t="s">
        <v>1383</v>
      </c>
      <c r="F50" s="318" t="s">
        <v>1349</v>
      </c>
      <c r="G50" s="318">
        <f>H50+I50</f>
        <v>1500000</v>
      </c>
      <c r="H50" s="318">
        <v>1435000</v>
      </c>
      <c r="I50" s="318">
        <v>65000</v>
      </c>
      <c r="J50" s="318">
        <v>65000</v>
      </c>
      <c r="K50" s="254"/>
      <c r="L50" s="261"/>
      <c r="M50" s="262"/>
    </row>
    <row r="51" spans="1:13" ht="367.5" thickTop="1" thickBot="1" x14ac:dyDescent="0.25">
      <c r="A51" s="103" t="s">
        <v>513</v>
      </c>
      <c r="B51" s="103" t="s">
        <v>514</v>
      </c>
      <c r="C51" s="103" t="s">
        <v>43</v>
      </c>
      <c r="D51" s="103" t="s">
        <v>515</v>
      </c>
      <c r="E51" s="318" t="s">
        <v>1595</v>
      </c>
      <c r="F51" s="318"/>
      <c r="G51" s="318">
        <f t="shared" si="5"/>
        <v>1085000</v>
      </c>
      <c r="H51" s="318">
        <f>1000000-400000</f>
        <v>600000</v>
      </c>
      <c r="I51" s="318">
        <v>485000</v>
      </c>
      <c r="J51" s="318">
        <v>485000</v>
      </c>
      <c r="K51" s="254"/>
      <c r="L51" s="261"/>
      <c r="M51" s="262"/>
    </row>
    <row r="52" spans="1:13" ht="276" hidden="1" thickTop="1" thickBot="1" x14ac:dyDescent="0.25">
      <c r="A52" s="128" t="s">
        <v>513</v>
      </c>
      <c r="B52" s="128" t="s">
        <v>514</v>
      </c>
      <c r="C52" s="128" t="s">
        <v>43</v>
      </c>
      <c r="D52" s="128" t="s">
        <v>515</v>
      </c>
      <c r="E52" s="196" t="s">
        <v>1405</v>
      </c>
      <c r="F52" s="196" t="s">
        <v>1406</v>
      </c>
      <c r="G52" s="196">
        <f t="shared" si="5"/>
        <v>0</v>
      </c>
      <c r="H52" s="196"/>
      <c r="I52" s="196"/>
      <c r="J52" s="196"/>
      <c r="K52" s="254"/>
      <c r="L52" s="261"/>
      <c r="M52" s="262"/>
    </row>
    <row r="53" spans="1:13" ht="321.75" hidden="1" thickTop="1" thickBot="1" x14ac:dyDescent="0.25">
      <c r="A53" s="103" t="s">
        <v>513</v>
      </c>
      <c r="B53" s="103" t="s">
        <v>514</v>
      </c>
      <c r="C53" s="103" t="s">
        <v>43</v>
      </c>
      <c r="D53" s="103" t="s">
        <v>515</v>
      </c>
      <c r="E53" s="318" t="s">
        <v>1593</v>
      </c>
      <c r="F53" s="318"/>
      <c r="G53" s="318">
        <f t="shared" si="5"/>
        <v>0</v>
      </c>
      <c r="H53" s="318">
        <v>0</v>
      </c>
      <c r="I53" s="318">
        <f>800000-800000</f>
        <v>0</v>
      </c>
      <c r="J53" s="318">
        <f>800000-800000</f>
        <v>0</v>
      </c>
      <c r="K53" s="254"/>
      <c r="L53" s="261"/>
      <c r="M53" s="262"/>
    </row>
    <row r="54" spans="1:13" ht="276" thickTop="1" thickBot="1" x14ac:dyDescent="0.25">
      <c r="A54" s="103" t="s">
        <v>513</v>
      </c>
      <c r="B54" s="103" t="s">
        <v>514</v>
      </c>
      <c r="C54" s="103" t="s">
        <v>43</v>
      </c>
      <c r="D54" s="103" t="s">
        <v>515</v>
      </c>
      <c r="E54" s="318" t="s">
        <v>1594</v>
      </c>
      <c r="F54" s="318"/>
      <c r="G54" s="318">
        <f t="shared" si="5"/>
        <v>70000</v>
      </c>
      <c r="H54" s="318">
        <f>(24000+20000+15000+11000)</f>
        <v>70000</v>
      </c>
      <c r="I54" s="318">
        <v>0</v>
      </c>
      <c r="J54" s="318">
        <v>0</v>
      </c>
      <c r="K54" s="254"/>
      <c r="L54" s="261"/>
      <c r="M54" s="262"/>
    </row>
    <row r="55" spans="1:13" ht="409.6" hidden="1" thickTop="1" thickBot="1" x14ac:dyDescent="0.25">
      <c r="A55" s="128" t="s">
        <v>513</v>
      </c>
      <c r="B55" s="128" t="s">
        <v>514</v>
      </c>
      <c r="C55" s="128" t="s">
        <v>43</v>
      </c>
      <c r="D55" s="128" t="s">
        <v>515</v>
      </c>
      <c r="E55" s="452" t="s">
        <v>1332</v>
      </c>
      <c r="F55" s="196" t="s">
        <v>1333</v>
      </c>
      <c r="G55" s="196">
        <f t="shared" si="5"/>
        <v>0</v>
      </c>
      <c r="H55" s="196"/>
      <c r="I55" s="196"/>
      <c r="J55" s="196"/>
      <c r="K55" s="254"/>
      <c r="L55" s="261"/>
      <c r="M55" s="262"/>
    </row>
    <row r="56" spans="1:13" ht="230.25" hidden="1" thickTop="1" thickBot="1" x14ac:dyDescent="0.25">
      <c r="A56" s="128" t="s">
        <v>513</v>
      </c>
      <c r="B56" s="128" t="s">
        <v>514</v>
      </c>
      <c r="C56" s="128" t="s">
        <v>43</v>
      </c>
      <c r="D56" s="128" t="s">
        <v>515</v>
      </c>
      <c r="E56" s="196" t="s">
        <v>1300</v>
      </c>
      <c r="F56" s="196" t="s">
        <v>951</v>
      </c>
      <c r="G56" s="196">
        <f t="shared" si="5"/>
        <v>0</v>
      </c>
      <c r="H56" s="196"/>
      <c r="I56" s="196"/>
      <c r="J56" s="196"/>
      <c r="K56" s="254"/>
      <c r="L56" s="261"/>
      <c r="M56" s="262"/>
    </row>
    <row r="57" spans="1:13" ht="230.25" hidden="1" thickTop="1" thickBot="1" x14ac:dyDescent="0.25">
      <c r="A57" s="128" t="s">
        <v>513</v>
      </c>
      <c r="B57" s="128" t="s">
        <v>514</v>
      </c>
      <c r="C57" s="128" t="s">
        <v>43</v>
      </c>
      <c r="D57" s="128" t="s">
        <v>515</v>
      </c>
      <c r="E57" s="196" t="s">
        <v>1447</v>
      </c>
      <c r="F57" s="196" t="s">
        <v>1448</v>
      </c>
      <c r="G57" s="196">
        <f t="shared" si="5"/>
        <v>0</v>
      </c>
      <c r="H57" s="196"/>
      <c r="I57" s="196"/>
      <c r="J57" s="196"/>
      <c r="K57" s="254"/>
      <c r="L57" s="261"/>
      <c r="M57" s="262"/>
    </row>
    <row r="58" spans="1:13" ht="170.1" customHeight="1" thickTop="1" thickBot="1" x14ac:dyDescent="0.25">
      <c r="A58" s="661" t="s">
        <v>152</v>
      </c>
      <c r="B58" s="661"/>
      <c r="C58" s="661"/>
      <c r="D58" s="662" t="s">
        <v>0</v>
      </c>
      <c r="E58" s="661"/>
      <c r="F58" s="661"/>
      <c r="G58" s="664">
        <f>G59</f>
        <v>2561277642.8300004</v>
      </c>
      <c r="H58" s="664">
        <f t="shared" ref="H58:J58" si="6">H59</f>
        <v>2211534097.8899999</v>
      </c>
      <c r="I58" s="664">
        <f t="shared" si="6"/>
        <v>349743544.93999994</v>
      </c>
      <c r="J58" s="664">
        <f t="shared" si="6"/>
        <v>131568144.79000001</v>
      </c>
      <c r="K58" s="96" t="b">
        <f>H58='d3'!E48</f>
        <v>1</v>
      </c>
      <c r="L58" s="465" t="b">
        <f>I58='d3'!J48</f>
        <v>1</v>
      </c>
      <c r="M58" s="560" t="b">
        <f>J58='d3'!K47</f>
        <v>1</v>
      </c>
    </row>
    <row r="59" spans="1:13" ht="170.1" customHeight="1" thickTop="1" thickBot="1" x14ac:dyDescent="0.25">
      <c r="A59" s="658" t="s">
        <v>153</v>
      </c>
      <c r="B59" s="658"/>
      <c r="C59" s="658"/>
      <c r="D59" s="659" t="s">
        <v>1</v>
      </c>
      <c r="E59" s="660"/>
      <c r="F59" s="660"/>
      <c r="G59" s="660">
        <f>SUM(G60:G105)</f>
        <v>2561277642.8300004</v>
      </c>
      <c r="H59" s="660">
        <f>SUM(H60:H105)</f>
        <v>2211534097.8899999</v>
      </c>
      <c r="I59" s="660">
        <f>SUM(I60:I105)</f>
        <v>349743544.93999994</v>
      </c>
      <c r="J59" s="660">
        <f>SUM(J60:J105)</f>
        <v>131568144.79000001</v>
      </c>
      <c r="K59" s="139"/>
      <c r="L59" s="139"/>
      <c r="M59" s="139"/>
    </row>
    <row r="60" spans="1:13" ht="184.5" thickTop="1" thickBot="1" x14ac:dyDescent="0.25">
      <c r="A60" s="103" t="s">
        <v>198</v>
      </c>
      <c r="B60" s="103" t="s">
        <v>199</v>
      </c>
      <c r="C60" s="103" t="s">
        <v>201</v>
      </c>
      <c r="D60" s="103" t="s">
        <v>202</v>
      </c>
      <c r="E60" s="321" t="s">
        <v>1398</v>
      </c>
      <c r="F60" s="318" t="s">
        <v>1168</v>
      </c>
      <c r="G60" s="318">
        <f t="shared" ref="G60:G77" si="7">H60+I60</f>
        <v>693601323</v>
      </c>
      <c r="H60" s="318">
        <f>'d3'!E50-H61-H62</f>
        <v>597354653</v>
      </c>
      <c r="I60" s="318">
        <f>'d3'!J50-I61-I62</f>
        <v>96246670</v>
      </c>
      <c r="J60" s="318">
        <f>'d3'!K50-J61-J62</f>
        <v>560000</v>
      </c>
      <c r="K60" s="96" t="b">
        <f>H60+H61+H62='d3'!E50</f>
        <v>1</v>
      </c>
      <c r="L60" s="465" t="b">
        <f>I60+I61+I62='d3'!J50</f>
        <v>1</v>
      </c>
      <c r="M60" s="465" t="b">
        <f>J60+J61+J62='d3'!K50</f>
        <v>1</v>
      </c>
    </row>
    <row r="61" spans="1:13" ht="184.5" hidden="1" thickTop="1" thickBot="1" x14ac:dyDescent="0.25">
      <c r="A61" s="41" t="s">
        <v>198</v>
      </c>
      <c r="B61" s="41" t="s">
        <v>199</v>
      </c>
      <c r="C61" s="41" t="s">
        <v>201</v>
      </c>
      <c r="D61" s="41" t="s">
        <v>202</v>
      </c>
      <c r="E61" s="258" t="s">
        <v>449</v>
      </c>
      <c r="F61" s="263" t="s">
        <v>450</v>
      </c>
      <c r="G61" s="73">
        <f>H61+I61</f>
        <v>0</v>
      </c>
      <c r="H61" s="73">
        <v>0</v>
      </c>
      <c r="I61" s="73">
        <f>(30333+15000)-45333</f>
        <v>0</v>
      </c>
      <c r="J61" s="73">
        <f>(30333+15000)-45333</f>
        <v>0</v>
      </c>
      <c r="K61" s="139"/>
      <c r="L61" s="139"/>
      <c r="M61" s="139"/>
    </row>
    <row r="62" spans="1:13" ht="409.6" thickTop="1" thickBot="1" x14ac:dyDescent="0.25">
      <c r="A62" s="103" t="s">
        <v>198</v>
      </c>
      <c r="B62" s="103" t="s">
        <v>199</v>
      </c>
      <c r="C62" s="103" t="s">
        <v>201</v>
      </c>
      <c r="D62" s="103" t="s">
        <v>202</v>
      </c>
      <c r="E62" s="318" t="s">
        <v>1390</v>
      </c>
      <c r="F62" s="318" t="s">
        <v>859</v>
      </c>
      <c r="G62" s="318">
        <f t="shared" si="7"/>
        <v>100000</v>
      </c>
      <c r="H62" s="318">
        <v>100000</v>
      </c>
      <c r="I62" s="318"/>
      <c r="J62" s="318"/>
      <c r="K62" s="139"/>
      <c r="L62" s="139"/>
      <c r="M62" s="139"/>
    </row>
    <row r="63" spans="1:13" ht="184.5" thickTop="1" thickBot="1" x14ac:dyDescent="0.25">
      <c r="A63" s="103" t="s">
        <v>641</v>
      </c>
      <c r="B63" s="103" t="s">
        <v>642</v>
      </c>
      <c r="C63" s="103" t="s">
        <v>204</v>
      </c>
      <c r="D63" s="103" t="s">
        <v>1276</v>
      </c>
      <c r="E63" s="321" t="s">
        <v>1398</v>
      </c>
      <c r="F63" s="318" t="s">
        <v>1168</v>
      </c>
      <c r="G63" s="318">
        <f t="shared" si="7"/>
        <v>653100579.38999999</v>
      </c>
      <c r="H63" s="318">
        <f>'d3'!E52-H64-H65-H66</f>
        <v>551430951.75999999</v>
      </c>
      <c r="I63" s="318">
        <f>'d3'!J52-I64-I65-I66</f>
        <v>101669627.63</v>
      </c>
      <c r="J63" s="318">
        <f>'d3'!K52-J64-J65-J66</f>
        <v>24047407.629999999</v>
      </c>
      <c r="K63" s="96" t="b">
        <f>H63+H64+H65+H66='d3'!E52</f>
        <v>1</v>
      </c>
      <c r="L63" s="465" t="b">
        <f>I63+I64+I65+I66='d3'!J52</f>
        <v>1</v>
      </c>
      <c r="M63" s="465" t="b">
        <f>J63+J64+J65='d3'!K52</f>
        <v>1</v>
      </c>
    </row>
    <row r="64" spans="1:13" ht="230.25" hidden="1" thickTop="1" thickBot="1" x14ac:dyDescent="0.25">
      <c r="A64" s="128" t="s">
        <v>641</v>
      </c>
      <c r="B64" s="128" t="s">
        <v>642</v>
      </c>
      <c r="C64" s="128" t="s">
        <v>204</v>
      </c>
      <c r="D64" s="128" t="s">
        <v>1276</v>
      </c>
      <c r="E64" s="255" t="s">
        <v>1386</v>
      </c>
      <c r="F64" s="196" t="s">
        <v>450</v>
      </c>
      <c r="G64" s="196">
        <f t="shared" si="7"/>
        <v>0</v>
      </c>
      <c r="H64" s="196">
        <v>0</v>
      </c>
      <c r="I64" s="196">
        <v>0</v>
      </c>
      <c r="J64" s="196">
        <v>0</v>
      </c>
      <c r="K64" s="258"/>
      <c r="L64" s="139"/>
      <c r="M64" s="139"/>
    </row>
    <row r="65" spans="1:13" ht="184.5" hidden="1" thickTop="1" thickBot="1" x14ac:dyDescent="0.25">
      <c r="A65" s="41" t="s">
        <v>641</v>
      </c>
      <c r="B65" s="41" t="s">
        <v>642</v>
      </c>
      <c r="C65" s="41" t="s">
        <v>204</v>
      </c>
      <c r="D65" s="128" t="s">
        <v>1276</v>
      </c>
      <c r="E65" s="255" t="s">
        <v>1167</v>
      </c>
      <c r="F65" s="196" t="s">
        <v>1168</v>
      </c>
      <c r="G65" s="73">
        <f>H65+I65</f>
        <v>0</v>
      </c>
      <c r="H65" s="73">
        <v>0</v>
      </c>
      <c r="I65" s="73">
        <v>0</v>
      </c>
      <c r="J65" s="73">
        <v>0</v>
      </c>
      <c r="K65" s="139"/>
      <c r="L65" s="139"/>
      <c r="M65" s="139"/>
    </row>
    <row r="66" spans="1:13" ht="409.6" thickTop="1" thickBot="1" x14ac:dyDescent="0.25">
      <c r="A66" s="103" t="s">
        <v>641</v>
      </c>
      <c r="B66" s="103" t="s">
        <v>642</v>
      </c>
      <c r="C66" s="103" t="s">
        <v>204</v>
      </c>
      <c r="D66" s="103" t="s">
        <v>1276</v>
      </c>
      <c r="E66" s="318" t="s">
        <v>1390</v>
      </c>
      <c r="F66" s="318" t="s">
        <v>859</v>
      </c>
      <c r="G66" s="318">
        <f t="shared" si="7"/>
        <v>200000</v>
      </c>
      <c r="H66" s="318">
        <v>200000</v>
      </c>
      <c r="I66" s="318"/>
      <c r="J66" s="318"/>
      <c r="K66" s="139"/>
      <c r="L66" s="139"/>
      <c r="M66" s="139"/>
    </row>
    <row r="67" spans="1:13" ht="276" thickTop="1" thickBot="1" x14ac:dyDescent="0.25">
      <c r="A67" s="103" t="s">
        <v>650</v>
      </c>
      <c r="B67" s="103" t="s">
        <v>651</v>
      </c>
      <c r="C67" s="103" t="s">
        <v>207</v>
      </c>
      <c r="D67" s="103" t="s">
        <v>1277</v>
      </c>
      <c r="E67" s="321" t="s">
        <v>1398</v>
      </c>
      <c r="F67" s="318" t="s">
        <v>1168</v>
      </c>
      <c r="G67" s="318">
        <f t="shared" si="7"/>
        <v>32507431</v>
      </c>
      <c r="H67" s="318">
        <f>'d3'!E53-H68</f>
        <v>32235281</v>
      </c>
      <c r="I67" s="318">
        <f>'d3'!J53-I68</f>
        <v>272150</v>
      </c>
      <c r="J67" s="318">
        <f>'d3'!K53-J68</f>
        <v>100000</v>
      </c>
      <c r="K67" s="96" t="b">
        <f>H67+H68='d3'!E53</f>
        <v>1</v>
      </c>
      <c r="L67" s="96" t="b">
        <f>I67+I68='d3'!J53</f>
        <v>1</v>
      </c>
      <c r="M67" s="96" t="b">
        <f>J67+J68='d3'!K53</f>
        <v>1</v>
      </c>
    </row>
    <row r="68" spans="1:13" ht="230.25" hidden="1" thickTop="1" thickBot="1" x14ac:dyDescent="0.25">
      <c r="A68" s="41" t="s">
        <v>650</v>
      </c>
      <c r="B68" s="41" t="s">
        <v>651</v>
      </c>
      <c r="C68" s="41" t="s">
        <v>207</v>
      </c>
      <c r="D68" s="41" t="s">
        <v>497</v>
      </c>
      <c r="E68" s="258" t="s">
        <v>583</v>
      </c>
      <c r="F68" s="73" t="s">
        <v>407</v>
      </c>
      <c r="G68" s="73">
        <f t="shared" si="7"/>
        <v>0</v>
      </c>
      <c r="H68" s="73">
        <v>0</v>
      </c>
      <c r="I68" s="73"/>
      <c r="J68" s="73"/>
      <c r="K68" s="258" t="s">
        <v>563</v>
      </c>
      <c r="L68" s="139"/>
      <c r="M68" s="139"/>
    </row>
    <row r="69" spans="1:13" ht="184.5" thickTop="1" thickBot="1" x14ac:dyDescent="0.25">
      <c r="A69" s="103" t="s">
        <v>996</v>
      </c>
      <c r="B69" s="103" t="s">
        <v>997</v>
      </c>
      <c r="C69" s="103" t="s">
        <v>207</v>
      </c>
      <c r="D69" s="103" t="s">
        <v>1278</v>
      </c>
      <c r="E69" s="321" t="s">
        <v>1398</v>
      </c>
      <c r="F69" s="318" t="s">
        <v>1168</v>
      </c>
      <c r="G69" s="318">
        <f t="shared" si="7"/>
        <v>21298491</v>
      </c>
      <c r="H69" s="318">
        <f>'d3'!E54</f>
        <v>20548491</v>
      </c>
      <c r="I69" s="318">
        <f>'d3'!J54</f>
        <v>750000</v>
      </c>
      <c r="J69" s="318">
        <f>'d3'!K54</f>
        <v>750000</v>
      </c>
      <c r="K69" s="264"/>
      <c r="L69" s="139"/>
      <c r="M69" s="139"/>
    </row>
    <row r="70" spans="1:13" ht="184.5" thickTop="1" thickBot="1" x14ac:dyDescent="0.25">
      <c r="A70" s="103" t="s">
        <v>659</v>
      </c>
      <c r="B70" s="103" t="s">
        <v>660</v>
      </c>
      <c r="C70" s="103" t="s">
        <v>204</v>
      </c>
      <c r="D70" s="103" t="s">
        <v>1279</v>
      </c>
      <c r="E70" s="321" t="s">
        <v>1398</v>
      </c>
      <c r="F70" s="318" t="s">
        <v>1168</v>
      </c>
      <c r="G70" s="318">
        <f t="shared" si="7"/>
        <v>723235253</v>
      </c>
      <c r="H70" s="318">
        <f>'d3'!E56</f>
        <v>723235253</v>
      </c>
      <c r="I70" s="318">
        <f>'d3'!J56</f>
        <v>0</v>
      </c>
      <c r="J70" s="318">
        <f>'d3'!K56</f>
        <v>0</v>
      </c>
      <c r="K70" s="264"/>
      <c r="L70" s="139"/>
      <c r="M70" s="139"/>
    </row>
    <row r="71" spans="1:13" ht="184.5" thickTop="1" thickBot="1" x14ac:dyDescent="0.25">
      <c r="A71" s="103" t="s">
        <v>1130</v>
      </c>
      <c r="B71" s="103" t="s">
        <v>1131</v>
      </c>
      <c r="C71" s="103" t="s">
        <v>207</v>
      </c>
      <c r="D71" s="103" t="s">
        <v>1280</v>
      </c>
      <c r="E71" s="321" t="s">
        <v>1398</v>
      </c>
      <c r="F71" s="318" t="s">
        <v>1168</v>
      </c>
      <c r="G71" s="318">
        <f t="shared" ref="G71" si="8">H71+I71</f>
        <v>10990650</v>
      </c>
      <c r="H71" s="318">
        <f>'d3'!E57</f>
        <v>10990650</v>
      </c>
      <c r="I71" s="318">
        <f>'d3'!J57</f>
        <v>0</v>
      </c>
      <c r="J71" s="318">
        <f>'d3'!K57</f>
        <v>0</v>
      </c>
      <c r="K71" s="264"/>
      <c r="L71" s="139"/>
      <c r="M71" s="139"/>
    </row>
    <row r="72" spans="1:13" ht="409.6" thickTop="1" thickBot="1" x14ac:dyDescent="0.25">
      <c r="A72" s="103" t="s">
        <v>931</v>
      </c>
      <c r="B72" s="103" t="s">
        <v>932</v>
      </c>
      <c r="C72" s="103" t="s">
        <v>204</v>
      </c>
      <c r="D72" s="647" t="s">
        <v>1566</v>
      </c>
      <c r="E72" s="321" t="s">
        <v>1398</v>
      </c>
      <c r="F72" s="318" t="s">
        <v>1168</v>
      </c>
      <c r="G72" s="318">
        <f t="shared" si="7"/>
        <v>128512.77</v>
      </c>
      <c r="H72" s="318">
        <f>'d3'!E59</f>
        <v>128512.77</v>
      </c>
      <c r="I72" s="318">
        <f>'d3'!J59</f>
        <v>0</v>
      </c>
      <c r="J72" s="318">
        <f>'d3'!K59</f>
        <v>0</v>
      </c>
      <c r="K72" s="267"/>
      <c r="L72" s="139"/>
      <c r="M72" s="139"/>
    </row>
    <row r="73" spans="1:13" ht="184.5" thickTop="1" thickBot="1" x14ac:dyDescent="0.25">
      <c r="A73" s="103" t="s">
        <v>661</v>
      </c>
      <c r="B73" s="103" t="s">
        <v>206</v>
      </c>
      <c r="C73" s="103" t="s">
        <v>181</v>
      </c>
      <c r="D73" s="103" t="s">
        <v>499</v>
      </c>
      <c r="E73" s="321" t="s">
        <v>1398</v>
      </c>
      <c r="F73" s="318" t="s">
        <v>1168</v>
      </c>
      <c r="G73" s="318">
        <f t="shared" si="7"/>
        <v>40433020</v>
      </c>
      <c r="H73" s="318">
        <f>'d3'!E60-H74</f>
        <v>38329360</v>
      </c>
      <c r="I73" s="318">
        <f>'d3'!J60-I74</f>
        <v>2103660</v>
      </c>
      <c r="J73" s="318">
        <f>'d3'!K60-J74</f>
        <v>1000000</v>
      </c>
      <c r="K73" s="96" t="b">
        <f>H73+H74='d3'!E60</f>
        <v>1</v>
      </c>
      <c r="L73" s="96" t="b">
        <f>I73+I74='d3'!J60</f>
        <v>1</v>
      </c>
      <c r="M73" s="96" t="b">
        <f>J73+J74='d3'!K60</f>
        <v>1</v>
      </c>
    </row>
    <row r="74" spans="1:13" ht="409.6" thickTop="1" thickBot="1" x14ac:dyDescent="0.25">
      <c r="A74" s="103" t="s">
        <v>661</v>
      </c>
      <c r="B74" s="103" t="s">
        <v>206</v>
      </c>
      <c r="C74" s="103" t="s">
        <v>181</v>
      </c>
      <c r="D74" s="103" t="s">
        <v>499</v>
      </c>
      <c r="E74" s="318" t="s">
        <v>1390</v>
      </c>
      <c r="F74" s="318" t="s">
        <v>859</v>
      </c>
      <c r="G74" s="318">
        <f t="shared" si="7"/>
        <v>50000</v>
      </c>
      <c r="H74" s="318">
        <v>50000</v>
      </c>
      <c r="I74" s="318"/>
      <c r="J74" s="318"/>
      <c r="K74" s="139"/>
      <c r="L74" s="139"/>
      <c r="M74" s="139"/>
    </row>
    <row r="75" spans="1:13" ht="184.5" thickTop="1" thickBot="1" x14ac:dyDescent="0.25">
      <c r="A75" s="103" t="s">
        <v>662</v>
      </c>
      <c r="B75" s="103" t="s">
        <v>663</v>
      </c>
      <c r="C75" s="103" t="s">
        <v>209</v>
      </c>
      <c r="D75" s="103" t="s">
        <v>664</v>
      </c>
      <c r="E75" s="321" t="s">
        <v>1398</v>
      </c>
      <c r="F75" s="318" t="s">
        <v>1168</v>
      </c>
      <c r="G75" s="318">
        <f t="shared" si="7"/>
        <v>201607485.50999999</v>
      </c>
      <c r="H75" s="318">
        <f>'d3'!E62-H76</f>
        <v>166269425.50999999</v>
      </c>
      <c r="I75" s="318">
        <f>'d3'!J62-I76</f>
        <v>35338060</v>
      </c>
      <c r="J75" s="318">
        <f>'d3'!K62-J76</f>
        <v>300000</v>
      </c>
      <c r="K75" s="96" t="b">
        <f>H75+H76='d3'!E62</f>
        <v>1</v>
      </c>
      <c r="L75" s="96" t="b">
        <f>I75+I76='d3'!J62</f>
        <v>1</v>
      </c>
      <c r="M75" s="96" t="b">
        <f>J75+J76='d3'!K62</f>
        <v>1</v>
      </c>
    </row>
    <row r="76" spans="1:13" ht="409.6" thickTop="1" thickBot="1" x14ac:dyDescent="0.25">
      <c r="A76" s="103" t="s">
        <v>662</v>
      </c>
      <c r="B76" s="103" t="s">
        <v>663</v>
      </c>
      <c r="C76" s="103" t="s">
        <v>209</v>
      </c>
      <c r="D76" s="103" t="s">
        <v>664</v>
      </c>
      <c r="E76" s="318" t="s">
        <v>1390</v>
      </c>
      <c r="F76" s="318" t="s">
        <v>859</v>
      </c>
      <c r="G76" s="318">
        <f t="shared" si="7"/>
        <v>50000</v>
      </c>
      <c r="H76" s="318">
        <v>50000</v>
      </c>
      <c r="I76" s="318"/>
      <c r="J76" s="318"/>
      <c r="K76" s="139"/>
      <c r="L76" s="139"/>
      <c r="M76" s="139"/>
    </row>
    <row r="77" spans="1:13" ht="184.5" thickTop="1" thickBot="1" x14ac:dyDescent="0.25">
      <c r="A77" s="103" t="s">
        <v>666</v>
      </c>
      <c r="B77" s="103" t="s">
        <v>665</v>
      </c>
      <c r="C77" s="103" t="s">
        <v>209</v>
      </c>
      <c r="D77" s="103" t="s">
        <v>667</v>
      </c>
      <c r="E77" s="321" t="s">
        <v>1398</v>
      </c>
      <c r="F77" s="318" t="s">
        <v>1168</v>
      </c>
      <c r="G77" s="318">
        <f t="shared" si="7"/>
        <v>25730400</v>
      </c>
      <c r="H77" s="318">
        <f>'d3'!E63</f>
        <v>25730400</v>
      </c>
      <c r="I77" s="318">
        <f>'d3'!J63</f>
        <v>0</v>
      </c>
      <c r="J77" s="318">
        <f>'d3'!K63</f>
        <v>0</v>
      </c>
      <c r="K77" s="139"/>
      <c r="L77" s="139"/>
      <c r="M77" s="139"/>
    </row>
    <row r="78" spans="1:13" ht="184.5" thickTop="1" thickBot="1" x14ac:dyDescent="0.25">
      <c r="A78" s="103" t="s">
        <v>671</v>
      </c>
      <c r="B78" s="103" t="s">
        <v>672</v>
      </c>
      <c r="C78" s="103" t="s">
        <v>210</v>
      </c>
      <c r="D78" s="103" t="s">
        <v>501</v>
      </c>
      <c r="E78" s="321" t="s">
        <v>1398</v>
      </c>
      <c r="F78" s="318" t="s">
        <v>1168</v>
      </c>
      <c r="G78" s="318">
        <f t="shared" ref="G78" si="9">H78+I78</f>
        <v>28257794</v>
      </c>
      <c r="H78" s="318">
        <f>'d3'!E65</f>
        <v>27605954</v>
      </c>
      <c r="I78" s="318">
        <f>'d3'!J65</f>
        <v>651840.00000000012</v>
      </c>
      <c r="J78" s="318">
        <f>'d3'!K65</f>
        <v>440000.00000000012</v>
      </c>
      <c r="K78" s="139"/>
      <c r="L78" s="139"/>
      <c r="M78" s="139"/>
    </row>
    <row r="79" spans="1:13" ht="184.5" thickTop="1" thickBot="1" x14ac:dyDescent="0.25">
      <c r="A79" s="103" t="s">
        <v>673</v>
      </c>
      <c r="B79" s="103" t="s">
        <v>674</v>
      </c>
      <c r="C79" s="103" t="s">
        <v>210</v>
      </c>
      <c r="D79" s="103" t="s">
        <v>337</v>
      </c>
      <c r="E79" s="321" t="s">
        <v>1398</v>
      </c>
      <c r="F79" s="318" t="s">
        <v>1168</v>
      </c>
      <c r="G79" s="318">
        <f>H79+I79</f>
        <v>534300</v>
      </c>
      <c r="H79" s="318">
        <f>'d3'!E66-H80</f>
        <v>534300</v>
      </c>
      <c r="I79" s="318">
        <f>'d3'!J66-I80</f>
        <v>0</v>
      </c>
      <c r="J79" s="318">
        <f>'d3'!K66-J80</f>
        <v>0</v>
      </c>
      <c r="K79" s="558" t="b">
        <f>H79+H80='d3'!E66</f>
        <v>1</v>
      </c>
      <c r="L79" s="559" t="b">
        <f>I79+I80='d3'!J66</f>
        <v>1</v>
      </c>
      <c r="M79" s="559" t="b">
        <f>J79+J80='d3'!K66</f>
        <v>1</v>
      </c>
    </row>
    <row r="80" spans="1:13" ht="230.25" hidden="1" customHeight="1" thickTop="1" thickBot="1" x14ac:dyDescent="0.25">
      <c r="A80" s="556" t="s">
        <v>673</v>
      </c>
      <c r="B80" s="556" t="s">
        <v>674</v>
      </c>
      <c r="C80" s="556" t="s">
        <v>210</v>
      </c>
      <c r="D80" s="556" t="s">
        <v>337</v>
      </c>
      <c r="E80" s="321" t="s">
        <v>1167</v>
      </c>
      <c r="F80" s="318" t="s">
        <v>1168</v>
      </c>
      <c r="G80" s="557">
        <f>H80+I80</f>
        <v>0</v>
      </c>
      <c r="H80" s="557"/>
      <c r="I80" s="557"/>
      <c r="J80" s="557"/>
      <c r="K80" s="258" t="s">
        <v>564</v>
      </c>
      <c r="L80" s="139"/>
      <c r="M80" s="139"/>
    </row>
    <row r="81" spans="1:13" ht="184.5" thickTop="1" thickBot="1" x14ac:dyDescent="0.25">
      <c r="A81" s="103" t="s">
        <v>677</v>
      </c>
      <c r="B81" s="103" t="s">
        <v>678</v>
      </c>
      <c r="C81" s="103" t="s">
        <v>210</v>
      </c>
      <c r="D81" s="103" t="s">
        <v>679</v>
      </c>
      <c r="E81" s="321" t="s">
        <v>1398</v>
      </c>
      <c r="F81" s="318" t="s">
        <v>1168</v>
      </c>
      <c r="G81" s="318">
        <f t="shared" ref="G81:G82" si="10">H81+I81</f>
        <v>1114123</v>
      </c>
      <c r="H81" s="318">
        <f>'d3'!E68</f>
        <v>1114123</v>
      </c>
      <c r="I81" s="318">
        <f>'d3'!J68</f>
        <v>0</v>
      </c>
      <c r="J81" s="318">
        <f>'d3'!K68</f>
        <v>0</v>
      </c>
      <c r="K81" s="139"/>
      <c r="L81" s="139"/>
      <c r="M81" s="139"/>
    </row>
    <row r="82" spans="1:13" ht="184.5" thickTop="1" thickBot="1" x14ac:dyDescent="0.25">
      <c r="A82" s="103" t="s">
        <v>680</v>
      </c>
      <c r="B82" s="103" t="s">
        <v>681</v>
      </c>
      <c r="C82" s="103" t="s">
        <v>210</v>
      </c>
      <c r="D82" s="103" t="s">
        <v>682</v>
      </c>
      <c r="E82" s="321" t="s">
        <v>1398</v>
      </c>
      <c r="F82" s="318" t="s">
        <v>1168</v>
      </c>
      <c r="G82" s="318">
        <f t="shared" si="10"/>
        <v>4927300</v>
      </c>
      <c r="H82" s="318">
        <f>'d3'!E69</f>
        <v>4927300</v>
      </c>
      <c r="I82" s="318">
        <f>'d3'!J69</f>
        <v>0</v>
      </c>
      <c r="J82" s="318">
        <f>'d3'!K69</f>
        <v>0</v>
      </c>
      <c r="K82" s="139"/>
      <c r="L82" s="139"/>
      <c r="M82" s="139"/>
    </row>
    <row r="83" spans="1:13" ht="184.5" thickTop="1" thickBot="1" x14ac:dyDescent="0.25">
      <c r="A83" s="103" t="s">
        <v>647</v>
      </c>
      <c r="B83" s="103" t="s">
        <v>648</v>
      </c>
      <c r="C83" s="103" t="s">
        <v>210</v>
      </c>
      <c r="D83" s="103" t="s">
        <v>649</v>
      </c>
      <c r="E83" s="321" t="s">
        <v>1398</v>
      </c>
      <c r="F83" s="318" t="s">
        <v>1168</v>
      </c>
      <c r="G83" s="318">
        <f t="shared" ref="G83:G84" si="11">H83+I83</f>
        <v>4021213</v>
      </c>
      <c r="H83" s="318">
        <f>'d3'!E70</f>
        <v>4021213</v>
      </c>
      <c r="I83" s="318">
        <f>'d3'!J70</f>
        <v>0</v>
      </c>
      <c r="J83" s="318">
        <f>'d3'!K70</f>
        <v>0</v>
      </c>
      <c r="K83" s="139"/>
      <c r="L83" s="139"/>
      <c r="M83" s="139"/>
    </row>
    <row r="84" spans="1:13" ht="367.5" hidden="1" customHeight="1" thickTop="1" thickBot="1" x14ac:dyDescent="0.25">
      <c r="A84" s="41" t="s">
        <v>655</v>
      </c>
      <c r="B84" s="41" t="s">
        <v>656</v>
      </c>
      <c r="C84" s="41" t="s">
        <v>210</v>
      </c>
      <c r="D84" s="41" t="s">
        <v>657</v>
      </c>
      <c r="E84" s="255" t="s">
        <v>1167</v>
      </c>
      <c r="F84" s="196" t="s">
        <v>1168</v>
      </c>
      <c r="G84" s="73">
        <f t="shared" si="11"/>
        <v>0</v>
      </c>
      <c r="H84" s="73">
        <f>'d3'!E72</f>
        <v>0</v>
      </c>
      <c r="I84" s="73">
        <f>'d3'!J72</f>
        <v>0</v>
      </c>
      <c r="J84" s="73">
        <f>'d3'!K72</f>
        <v>0</v>
      </c>
      <c r="K84" s="139"/>
      <c r="L84" s="139"/>
      <c r="M84" s="139"/>
    </row>
    <row r="85" spans="1:13" ht="321.75" hidden="1" customHeight="1" thickTop="1" thickBot="1" x14ac:dyDescent="0.25">
      <c r="A85" s="41" t="s">
        <v>979</v>
      </c>
      <c r="B85" s="41" t="s">
        <v>980</v>
      </c>
      <c r="C85" s="41" t="s">
        <v>210</v>
      </c>
      <c r="D85" s="41" t="s">
        <v>981</v>
      </c>
      <c r="E85" s="255" t="s">
        <v>1167</v>
      </c>
      <c r="F85" s="196" t="s">
        <v>1168</v>
      </c>
      <c r="G85" s="73">
        <f t="shared" ref="G85" si="12">H85+I85</f>
        <v>0</v>
      </c>
      <c r="H85" s="73">
        <f>'d3'!E73</f>
        <v>0</v>
      </c>
      <c r="I85" s="73">
        <f>'d3'!J73</f>
        <v>0</v>
      </c>
      <c r="J85" s="73">
        <f>'d3'!K73</f>
        <v>0</v>
      </c>
      <c r="K85" s="139"/>
      <c r="L85" s="139"/>
      <c r="M85" s="139"/>
    </row>
    <row r="86" spans="1:13" ht="409.6" hidden="1" customHeight="1" thickTop="1" thickBot="1" x14ac:dyDescent="0.25">
      <c r="A86" s="41" t="s">
        <v>999</v>
      </c>
      <c r="B86" s="41" t="s">
        <v>1001</v>
      </c>
      <c r="C86" s="41" t="s">
        <v>210</v>
      </c>
      <c r="D86" s="41" t="s">
        <v>1003</v>
      </c>
      <c r="E86" s="255" t="s">
        <v>1167</v>
      </c>
      <c r="F86" s="196" t="s">
        <v>1168</v>
      </c>
      <c r="G86" s="73">
        <f>H86+I86</f>
        <v>0</v>
      </c>
      <c r="H86" s="73">
        <f>'d3'!E75</f>
        <v>0</v>
      </c>
      <c r="I86" s="73">
        <f>'d3'!J75</f>
        <v>0</v>
      </c>
      <c r="J86" s="73">
        <f>'d3'!K75</f>
        <v>0</v>
      </c>
      <c r="K86" s="139"/>
      <c r="L86" s="139"/>
      <c r="M86" s="139"/>
    </row>
    <row r="87" spans="1:13" ht="409.6" hidden="1" customHeight="1" thickTop="1" x14ac:dyDescent="0.2">
      <c r="A87" s="777" t="s">
        <v>1017</v>
      </c>
      <c r="B87" s="777" t="s">
        <v>1018</v>
      </c>
      <c r="C87" s="777" t="s">
        <v>210</v>
      </c>
      <c r="D87" s="777" t="s">
        <v>1019</v>
      </c>
      <c r="E87" s="255" t="s">
        <v>1167</v>
      </c>
      <c r="F87" s="196" t="s">
        <v>1168</v>
      </c>
      <c r="G87" s="914">
        <f>H87+I87</f>
        <v>0</v>
      </c>
      <c r="H87" s="914">
        <f>'d3'!E76</f>
        <v>0</v>
      </c>
      <c r="I87" s="914">
        <f>'d3'!J76</f>
        <v>0</v>
      </c>
      <c r="J87" s="914">
        <f>'d3'!K76</f>
        <v>0</v>
      </c>
      <c r="K87" s="139"/>
      <c r="L87" s="139"/>
      <c r="M87" s="139"/>
    </row>
    <row r="88" spans="1:13" ht="184.5" hidden="1" thickTop="1" thickBot="1" x14ac:dyDescent="0.25">
      <c r="A88" s="773"/>
      <c r="B88" s="773"/>
      <c r="C88" s="773"/>
      <c r="D88" s="773"/>
      <c r="E88" s="255" t="s">
        <v>1167</v>
      </c>
      <c r="F88" s="196" t="s">
        <v>1168</v>
      </c>
      <c r="G88" s="773"/>
      <c r="H88" s="773"/>
      <c r="I88" s="773">
        <f>'d3'!J77</f>
        <v>0</v>
      </c>
      <c r="J88" s="773">
        <f>'d3'!K77</f>
        <v>0</v>
      </c>
      <c r="K88" s="139"/>
      <c r="L88" s="139"/>
      <c r="M88" s="139"/>
    </row>
    <row r="89" spans="1:13" ht="230.25" thickTop="1" thickBot="1" x14ac:dyDescent="0.25">
      <c r="A89" s="103" t="s">
        <v>644</v>
      </c>
      <c r="B89" s="103" t="s">
        <v>645</v>
      </c>
      <c r="C89" s="103" t="s">
        <v>210</v>
      </c>
      <c r="D89" s="103" t="s">
        <v>646</v>
      </c>
      <c r="E89" s="321" t="s">
        <v>1398</v>
      </c>
      <c r="F89" s="318" t="s">
        <v>1168</v>
      </c>
      <c r="G89" s="318">
        <f t="shared" ref="G89:G105" si="13">H89+I89</f>
        <v>3668858</v>
      </c>
      <c r="H89" s="318">
        <f>'d3'!E78</f>
        <v>3668858</v>
      </c>
      <c r="I89" s="318">
        <f>'d3'!J78</f>
        <v>0</v>
      </c>
      <c r="J89" s="318">
        <f>'d3'!K78</f>
        <v>0</v>
      </c>
      <c r="K89" s="139"/>
      <c r="L89" s="139"/>
      <c r="M89" s="139"/>
    </row>
    <row r="90" spans="1:13" ht="321.75" thickTop="1" thickBot="1" x14ac:dyDescent="0.25">
      <c r="A90" s="103" t="s">
        <v>941</v>
      </c>
      <c r="B90" s="103" t="s">
        <v>942</v>
      </c>
      <c r="C90" s="103" t="s">
        <v>210</v>
      </c>
      <c r="D90" s="103" t="s">
        <v>1449</v>
      </c>
      <c r="E90" s="321" t="s">
        <v>1398</v>
      </c>
      <c r="F90" s="318" t="s">
        <v>1168</v>
      </c>
      <c r="G90" s="318">
        <f t="shared" si="13"/>
        <v>532739</v>
      </c>
      <c r="H90" s="318">
        <f>'d3'!E79</f>
        <v>532739</v>
      </c>
      <c r="I90" s="318">
        <f>'d3'!J79</f>
        <v>0</v>
      </c>
      <c r="J90" s="318">
        <f>'d3'!K79</f>
        <v>0</v>
      </c>
      <c r="K90" s="139"/>
      <c r="L90" s="139"/>
      <c r="M90" s="139"/>
    </row>
    <row r="91" spans="1:13" ht="321.75" thickTop="1" thickBot="1" x14ac:dyDescent="0.25">
      <c r="A91" s="103" t="s">
        <v>1005</v>
      </c>
      <c r="B91" s="103" t="s">
        <v>1007</v>
      </c>
      <c r="C91" s="103" t="s">
        <v>210</v>
      </c>
      <c r="D91" s="103" t="s">
        <v>1251</v>
      </c>
      <c r="E91" s="321" t="s">
        <v>1398</v>
      </c>
      <c r="F91" s="318" t="s">
        <v>1168</v>
      </c>
      <c r="G91" s="318">
        <f t="shared" si="13"/>
        <v>5766600</v>
      </c>
      <c r="H91" s="318">
        <f>'d3'!E81</f>
        <v>0</v>
      </c>
      <c r="I91" s="318">
        <f>'d3'!J81</f>
        <v>5766600</v>
      </c>
      <c r="J91" s="318">
        <f>'d3'!K81</f>
        <v>5766600</v>
      </c>
      <c r="K91" s="139"/>
      <c r="L91" s="139"/>
      <c r="M91" s="139"/>
    </row>
    <row r="92" spans="1:13" ht="263.25" customHeight="1" thickTop="1" thickBot="1" x14ac:dyDescent="0.25">
      <c r="A92" s="103" t="s">
        <v>1049</v>
      </c>
      <c r="B92" s="103" t="s">
        <v>1050</v>
      </c>
      <c r="C92" s="103" t="s">
        <v>210</v>
      </c>
      <c r="D92" s="103" t="s">
        <v>1596</v>
      </c>
      <c r="E92" s="321" t="s">
        <v>1398</v>
      </c>
      <c r="F92" s="318" t="s">
        <v>1168</v>
      </c>
      <c r="G92" s="318">
        <f t="shared" si="13"/>
        <v>8649900</v>
      </c>
      <c r="H92" s="318">
        <f>'d3'!E82</f>
        <v>0</v>
      </c>
      <c r="I92" s="318">
        <f>'d3'!J82</f>
        <v>8649900</v>
      </c>
      <c r="J92" s="318">
        <f>'d3'!K82</f>
        <v>8649900</v>
      </c>
      <c r="K92" s="139"/>
      <c r="L92" s="139"/>
      <c r="M92" s="139"/>
    </row>
    <row r="93" spans="1:13" ht="409.6" thickTop="1" thickBot="1" x14ac:dyDescent="0.25">
      <c r="A93" s="103" t="s">
        <v>1393</v>
      </c>
      <c r="B93" s="103" t="s">
        <v>1394</v>
      </c>
      <c r="C93" s="103" t="s">
        <v>210</v>
      </c>
      <c r="D93" s="103" t="s">
        <v>1553</v>
      </c>
      <c r="E93" s="318" t="s">
        <v>1390</v>
      </c>
      <c r="F93" s="318" t="s">
        <v>859</v>
      </c>
      <c r="G93" s="318">
        <f t="shared" si="13"/>
        <v>27000000</v>
      </c>
      <c r="H93" s="318">
        <f>'d3'!E84</f>
        <v>0</v>
      </c>
      <c r="I93" s="318">
        <f>'d3'!J84</f>
        <v>27000000</v>
      </c>
      <c r="J93" s="318">
        <f>'d3'!K84</f>
        <v>27000000</v>
      </c>
      <c r="K93" s="139"/>
      <c r="L93" s="139"/>
      <c r="M93" s="139"/>
    </row>
    <row r="94" spans="1:13" ht="409.6" hidden="1" thickTop="1" thickBot="1" x14ac:dyDescent="0.25">
      <c r="A94" s="128" t="s">
        <v>1395</v>
      </c>
      <c r="B94" s="128" t="s">
        <v>1396</v>
      </c>
      <c r="C94" s="128" t="s">
        <v>210</v>
      </c>
      <c r="D94" s="128" t="s">
        <v>1397</v>
      </c>
      <c r="E94" s="196" t="s">
        <v>1390</v>
      </c>
      <c r="F94" s="196" t="s">
        <v>859</v>
      </c>
      <c r="G94" s="196">
        <f t="shared" si="13"/>
        <v>0</v>
      </c>
      <c r="H94" s="196">
        <f>'d3'!E85</f>
        <v>0</v>
      </c>
      <c r="I94" s="196">
        <f>'d3'!J85</f>
        <v>0</v>
      </c>
      <c r="J94" s="196">
        <f>'d3'!K85</f>
        <v>0</v>
      </c>
      <c r="K94" s="139"/>
      <c r="L94" s="139"/>
      <c r="M94" s="139"/>
    </row>
    <row r="95" spans="1:13" ht="230.25" hidden="1" thickTop="1" thickBot="1" x14ac:dyDescent="0.25">
      <c r="A95" s="128" t="s">
        <v>1464</v>
      </c>
      <c r="B95" s="128" t="s">
        <v>1465</v>
      </c>
      <c r="C95" s="128" t="s">
        <v>210</v>
      </c>
      <c r="D95" s="128" t="s">
        <v>1469</v>
      </c>
      <c r="E95" s="255" t="s">
        <v>1398</v>
      </c>
      <c r="F95" s="196" t="s">
        <v>1168</v>
      </c>
      <c r="G95" s="196">
        <f t="shared" si="13"/>
        <v>0</v>
      </c>
      <c r="H95" s="196">
        <f>'d3'!E87</f>
        <v>0</v>
      </c>
      <c r="I95" s="196">
        <f>'d3'!J87</f>
        <v>0</v>
      </c>
      <c r="J95" s="196">
        <f>'d3'!K87</f>
        <v>0</v>
      </c>
      <c r="K95" s="139"/>
      <c r="L95" s="139"/>
      <c r="M95" s="139"/>
    </row>
    <row r="96" spans="1:13" ht="230.25" hidden="1" thickTop="1" thickBot="1" x14ac:dyDescent="0.25">
      <c r="A96" s="128" t="s">
        <v>1466</v>
      </c>
      <c r="B96" s="128" t="s">
        <v>1467</v>
      </c>
      <c r="C96" s="128" t="s">
        <v>210</v>
      </c>
      <c r="D96" s="128" t="s">
        <v>1468</v>
      </c>
      <c r="E96" s="255" t="s">
        <v>1398</v>
      </c>
      <c r="F96" s="196" t="s">
        <v>1168</v>
      </c>
      <c r="G96" s="196">
        <f t="shared" si="13"/>
        <v>0</v>
      </c>
      <c r="H96" s="196">
        <f>'d3'!E88</f>
        <v>0</v>
      </c>
      <c r="I96" s="196">
        <f>'d3'!J88</f>
        <v>0</v>
      </c>
      <c r="J96" s="196">
        <f>'d3'!K88</f>
        <v>0</v>
      </c>
      <c r="K96" s="139"/>
      <c r="L96" s="139"/>
      <c r="M96" s="139"/>
    </row>
    <row r="97" spans="1:13" ht="409.6" thickTop="1" thickBot="1" x14ac:dyDescent="0.25">
      <c r="A97" s="103" t="s">
        <v>1571</v>
      </c>
      <c r="B97" s="103" t="s">
        <v>1569</v>
      </c>
      <c r="C97" s="103" t="s">
        <v>210</v>
      </c>
      <c r="D97" s="103" t="s">
        <v>1572</v>
      </c>
      <c r="E97" s="321" t="s">
        <v>1398</v>
      </c>
      <c r="F97" s="318" t="s">
        <v>1168</v>
      </c>
      <c r="G97" s="318">
        <f t="shared" si="13"/>
        <v>3440786.85</v>
      </c>
      <c r="H97" s="318">
        <f>'d3'!E90</f>
        <v>2032.85</v>
      </c>
      <c r="I97" s="318">
        <f>'d3'!J90</f>
        <v>3438754</v>
      </c>
      <c r="J97" s="318">
        <f>'d3'!K90</f>
        <v>3438754</v>
      </c>
      <c r="K97" s="139"/>
      <c r="L97" s="139"/>
      <c r="M97" s="139"/>
    </row>
    <row r="98" spans="1:13" ht="409.6" thickTop="1" thickBot="1" x14ac:dyDescent="0.25">
      <c r="A98" s="103" t="s">
        <v>1573</v>
      </c>
      <c r="B98" s="103" t="s">
        <v>1574</v>
      </c>
      <c r="C98" s="103" t="s">
        <v>210</v>
      </c>
      <c r="D98" s="103" t="s">
        <v>1575</v>
      </c>
      <c r="E98" s="321" t="s">
        <v>1398</v>
      </c>
      <c r="F98" s="318" t="s">
        <v>1168</v>
      </c>
      <c r="G98" s="318">
        <f t="shared" si="13"/>
        <v>8340800.1500000004</v>
      </c>
      <c r="H98" s="318">
        <f>'d3'!E91</f>
        <v>0</v>
      </c>
      <c r="I98" s="318">
        <f>'d3'!J91</f>
        <v>8340800.1500000004</v>
      </c>
      <c r="J98" s="318">
        <f>'d3'!K91</f>
        <v>0</v>
      </c>
      <c r="K98" s="139"/>
      <c r="L98" s="139"/>
      <c r="M98" s="139"/>
    </row>
    <row r="99" spans="1:13" ht="276" thickTop="1" thickBot="1" x14ac:dyDescent="0.25">
      <c r="A99" s="103" t="s">
        <v>431</v>
      </c>
      <c r="B99" s="103" t="s">
        <v>432</v>
      </c>
      <c r="C99" s="103" t="s">
        <v>185</v>
      </c>
      <c r="D99" s="103" t="s">
        <v>430</v>
      </c>
      <c r="E99" s="321" t="s">
        <v>1398</v>
      </c>
      <c r="F99" s="318" t="s">
        <v>1168</v>
      </c>
      <c r="G99" s="318">
        <f t="shared" si="13"/>
        <v>715000</v>
      </c>
      <c r="H99" s="318">
        <f>'d3'!E93</f>
        <v>715000</v>
      </c>
      <c r="I99" s="318">
        <f>'d3'!J93</f>
        <v>0</v>
      </c>
      <c r="J99" s="318">
        <f>'d3'!K93</f>
        <v>0</v>
      </c>
      <c r="K99" s="139"/>
      <c r="L99" s="139"/>
      <c r="M99" s="139"/>
    </row>
    <row r="100" spans="1:13" ht="184.5" thickTop="1" thickBot="1" x14ac:dyDescent="0.25">
      <c r="A100" s="103" t="s">
        <v>1233</v>
      </c>
      <c r="B100" s="103" t="s">
        <v>1200</v>
      </c>
      <c r="C100" s="103" t="s">
        <v>206</v>
      </c>
      <c r="D100" s="470" t="s">
        <v>1201</v>
      </c>
      <c r="E100" s="321" t="s">
        <v>1192</v>
      </c>
      <c r="F100" s="318" t="s">
        <v>1166</v>
      </c>
      <c r="G100" s="318">
        <f t="shared" si="13"/>
        <v>1759600</v>
      </c>
      <c r="H100" s="318">
        <f>'d3'!E94</f>
        <v>1759600</v>
      </c>
      <c r="I100" s="318">
        <f>'d3'!J94</f>
        <v>0</v>
      </c>
      <c r="J100" s="318">
        <f>'d3'!K94</f>
        <v>0</v>
      </c>
      <c r="K100" s="139"/>
      <c r="L100" s="139"/>
      <c r="M100" s="139"/>
    </row>
    <row r="101" spans="1:13" ht="162.75" hidden="1" customHeight="1" thickTop="1" thickBot="1" x14ac:dyDescent="0.25">
      <c r="A101" s="128" t="s">
        <v>1102</v>
      </c>
      <c r="B101" s="128" t="s">
        <v>311</v>
      </c>
      <c r="C101" s="128" t="s">
        <v>304</v>
      </c>
      <c r="D101" s="128" t="s">
        <v>1492</v>
      </c>
      <c r="E101" s="255" t="s">
        <v>1398</v>
      </c>
      <c r="F101" s="196" t="s">
        <v>1168</v>
      </c>
      <c r="G101" s="196">
        <f t="shared" si="13"/>
        <v>0</v>
      </c>
      <c r="H101" s="196">
        <v>0</v>
      </c>
      <c r="I101" s="196">
        <v>0</v>
      </c>
      <c r="J101" s="196">
        <v>0</v>
      </c>
    </row>
    <row r="102" spans="1:13" ht="409.6" thickTop="1" thickBot="1" x14ac:dyDescent="0.25">
      <c r="A102" s="103" t="s">
        <v>1102</v>
      </c>
      <c r="B102" s="103" t="s">
        <v>311</v>
      </c>
      <c r="C102" s="103" t="s">
        <v>304</v>
      </c>
      <c r="D102" s="103" t="s">
        <v>1504</v>
      </c>
      <c r="E102" s="318" t="s">
        <v>1390</v>
      </c>
      <c r="F102" s="318" t="s">
        <v>859</v>
      </c>
      <c r="G102" s="318">
        <f t="shared" si="13"/>
        <v>30860227.260000002</v>
      </c>
      <c r="H102" s="318">
        <v>0</v>
      </c>
      <c r="I102" s="318">
        <f>((11000000)+20260227.26)-400000</f>
        <v>30860227.260000002</v>
      </c>
      <c r="J102" s="318">
        <f>((11000000)+20260227.26)-400000</f>
        <v>30860227.260000002</v>
      </c>
      <c r="K102" s="96" t="b">
        <f>H101+H102='d3'!E98</f>
        <v>1</v>
      </c>
      <c r="L102" s="465" t="b">
        <f>I101+I102='d3'!J98</f>
        <v>1</v>
      </c>
      <c r="M102" s="465" t="b">
        <f>J101+J102='d3'!K98</f>
        <v>1</v>
      </c>
    </row>
    <row r="103" spans="1:13" ht="184.5" thickTop="1" thickBot="1" x14ac:dyDescent="0.25">
      <c r="A103" s="103" t="s">
        <v>1092</v>
      </c>
      <c r="B103" s="103" t="s">
        <v>212</v>
      </c>
      <c r="C103" s="103" t="s">
        <v>213</v>
      </c>
      <c r="D103" s="103" t="s">
        <v>41</v>
      </c>
      <c r="E103" s="321" t="s">
        <v>1398</v>
      </c>
      <c r="F103" s="318" t="s">
        <v>1168</v>
      </c>
      <c r="G103" s="318">
        <f t="shared" si="13"/>
        <v>28655255.900000002</v>
      </c>
      <c r="H103" s="318">
        <f>'d3'!E100</f>
        <v>0</v>
      </c>
      <c r="I103" s="318">
        <f>'d3'!J100</f>
        <v>28655255.900000002</v>
      </c>
      <c r="J103" s="318">
        <f>'d3'!K100</f>
        <v>28655255.900000002</v>
      </c>
      <c r="K103" s="139"/>
      <c r="L103" s="139"/>
      <c r="M103" s="139"/>
    </row>
    <row r="104" spans="1:13" ht="184.5" hidden="1" thickTop="1" thickBot="1" x14ac:dyDescent="0.25">
      <c r="A104" s="128" t="s">
        <v>1226</v>
      </c>
      <c r="B104" s="128" t="s">
        <v>1190</v>
      </c>
      <c r="C104" s="128" t="s">
        <v>1188</v>
      </c>
      <c r="D104" s="128" t="s">
        <v>1187</v>
      </c>
      <c r="E104" s="128" t="s">
        <v>1384</v>
      </c>
      <c r="F104" s="196" t="s">
        <v>1284</v>
      </c>
      <c r="G104" s="196">
        <f t="shared" si="13"/>
        <v>0</v>
      </c>
      <c r="H104" s="196">
        <f>'d3'!E103</f>
        <v>0</v>
      </c>
      <c r="I104" s="196">
        <f>'d3'!J103</f>
        <v>0</v>
      </c>
      <c r="J104" s="196">
        <f>'d3'!K103</f>
        <v>0</v>
      </c>
      <c r="K104" s="139"/>
      <c r="L104" s="139"/>
      <c r="M104" s="139"/>
    </row>
    <row r="105" spans="1:13" ht="230.25" hidden="1" thickTop="1" thickBot="1" x14ac:dyDescent="0.25">
      <c r="A105" s="41" t="s">
        <v>1030</v>
      </c>
      <c r="B105" s="41" t="s">
        <v>363</v>
      </c>
      <c r="C105" s="41" t="s">
        <v>43</v>
      </c>
      <c r="D105" s="41" t="s">
        <v>364</v>
      </c>
      <c r="E105" s="258" t="s">
        <v>582</v>
      </c>
      <c r="F105" s="73" t="s">
        <v>411</v>
      </c>
      <c r="G105" s="73">
        <f t="shared" si="13"/>
        <v>0</v>
      </c>
      <c r="H105" s="73">
        <f>'d3'!E106</f>
        <v>0</v>
      </c>
      <c r="I105" s="73">
        <f>'d3'!J106</f>
        <v>0</v>
      </c>
      <c r="J105" s="73">
        <f>'d3'!K106</f>
        <v>0</v>
      </c>
      <c r="K105" s="139"/>
      <c r="L105" s="139"/>
      <c r="M105" s="139"/>
    </row>
    <row r="106" spans="1:13" ht="170.1" customHeight="1" thickTop="1" thickBot="1" x14ac:dyDescent="0.25">
      <c r="A106" s="661" t="s">
        <v>154</v>
      </c>
      <c r="B106" s="661"/>
      <c r="C106" s="661"/>
      <c r="D106" s="662" t="s">
        <v>18</v>
      </c>
      <c r="E106" s="661"/>
      <c r="F106" s="661"/>
      <c r="G106" s="664">
        <f>G107</f>
        <v>126471260.98999999</v>
      </c>
      <c r="H106" s="664">
        <f t="shared" ref="H106:J106" si="14">H107</f>
        <v>92172555</v>
      </c>
      <c r="I106" s="664">
        <f t="shared" si="14"/>
        <v>34298705.990000002</v>
      </c>
      <c r="J106" s="664">
        <f t="shared" si="14"/>
        <v>34298705.990000002</v>
      </c>
      <c r="K106" s="96" t="b">
        <f>H106='d3'!E108-'d3'!E110+H108+H109</f>
        <v>1</v>
      </c>
      <c r="L106" s="96" t="b">
        <f>I106='d3'!J108-'d3'!J110+'d7'!I108+I109</f>
        <v>1</v>
      </c>
      <c r="M106" s="96" t="b">
        <f>J106='d3'!K108-'d3'!K110+'d7'!J108+J109</f>
        <v>1</v>
      </c>
    </row>
    <row r="107" spans="1:13" ht="170.1" customHeight="1" thickTop="1" thickBot="1" x14ac:dyDescent="0.25">
      <c r="A107" s="658" t="s">
        <v>155</v>
      </c>
      <c r="B107" s="658"/>
      <c r="C107" s="658"/>
      <c r="D107" s="659" t="s">
        <v>36</v>
      </c>
      <c r="E107" s="660"/>
      <c r="F107" s="660"/>
      <c r="G107" s="660">
        <f>SUM(G108:G131)</f>
        <v>126471260.98999999</v>
      </c>
      <c r="H107" s="660">
        <f>SUM(H108:H131)</f>
        <v>92172555</v>
      </c>
      <c r="I107" s="660">
        <f>SUM(I108:I131)</f>
        <v>34298705.990000002</v>
      </c>
      <c r="J107" s="660">
        <f>SUM(J108:J131)</f>
        <v>34298705.990000002</v>
      </c>
      <c r="K107" s="139"/>
      <c r="L107" s="139"/>
      <c r="M107" s="139"/>
    </row>
    <row r="108" spans="1:13" ht="172.5" hidden="1" customHeight="1" thickTop="1" thickBot="1" x14ac:dyDescent="0.25">
      <c r="A108" s="128" t="s">
        <v>416</v>
      </c>
      <c r="B108" s="128" t="s">
        <v>236</v>
      </c>
      <c r="C108" s="128" t="s">
        <v>234</v>
      </c>
      <c r="D108" s="128" t="s">
        <v>235</v>
      </c>
      <c r="E108" s="255" t="s">
        <v>1282</v>
      </c>
      <c r="F108" s="196" t="s">
        <v>1283</v>
      </c>
      <c r="G108" s="269">
        <f>H108+I108</f>
        <v>0</v>
      </c>
      <c r="H108" s="269"/>
      <c r="I108" s="269">
        <v>0</v>
      </c>
      <c r="J108" s="269">
        <v>0</v>
      </c>
      <c r="K108" s="139"/>
      <c r="L108" s="139"/>
      <c r="M108" s="139"/>
    </row>
    <row r="109" spans="1:13" ht="172.5" hidden="1" customHeight="1" thickTop="1" thickBot="1" x14ac:dyDescent="0.25">
      <c r="A109" s="128" t="s">
        <v>416</v>
      </c>
      <c r="B109" s="128" t="s">
        <v>236</v>
      </c>
      <c r="C109" s="128" t="s">
        <v>234</v>
      </c>
      <c r="D109" s="128" t="s">
        <v>235</v>
      </c>
      <c r="E109" s="255" t="s">
        <v>1037</v>
      </c>
      <c r="F109" s="196" t="s">
        <v>857</v>
      </c>
      <c r="G109" s="269">
        <f>H109+I109</f>
        <v>0</v>
      </c>
      <c r="H109" s="269"/>
      <c r="I109" s="269">
        <v>0</v>
      </c>
      <c r="J109" s="269">
        <v>0</v>
      </c>
      <c r="K109" s="139"/>
      <c r="L109" s="139"/>
      <c r="M109" s="139"/>
    </row>
    <row r="110" spans="1:13" ht="367.5" hidden="1" thickTop="1" thickBot="1" x14ac:dyDescent="0.25">
      <c r="A110" s="128" t="s">
        <v>1257</v>
      </c>
      <c r="B110" s="128" t="s">
        <v>362</v>
      </c>
      <c r="C110" s="128" t="s">
        <v>625</v>
      </c>
      <c r="D110" s="128" t="s">
        <v>626</v>
      </c>
      <c r="E110" s="255" t="s">
        <v>1297</v>
      </c>
      <c r="F110" s="196" t="s">
        <v>1298</v>
      </c>
      <c r="G110" s="269">
        <f>H110+I110</f>
        <v>0</v>
      </c>
      <c r="H110" s="269">
        <f>'d3'!E111</f>
        <v>0</v>
      </c>
      <c r="I110" s="269">
        <f>'d3'!J111</f>
        <v>0</v>
      </c>
      <c r="J110" s="269">
        <f>'d3'!K111</f>
        <v>0</v>
      </c>
      <c r="K110" s="139"/>
      <c r="L110" s="139"/>
      <c r="M110" s="139"/>
    </row>
    <row r="111" spans="1:13" ht="409.6" thickTop="1" thickBot="1" x14ac:dyDescent="0.25">
      <c r="A111" s="103" t="s">
        <v>214</v>
      </c>
      <c r="B111" s="103" t="s">
        <v>211</v>
      </c>
      <c r="C111" s="103" t="s">
        <v>215</v>
      </c>
      <c r="D111" s="103" t="s">
        <v>19</v>
      </c>
      <c r="E111" s="318" t="s">
        <v>1548</v>
      </c>
      <c r="F111" s="318" t="s">
        <v>1549</v>
      </c>
      <c r="G111" s="327">
        <f>H111+I111</f>
        <v>32476100</v>
      </c>
      <c r="H111" s="327">
        <f>'d3'!E113-H112</f>
        <v>19464100</v>
      </c>
      <c r="I111" s="327">
        <f>'d3'!J113-I112</f>
        <v>13012000</v>
      </c>
      <c r="J111" s="327">
        <f>'d3'!K113-J112</f>
        <v>13012000</v>
      </c>
      <c r="K111" s="139"/>
      <c r="L111" s="139"/>
      <c r="M111" s="139"/>
    </row>
    <row r="112" spans="1:13" ht="230.25" hidden="1" thickTop="1" thickBot="1" x14ac:dyDescent="0.25">
      <c r="A112" s="128" t="s">
        <v>214</v>
      </c>
      <c r="B112" s="128" t="s">
        <v>211</v>
      </c>
      <c r="C112" s="128" t="s">
        <v>215</v>
      </c>
      <c r="D112" s="128" t="s">
        <v>19</v>
      </c>
      <c r="E112" s="255" t="s">
        <v>1386</v>
      </c>
      <c r="F112" s="196" t="s">
        <v>450</v>
      </c>
      <c r="G112" s="196">
        <f t="shared" ref="G112" si="15">H112+I112</f>
        <v>0</v>
      </c>
      <c r="H112" s="196">
        <v>0</v>
      </c>
      <c r="I112" s="196">
        <v>0</v>
      </c>
      <c r="J112" s="196">
        <v>0</v>
      </c>
      <c r="K112" s="139"/>
      <c r="L112" s="139"/>
      <c r="M112" s="139"/>
    </row>
    <row r="113" spans="1:13" ht="409.6" thickTop="1" thickBot="1" x14ac:dyDescent="0.25">
      <c r="A113" s="103" t="s">
        <v>505</v>
      </c>
      <c r="B113" s="103" t="s">
        <v>508</v>
      </c>
      <c r="C113" s="103" t="s">
        <v>507</v>
      </c>
      <c r="D113" s="103" t="s">
        <v>506</v>
      </c>
      <c r="E113" s="318" t="s">
        <v>1548</v>
      </c>
      <c r="F113" s="318" t="s">
        <v>1549</v>
      </c>
      <c r="G113" s="327">
        <f>H113+I113</f>
        <v>10536600</v>
      </c>
      <c r="H113" s="327">
        <f>'d3'!E114</f>
        <v>10536600</v>
      </c>
      <c r="I113" s="327">
        <f>'d3'!J114</f>
        <v>0</v>
      </c>
      <c r="J113" s="327">
        <f>'d3'!K114</f>
        <v>0</v>
      </c>
      <c r="K113" s="139"/>
      <c r="L113" s="139"/>
      <c r="M113" s="139"/>
    </row>
    <row r="114" spans="1:13" ht="409.6" thickTop="1" thickBot="1" x14ac:dyDescent="0.25">
      <c r="A114" s="103" t="s">
        <v>216</v>
      </c>
      <c r="B114" s="103" t="s">
        <v>217</v>
      </c>
      <c r="C114" s="103" t="s">
        <v>218</v>
      </c>
      <c r="D114" s="103" t="s">
        <v>219</v>
      </c>
      <c r="E114" s="318" t="s">
        <v>1548</v>
      </c>
      <c r="F114" s="318" t="s">
        <v>1549</v>
      </c>
      <c r="G114" s="327">
        <f t="shared" ref="G114:G121" si="16">H114+I114</f>
        <v>21315681</v>
      </c>
      <c r="H114" s="327">
        <f>'d3'!E115</f>
        <v>8081900</v>
      </c>
      <c r="I114" s="327">
        <f>'d3'!J115</f>
        <v>13233781</v>
      </c>
      <c r="J114" s="327">
        <f>'d3'!K115</f>
        <v>13233781</v>
      </c>
      <c r="K114" s="139"/>
      <c r="L114" s="139"/>
      <c r="M114" s="139"/>
    </row>
    <row r="115" spans="1:13" ht="409.6" thickTop="1" thickBot="1" x14ac:dyDescent="0.25">
      <c r="A115" s="103" t="s">
        <v>220</v>
      </c>
      <c r="B115" s="103" t="s">
        <v>221</v>
      </c>
      <c r="C115" s="103" t="s">
        <v>222</v>
      </c>
      <c r="D115" s="103" t="s">
        <v>345</v>
      </c>
      <c r="E115" s="318" t="s">
        <v>1548</v>
      </c>
      <c r="F115" s="318" t="s">
        <v>1549</v>
      </c>
      <c r="G115" s="327">
        <f t="shared" si="16"/>
        <v>25012900</v>
      </c>
      <c r="H115" s="327">
        <f>'d3'!E116-H116</f>
        <v>25012900</v>
      </c>
      <c r="I115" s="327">
        <f>'d3'!J116-I116</f>
        <v>0</v>
      </c>
      <c r="J115" s="327">
        <f>'d3'!K116-J116</f>
        <v>0</v>
      </c>
      <c r="K115" s="139"/>
      <c r="L115" s="139"/>
      <c r="M115" s="139"/>
    </row>
    <row r="116" spans="1:13" ht="230.25" hidden="1" thickTop="1" thickBot="1" x14ac:dyDescent="0.25">
      <c r="A116" s="128" t="s">
        <v>220</v>
      </c>
      <c r="B116" s="128" t="s">
        <v>221</v>
      </c>
      <c r="C116" s="128" t="s">
        <v>222</v>
      </c>
      <c r="D116" s="128" t="s">
        <v>345</v>
      </c>
      <c r="E116" s="255" t="s">
        <v>1386</v>
      </c>
      <c r="F116" s="196" t="s">
        <v>450</v>
      </c>
      <c r="G116" s="196">
        <f t="shared" si="16"/>
        <v>0</v>
      </c>
      <c r="H116" s="196">
        <v>0</v>
      </c>
      <c r="I116" s="196">
        <v>0</v>
      </c>
      <c r="J116" s="196">
        <v>0</v>
      </c>
      <c r="K116" s="139"/>
      <c r="L116" s="139"/>
      <c r="M116" s="139"/>
    </row>
    <row r="117" spans="1:13" ht="386.25" hidden="1" thickTop="1" thickBot="1" x14ac:dyDescent="0.25">
      <c r="A117" s="128" t="s">
        <v>223</v>
      </c>
      <c r="B117" s="128" t="s">
        <v>224</v>
      </c>
      <c r="C117" s="128" t="s">
        <v>225</v>
      </c>
      <c r="D117" s="128" t="s">
        <v>226</v>
      </c>
      <c r="E117" s="268" t="s">
        <v>1202</v>
      </c>
      <c r="F117" s="196" t="s">
        <v>871</v>
      </c>
      <c r="G117" s="269"/>
      <c r="H117" s="269"/>
      <c r="I117" s="269"/>
      <c r="J117" s="269"/>
      <c r="K117" s="139"/>
      <c r="L117" s="139"/>
      <c r="M117" s="139"/>
    </row>
    <row r="118" spans="1:13" ht="276" hidden="1" thickTop="1" thickBot="1" x14ac:dyDescent="0.25">
      <c r="A118" s="128" t="s">
        <v>223</v>
      </c>
      <c r="B118" s="128" t="s">
        <v>224</v>
      </c>
      <c r="C118" s="128" t="s">
        <v>225</v>
      </c>
      <c r="D118" s="128" t="s">
        <v>226</v>
      </c>
      <c r="E118" s="255" t="s">
        <v>1227</v>
      </c>
      <c r="F118" s="196" t="s">
        <v>869</v>
      </c>
      <c r="G118" s="196"/>
      <c r="H118" s="196"/>
      <c r="I118" s="196"/>
      <c r="J118" s="196"/>
      <c r="K118" s="139"/>
      <c r="L118" s="139"/>
      <c r="M118" s="139"/>
    </row>
    <row r="119" spans="1:13" ht="409.6" thickTop="1" thickBot="1" x14ac:dyDescent="0.25">
      <c r="A119" s="103" t="s">
        <v>227</v>
      </c>
      <c r="B119" s="103" t="s">
        <v>228</v>
      </c>
      <c r="C119" s="103" t="s">
        <v>346</v>
      </c>
      <c r="D119" s="103" t="s">
        <v>229</v>
      </c>
      <c r="E119" s="318" t="s">
        <v>1548</v>
      </c>
      <c r="F119" s="318" t="s">
        <v>1549</v>
      </c>
      <c r="G119" s="327">
        <f t="shared" si="16"/>
        <v>19127800</v>
      </c>
      <c r="H119" s="327">
        <f>'d3'!E119</f>
        <v>19127800</v>
      </c>
      <c r="I119" s="327">
        <f>'d3'!J119</f>
        <v>0</v>
      </c>
      <c r="J119" s="327">
        <f>'d3'!K119</f>
        <v>0</v>
      </c>
      <c r="K119" s="139"/>
      <c r="L119" s="139"/>
      <c r="M119" s="139"/>
    </row>
    <row r="120" spans="1:13" ht="386.25" hidden="1" thickTop="1" thickBot="1" x14ac:dyDescent="0.25">
      <c r="A120" s="41" t="s">
        <v>475</v>
      </c>
      <c r="B120" s="41" t="s">
        <v>476</v>
      </c>
      <c r="C120" s="41" t="s">
        <v>230</v>
      </c>
      <c r="D120" s="41" t="s">
        <v>477</v>
      </c>
      <c r="E120" s="270" t="s">
        <v>870</v>
      </c>
      <c r="F120" s="73" t="s">
        <v>871</v>
      </c>
      <c r="G120" s="271">
        <f t="shared" si="16"/>
        <v>0</v>
      </c>
      <c r="H120" s="271">
        <f>'d3'!E121</f>
        <v>0</v>
      </c>
      <c r="I120" s="271">
        <f>'d3'!J121</f>
        <v>0</v>
      </c>
      <c r="J120" s="271">
        <f>'d3'!K121</f>
        <v>0</v>
      </c>
      <c r="K120" s="139"/>
      <c r="L120" s="139"/>
      <c r="M120" s="139"/>
    </row>
    <row r="121" spans="1:13" s="5" customFormat="1" ht="409.6" customHeight="1" thickTop="1" thickBot="1" x14ac:dyDescent="0.25">
      <c r="A121" s="103" t="s">
        <v>321</v>
      </c>
      <c r="B121" s="103" t="s">
        <v>323</v>
      </c>
      <c r="C121" s="103" t="s">
        <v>230</v>
      </c>
      <c r="D121" s="470" t="s">
        <v>319</v>
      </c>
      <c r="E121" s="318" t="s">
        <v>1548</v>
      </c>
      <c r="F121" s="318" t="s">
        <v>1549</v>
      </c>
      <c r="G121" s="327">
        <f t="shared" si="16"/>
        <v>4423055</v>
      </c>
      <c r="H121" s="327">
        <f>'d3'!E123</f>
        <v>4423055</v>
      </c>
      <c r="I121" s="327">
        <f>'d3'!J123</f>
        <v>0</v>
      </c>
      <c r="J121" s="327">
        <f>'d3'!K123</f>
        <v>0</v>
      </c>
      <c r="K121" s="138"/>
      <c r="L121" s="138"/>
      <c r="M121" s="138"/>
    </row>
    <row r="122" spans="1:13" s="5" customFormat="1" ht="409.6" thickTop="1" thickBot="1" x14ac:dyDescent="0.25">
      <c r="A122" s="103" t="s">
        <v>322</v>
      </c>
      <c r="B122" s="103" t="s">
        <v>324</v>
      </c>
      <c r="C122" s="103" t="s">
        <v>230</v>
      </c>
      <c r="D122" s="470" t="s">
        <v>320</v>
      </c>
      <c r="E122" s="318" t="s">
        <v>1548</v>
      </c>
      <c r="F122" s="318" t="s">
        <v>1549</v>
      </c>
      <c r="G122" s="327">
        <f>H122+I122</f>
        <v>5426200</v>
      </c>
      <c r="H122" s="327">
        <f>'d3'!E124</f>
        <v>5426200</v>
      </c>
      <c r="I122" s="327">
        <f>'d3'!J124</f>
        <v>0</v>
      </c>
      <c r="J122" s="327">
        <f>'d3'!K124</f>
        <v>0</v>
      </c>
      <c r="K122" s="138"/>
      <c r="L122" s="138"/>
      <c r="M122" s="138"/>
    </row>
    <row r="123" spans="1:13" s="5" customFormat="1" ht="409.6" thickTop="1" thickBot="1" x14ac:dyDescent="0.25">
      <c r="A123" s="103" t="s">
        <v>1601</v>
      </c>
      <c r="B123" s="103" t="s">
        <v>1602</v>
      </c>
      <c r="C123" s="103" t="s">
        <v>230</v>
      </c>
      <c r="D123" s="470" t="s">
        <v>1600</v>
      </c>
      <c r="E123" s="318" t="s">
        <v>1548</v>
      </c>
      <c r="F123" s="318" t="s">
        <v>1549</v>
      </c>
      <c r="G123" s="327">
        <f>H123+I123</f>
        <v>2994000</v>
      </c>
      <c r="H123" s="327">
        <f>'d3'!E126</f>
        <v>0</v>
      </c>
      <c r="I123" s="327">
        <f>'d3'!J126</f>
        <v>2994000</v>
      </c>
      <c r="J123" s="327">
        <f>'d3'!K126</f>
        <v>2994000</v>
      </c>
      <c r="K123" s="138"/>
      <c r="L123" s="138"/>
      <c r="M123" s="138"/>
    </row>
    <row r="124" spans="1:13" s="5" customFormat="1" ht="409.6" thickTop="1" thickBot="1" x14ac:dyDescent="0.25">
      <c r="A124" s="103" t="s">
        <v>1199</v>
      </c>
      <c r="B124" s="103" t="s">
        <v>1200</v>
      </c>
      <c r="C124" s="103" t="s">
        <v>206</v>
      </c>
      <c r="D124" s="470" t="s">
        <v>1201</v>
      </c>
      <c r="E124" s="318" t="s">
        <v>1548</v>
      </c>
      <c r="F124" s="318" t="s">
        <v>1549</v>
      </c>
      <c r="G124" s="327">
        <f t="shared" ref="G124:G128" si="17">H124+I124</f>
        <v>100000</v>
      </c>
      <c r="H124" s="327">
        <f>'d3'!E128</f>
        <v>100000</v>
      </c>
      <c r="I124" s="327">
        <f>'d3'!J128</f>
        <v>0</v>
      </c>
      <c r="J124" s="327">
        <f>'d3'!K128</f>
        <v>0</v>
      </c>
      <c r="K124" s="138"/>
      <c r="L124" s="138"/>
      <c r="M124" s="138"/>
    </row>
    <row r="125" spans="1:13" s="5" customFormat="1" ht="409.6" thickTop="1" thickBot="1" x14ac:dyDescent="0.25">
      <c r="A125" s="103" t="s">
        <v>1179</v>
      </c>
      <c r="B125" s="103" t="s">
        <v>1181</v>
      </c>
      <c r="C125" s="103" t="s">
        <v>304</v>
      </c>
      <c r="D125" s="103" t="s">
        <v>1530</v>
      </c>
      <c r="E125" s="318" t="s">
        <v>1548</v>
      </c>
      <c r="F125" s="318" t="s">
        <v>1549</v>
      </c>
      <c r="G125" s="318">
        <f t="shared" si="17"/>
        <v>3058924.99</v>
      </c>
      <c r="H125" s="318">
        <f>'d3'!E132</f>
        <v>0</v>
      </c>
      <c r="I125" s="318">
        <f>'d3'!J132</f>
        <v>3058924.99</v>
      </c>
      <c r="J125" s="318">
        <f>'d3'!K132</f>
        <v>3058924.99</v>
      </c>
      <c r="K125" s="138"/>
      <c r="L125" s="138"/>
      <c r="M125" s="138"/>
    </row>
    <row r="126" spans="1:13" s="5" customFormat="1" ht="386.25" hidden="1" thickTop="1" thickBot="1" x14ac:dyDescent="0.25">
      <c r="A126" s="41" t="s">
        <v>1055</v>
      </c>
      <c r="B126" s="41" t="s">
        <v>1056</v>
      </c>
      <c r="C126" s="41" t="s">
        <v>170</v>
      </c>
      <c r="D126" s="41" t="s">
        <v>1057</v>
      </c>
      <c r="E126" s="595" t="s">
        <v>1531</v>
      </c>
      <c r="F126" s="318"/>
      <c r="G126" s="73">
        <f t="shared" si="17"/>
        <v>0</v>
      </c>
      <c r="H126" s="73">
        <f>'d3'!E134</f>
        <v>0</v>
      </c>
      <c r="I126" s="73">
        <f>'d3'!J134</f>
        <v>0</v>
      </c>
      <c r="J126" s="73">
        <f>'d3'!K134</f>
        <v>0</v>
      </c>
      <c r="K126" s="138"/>
      <c r="L126" s="138"/>
      <c r="M126" s="138"/>
    </row>
    <row r="127" spans="1:13" s="5" customFormat="1" ht="409.6" thickTop="1" thickBot="1" x14ac:dyDescent="0.25">
      <c r="A127" s="103" t="s">
        <v>1255</v>
      </c>
      <c r="B127" s="103" t="s">
        <v>212</v>
      </c>
      <c r="C127" s="103" t="s">
        <v>213</v>
      </c>
      <c r="D127" s="103" t="s">
        <v>41</v>
      </c>
      <c r="E127" s="318" t="s">
        <v>1548</v>
      </c>
      <c r="F127" s="318" t="s">
        <v>1549</v>
      </c>
      <c r="G127" s="318">
        <f t="shared" si="17"/>
        <v>2000000</v>
      </c>
      <c r="H127" s="318">
        <f>'d3'!E136</f>
        <v>0</v>
      </c>
      <c r="I127" s="318">
        <f>'d3'!J136</f>
        <v>2000000</v>
      </c>
      <c r="J127" s="318">
        <f>'d3'!K136</f>
        <v>2000000</v>
      </c>
      <c r="K127" s="138"/>
      <c r="L127" s="138"/>
      <c r="M127" s="138"/>
    </row>
    <row r="128" spans="1:13" s="5" customFormat="1" ht="138.75" hidden="1" thickTop="1" thickBot="1" x14ac:dyDescent="0.25">
      <c r="A128" s="41" t="s">
        <v>435</v>
      </c>
      <c r="B128" s="41" t="s">
        <v>197</v>
      </c>
      <c r="C128" s="41" t="s">
        <v>170</v>
      </c>
      <c r="D128" s="41" t="s">
        <v>34</v>
      </c>
      <c r="E128" s="73" t="s">
        <v>436</v>
      </c>
      <c r="F128" s="73" t="s">
        <v>410</v>
      </c>
      <c r="G128" s="914">
        <f t="shared" si="17"/>
        <v>0</v>
      </c>
      <c r="H128" s="914">
        <v>0</v>
      </c>
      <c r="I128" s="914">
        <f>'d3'!J137-I130</f>
        <v>0</v>
      </c>
      <c r="J128" s="914">
        <f>'d3'!K137-J130</f>
        <v>0</v>
      </c>
      <c r="K128" s="138"/>
      <c r="L128" s="138"/>
      <c r="M128" s="138"/>
    </row>
    <row r="129" spans="1:13" s="5" customFormat="1" ht="386.25" hidden="1" thickTop="1" thickBot="1" x14ac:dyDescent="0.25">
      <c r="A129" s="41" t="s">
        <v>435</v>
      </c>
      <c r="B129" s="41" t="s">
        <v>197</v>
      </c>
      <c r="C129" s="41" t="s">
        <v>170</v>
      </c>
      <c r="D129" s="41" t="s">
        <v>34</v>
      </c>
      <c r="E129" s="270" t="s">
        <v>870</v>
      </c>
      <c r="F129" s="73" t="s">
        <v>871</v>
      </c>
      <c r="G129" s="915"/>
      <c r="H129" s="915"/>
      <c r="I129" s="915"/>
      <c r="J129" s="915"/>
      <c r="K129" s="138"/>
      <c r="L129" s="138"/>
      <c r="M129" s="138"/>
    </row>
    <row r="130" spans="1:13" s="5" customFormat="1" ht="184.5" hidden="1" thickTop="1" thickBot="1" x14ac:dyDescent="0.25">
      <c r="A130" s="41" t="s">
        <v>435</v>
      </c>
      <c r="B130" s="41" t="s">
        <v>197</v>
      </c>
      <c r="C130" s="41" t="s">
        <v>170</v>
      </c>
      <c r="D130" s="41" t="s">
        <v>34</v>
      </c>
      <c r="E130" s="258" t="s">
        <v>449</v>
      </c>
      <c r="F130" s="263" t="s">
        <v>450</v>
      </c>
      <c r="G130" s="73">
        <f>H130+I130</f>
        <v>0</v>
      </c>
      <c r="H130" s="73">
        <v>0</v>
      </c>
      <c r="I130" s="73"/>
      <c r="J130" s="73"/>
      <c r="K130" s="138"/>
      <c r="L130" s="138"/>
      <c r="M130" s="138"/>
    </row>
    <row r="131" spans="1:13" s="5" customFormat="1" ht="138.75" hidden="1" thickTop="1" thickBot="1" x14ac:dyDescent="0.25">
      <c r="A131" s="41" t="s">
        <v>509</v>
      </c>
      <c r="B131" s="41" t="s">
        <v>363</v>
      </c>
      <c r="C131" s="41" t="s">
        <v>43</v>
      </c>
      <c r="D131" s="41" t="s">
        <v>364</v>
      </c>
      <c r="E131" s="73" t="s">
        <v>436</v>
      </c>
      <c r="F131" s="73" t="s">
        <v>410</v>
      </c>
      <c r="G131" s="73">
        <f>H131+I131</f>
        <v>0</v>
      </c>
      <c r="H131" s="73">
        <f>'d3'!F138</f>
        <v>0</v>
      </c>
      <c r="I131" s="73">
        <f>'d3'!J138</f>
        <v>0</v>
      </c>
      <c r="J131" s="73">
        <f>'d3'!K138</f>
        <v>0</v>
      </c>
      <c r="K131" s="138"/>
      <c r="L131" s="138"/>
      <c r="M131" s="138"/>
    </row>
    <row r="132" spans="1:13" ht="170.1" customHeight="1" thickTop="1" thickBot="1" x14ac:dyDescent="0.25">
      <c r="A132" s="661" t="s">
        <v>156</v>
      </c>
      <c r="B132" s="661"/>
      <c r="C132" s="661"/>
      <c r="D132" s="662" t="s">
        <v>37</v>
      </c>
      <c r="E132" s="661"/>
      <c r="F132" s="661"/>
      <c r="G132" s="664">
        <f>G133</f>
        <v>387180725.26999998</v>
      </c>
      <c r="H132" s="664">
        <f t="shared" ref="H132:J132" si="18">H133</f>
        <v>278663841.73000002</v>
      </c>
      <c r="I132" s="664">
        <f t="shared" si="18"/>
        <v>108516883.53999999</v>
      </c>
      <c r="J132" s="664">
        <f t="shared" si="18"/>
        <v>102253623.53999999</v>
      </c>
      <c r="K132" s="96" t="b">
        <f>H132='d3'!E140-'d3'!E142+H134+H135+H136</f>
        <v>1</v>
      </c>
      <c r="L132" s="465" t="b">
        <f>I132='d3'!J140-'d3'!J142-'d3'!J167+'d7'!I134+I135+I136</f>
        <v>1</v>
      </c>
      <c r="M132" s="465" t="b">
        <f>J132='d3'!K140-'d3'!K142-'d3'!K167+'d7'!J134+J135+J136</f>
        <v>1</v>
      </c>
    </row>
    <row r="133" spans="1:13" ht="170.1" customHeight="1" thickTop="1" thickBot="1" x14ac:dyDescent="0.25">
      <c r="A133" s="658" t="s">
        <v>157</v>
      </c>
      <c r="B133" s="658"/>
      <c r="C133" s="658"/>
      <c r="D133" s="659" t="s">
        <v>38</v>
      </c>
      <c r="E133" s="660"/>
      <c r="F133" s="660"/>
      <c r="G133" s="660">
        <f>SUM(G134:G174)</f>
        <v>387180725.26999998</v>
      </c>
      <c r="H133" s="660">
        <f>SUM(H134:H174)</f>
        <v>278663841.73000002</v>
      </c>
      <c r="I133" s="660">
        <f>SUM(I134:I174)</f>
        <v>108516883.53999999</v>
      </c>
      <c r="J133" s="660">
        <f>SUM(J134:J174)</f>
        <v>102253623.53999999</v>
      </c>
      <c r="K133" s="139"/>
      <c r="L133" s="47"/>
      <c r="M133" s="139"/>
    </row>
    <row r="134" spans="1:13" ht="184.5" hidden="1" thickTop="1" thickBot="1" x14ac:dyDescent="0.25">
      <c r="A134" s="128" t="s">
        <v>415</v>
      </c>
      <c r="B134" s="128" t="s">
        <v>236</v>
      </c>
      <c r="C134" s="128" t="s">
        <v>234</v>
      </c>
      <c r="D134" s="128" t="s">
        <v>235</v>
      </c>
      <c r="E134" s="255" t="s">
        <v>1037</v>
      </c>
      <c r="F134" s="196" t="s">
        <v>857</v>
      </c>
      <c r="G134" s="196">
        <f t="shared" ref="G134:G172" si="19">H134+I134</f>
        <v>0</v>
      </c>
      <c r="H134" s="196">
        <v>0</v>
      </c>
      <c r="I134" s="196">
        <v>0</v>
      </c>
      <c r="J134" s="196">
        <v>0</v>
      </c>
      <c r="K134" s="139"/>
      <c r="L134" s="47"/>
      <c r="M134" s="139"/>
    </row>
    <row r="135" spans="1:13" ht="184.5" hidden="1" thickTop="1" thickBot="1" x14ac:dyDescent="0.25">
      <c r="A135" s="128" t="s">
        <v>415</v>
      </c>
      <c r="B135" s="128" t="s">
        <v>236</v>
      </c>
      <c r="C135" s="128" t="s">
        <v>234</v>
      </c>
      <c r="D135" s="128" t="s">
        <v>235</v>
      </c>
      <c r="E135" s="255" t="s">
        <v>1282</v>
      </c>
      <c r="F135" s="196" t="s">
        <v>1283</v>
      </c>
      <c r="G135" s="196">
        <f t="shared" si="19"/>
        <v>0</v>
      </c>
      <c r="H135" s="196">
        <v>0</v>
      </c>
      <c r="I135" s="196">
        <v>0</v>
      </c>
      <c r="J135" s="196">
        <v>0</v>
      </c>
      <c r="K135" s="139"/>
      <c r="L135" s="47"/>
      <c r="M135" s="139"/>
    </row>
    <row r="136" spans="1:13" ht="184.5" thickTop="1" thickBot="1" x14ac:dyDescent="0.25">
      <c r="A136" s="103" t="s">
        <v>415</v>
      </c>
      <c r="B136" s="103" t="s">
        <v>236</v>
      </c>
      <c r="C136" s="103" t="s">
        <v>234</v>
      </c>
      <c r="D136" s="103" t="s">
        <v>235</v>
      </c>
      <c r="E136" s="321" t="s">
        <v>1192</v>
      </c>
      <c r="F136" s="318" t="s">
        <v>1166</v>
      </c>
      <c r="G136" s="318">
        <f t="shared" ref="G136" si="20">H136+I136</f>
        <v>700000</v>
      </c>
      <c r="H136" s="318">
        <v>0</v>
      </c>
      <c r="I136" s="318">
        <v>700000</v>
      </c>
      <c r="J136" s="318">
        <v>700000</v>
      </c>
      <c r="K136" s="139"/>
      <c r="L136" s="47"/>
      <c r="M136" s="139"/>
    </row>
    <row r="137" spans="1:13" ht="367.5" hidden="1" thickTop="1" thickBot="1" x14ac:dyDescent="0.25">
      <c r="A137" s="128" t="s">
        <v>628</v>
      </c>
      <c r="B137" s="128" t="s">
        <v>362</v>
      </c>
      <c r="C137" s="128" t="s">
        <v>625</v>
      </c>
      <c r="D137" s="128" t="s">
        <v>626</v>
      </c>
      <c r="E137" s="255" t="s">
        <v>1297</v>
      </c>
      <c r="F137" s="196" t="s">
        <v>1298</v>
      </c>
      <c r="G137" s="196">
        <f t="shared" si="19"/>
        <v>0</v>
      </c>
      <c r="H137" s="196">
        <f>'d3'!E143</f>
        <v>0</v>
      </c>
      <c r="I137" s="196">
        <f>'d3'!J143</f>
        <v>0</v>
      </c>
      <c r="J137" s="196">
        <f>'d3'!K143</f>
        <v>0</v>
      </c>
      <c r="K137" s="139"/>
      <c r="L137" s="47"/>
      <c r="M137" s="139"/>
    </row>
    <row r="138" spans="1:13" ht="138.75" thickTop="1" thickBot="1" x14ac:dyDescent="0.25">
      <c r="A138" s="103" t="s">
        <v>919</v>
      </c>
      <c r="B138" s="103" t="s">
        <v>43</v>
      </c>
      <c r="C138" s="103" t="s">
        <v>42</v>
      </c>
      <c r="D138" s="103" t="s">
        <v>248</v>
      </c>
      <c r="E138" s="321" t="s">
        <v>956</v>
      </c>
      <c r="F138" s="318" t="s">
        <v>952</v>
      </c>
      <c r="G138" s="318">
        <f t="shared" si="19"/>
        <v>30000</v>
      </c>
      <c r="H138" s="318">
        <f>'d3'!E144</f>
        <v>30000</v>
      </c>
      <c r="I138" s="318">
        <f>'d3'!J144</f>
        <v>0</v>
      </c>
      <c r="J138" s="318">
        <f>'d3'!K144</f>
        <v>0</v>
      </c>
      <c r="K138" s="139"/>
      <c r="L138" s="47"/>
      <c r="M138" s="139"/>
    </row>
    <row r="139" spans="1:13" s="5" customFormat="1" ht="184.5" thickTop="1" thickBot="1" x14ac:dyDescent="0.25">
      <c r="A139" s="103" t="s">
        <v>269</v>
      </c>
      <c r="B139" s="103" t="s">
        <v>270</v>
      </c>
      <c r="C139" s="103" t="s">
        <v>205</v>
      </c>
      <c r="D139" s="330" t="s">
        <v>271</v>
      </c>
      <c r="E139" s="321" t="s">
        <v>1192</v>
      </c>
      <c r="F139" s="318" t="s">
        <v>1166</v>
      </c>
      <c r="G139" s="318">
        <f t="shared" si="19"/>
        <v>908000</v>
      </c>
      <c r="H139" s="318">
        <f>'d3'!E147</f>
        <v>858000</v>
      </c>
      <c r="I139" s="318">
        <f>'d3'!J147</f>
        <v>50000</v>
      </c>
      <c r="J139" s="318">
        <f>'d3'!K147</f>
        <v>50000</v>
      </c>
      <c r="K139" s="138"/>
      <c r="L139" s="138"/>
      <c r="M139" s="138"/>
    </row>
    <row r="140" spans="1:13" s="5" customFormat="1" ht="184.5" thickTop="1" thickBot="1" x14ac:dyDescent="0.25">
      <c r="A140" s="103" t="s">
        <v>272</v>
      </c>
      <c r="B140" s="103" t="s">
        <v>273</v>
      </c>
      <c r="C140" s="103" t="s">
        <v>206</v>
      </c>
      <c r="D140" s="103" t="s">
        <v>6</v>
      </c>
      <c r="E140" s="321" t="s">
        <v>1192</v>
      </c>
      <c r="F140" s="318" t="s">
        <v>1166</v>
      </c>
      <c r="G140" s="318">
        <f t="shared" si="19"/>
        <v>650000</v>
      </c>
      <c r="H140" s="318">
        <f>'d3'!E148</f>
        <v>650000</v>
      </c>
      <c r="I140" s="318">
        <f>'d3'!J148</f>
        <v>0</v>
      </c>
      <c r="J140" s="318">
        <f>'d3'!K148</f>
        <v>0</v>
      </c>
      <c r="K140" s="138"/>
      <c r="L140" s="138"/>
      <c r="M140" s="138"/>
    </row>
    <row r="141" spans="1:13" s="5" customFormat="1" ht="184.5" thickTop="1" thickBot="1" x14ac:dyDescent="0.25">
      <c r="A141" s="103" t="s">
        <v>275</v>
      </c>
      <c r="B141" s="103" t="s">
        <v>276</v>
      </c>
      <c r="C141" s="103" t="s">
        <v>206</v>
      </c>
      <c r="D141" s="103" t="s">
        <v>7</v>
      </c>
      <c r="E141" s="321" t="s">
        <v>1192</v>
      </c>
      <c r="F141" s="318" t="s">
        <v>1166</v>
      </c>
      <c r="G141" s="318">
        <f t="shared" si="19"/>
        <v>19200000</v>
      </c>
      <c r="H141" s="318">
        <f>'d3'!E149</f>
        <v>19200000</v>
      </c>
      <c r="I141" s="318">
        <f>'d3'!J149</f>
        <v>0</v>
      </c>
      <c r="J141" s="318">
        <f>'d3'!K149</f>
        <v>0</v>
      </c>
      <c r="K141" s="138"/>
      <c r="L141" s="138"/>
      <c r="M141" s="138"/>
    </row>
    <row r="142" spans="1:13" s="5" customFormat="1" ht="184.5" thickTop="1" thickBot="1" x14ac:dyDescent="0.25">
      <c r="A142" s="103" t="s">
        <v>277</v>
      </c>
      <c r="B142" s="103" t="s">
        <v>274</v>
      </c>
      <c r="C142" s="103" t="s">
        <v>206</v>
      </c>
      <c r="D142" s="103" t="s">
        <v>8</v>
      </c>
      <c r="E142" s="321" t="s">
        <v>1192</v>
      </c>
      <c r="F142" s="318" t="s">
        <v>1166</v>
      </c>
      <c r="G142" s="318">
        <f t="shared" si="19"/>
        <v>700000</v>
      </c>
      <c r="H142" s="318">
        <f>'d3'!E150</f>
        <v>700000</v>
      </c>
      <c r="I142" s="318">
        <f>'d3'!J150</f>
        <v>0</v>
      </c>
      <c r="J142" s="318">
        <f>'d3'!K150</f>
        <v>0</v>
      </c>
      <c r="K142" s="138"/>
      <c r="L142" s="138"/>
      <c r="M142" s="138"/>
    </row>
    <row r="143" spans="1:13" s="5" customFormat="1" ht="184.5" thickTop="1" thickBot="1" x14ac:dyDescent="0.25">
      <c r="A143" s="103" t="s">
        <v>278</v>
      </c>
      <c r="B143" s="103" t="s">
        <v>279</v>
      </c>
      <c r="C143" s="103" t="s">
        <v>206</v>
      </c>
      <c r="D143" s="103" t="s">
        <v>9</v>
      </c>
      <c r="E143" s="321" t="s">
        <v>1192</v>
      </c>
      <c r="F143" s="318" t="s">
        <v>1166</v>
      </c>
      <c r="G143" s="318">
        <f t="shared" si="19"/>
        <v>58000000</v>
      </c>
      <c r="H143" s="318">
        <f>'d3'!E151</f>
        <v>58000000</v>
      </c>
      <c r="I143" s="318">
        <f>'d3'!J151</f>
        <v>0</v>
      </c>
      <c r="J143" s="318">
        <f>'d3'!K151</f>
        <v>0</v>
      </c>
      <c r="K143" s="138"/>
      <c r="L143" s="138"/>
      <c r="M143" s="138"/>
    </row>
    <row r="144" spans="1:13" s="5" customFormat="1" ht="184.5" thickTop="1" thickBot="1" x14ac:dyDescent="0.25">
      <c r="A144" s="103" t="s">
        <v>478</v>
      </c>
      <c r="B144" s="103" t="s">
        <v>479</v>
      </c>
      <c r="C144" s="103" t="s">
        <v>206</v>
      </c>
      <c r="D144" s="103" t="s">
        <v>480</v>
      </c>
      <c r="E144" s="321" t="s">
        <v>1192</v>
      </c>
      <c r="F144" s="318" t="s">
        <v>1166</v>
      </c>
      <c r="G144" s="318">
        <f t="shared" si="19"/>
        <v>362971</v>
      </c>
      <c r="H144" s="318">
        <f>'d3'!E152</f>
        <v>362971</v>
      </c>
      <c r="I144" s="318">
        <f>'d3'!J152</f>
        <v>0</v>
      </c>
      <c r="J144" s="318">
        <f>'d3'!K152</f>
        <v>0</v>
      </c>
      <c r="K144" s="138"/>
      <c r="L144" s="138"/>
      <c r="M144" s="138"/>
    </row>
    <row r="145" spans="1:13" s="5" customFormat="1" ht="184.5" thickTop="1" thickBot="1" x14ac:dyDescent="0.25">
      <c r="A145" s="103" t="s">
        <v>920</v>
      </c>
      <c r="B145" s="103" t="s">
        <v>921</v>
      </c>
      <c r="C145" s="103" t="s">
        <v>206</v>
      </c>
      <c r="D145" s="103" t="s">
        <v>922</v>
      </c>
      <c r="E145" s="321" t="s">
        <v>1192</v>
      </c>
      <c r="F145" s="318" t="s">
        <v>1166</v>
      </c>
      <c r="G145" s="318">
        <f t="shared" ref="G145" si="21">H145+I145</f>
        <v>1893100</v>
      </c>
      <c r="H145" s="318">
        <f>'d3'!E153</f>
        <v>1893100</v>
      </c>
      <c r="I145" s="318">
        <f>'d3'!J153</f>
        <v>0</v>
      </c>
      <c r="J145" s="318">
        <f>'d3'!K153</f>
        <v>0</v>
      </c>
      <c r="K145" s="138"/>
      <c r="L145" s="138"/>
      <c r="M145" s="138"/>
    </row>
    <row r="146" spans="1:13" s="5" customFormat="1" ht="184.5" thickTop="1" thickBot="1" x14ac:dyDescent="0.25">
      <c r="A146" s="103" t="s">
        <v>481</v>
      </c>
      <c r="B146" s="103" t="s">
        <v>482</v>
      </c>
      <c r="C146" s="103" t="s">
        <v>205</v>
      </c>
      <c r="D146" s="103" t="s">
        <v>483</v>
      </c>
      <c r="E146" s="321" t="s">
        <v>1192</v>
      </c>
      <c r="F146" s="318" t="s">
        <v>1166</v>
      </c>
      <c r="G146" s="318">
        <f t="shared" si="19"/>
        <v>470456</v>
      </c>
      <c r="H146" s="318">
        <f>'d3'!E154</f>
        <v>470456</v>
      </c>
      <c r="I146" s="318">
        <f>'d3'!J154</f>
        <v>0</v>
      </c>
      <c r="J146" s="318">
        <f>'d3'!K154</f>
        <v>0</v>
      </c>
      <c r="K146" s="138"/>
      <c r="L146" s="138"/>
      <c r="M146" s="138"/>
    </row>
    <row r="147" spans="1:13" ht="276" thickTop="1" thickBot="1" x14ac:dyDescent="0.25">
      <c r="A147" s="103" t="s">
        <v>267</v>
      </c>
      <c r="B147" s="103" t="s">
        <v>265</v>
      </c>
      <c r="C147" s="103" t="s">
        <v>200</v>
      </c>
      <c r="D147" s="103" t="s">
        <v>17</v>
      </c>
      <c r="E147" s="321" t="s">
        <v>1192</v>
      </c>
      <c r="F147" s="318" t="s">
        <v>1166</v>
      </c>
      <c r="G147" s="318">
        <f t="shared" si="19"/>
        <v>54928717.719999999</v>
      </c>
      <c r="H147" s="318">
        <f>'d3'!E156</f>
        <v>53657717.719999999</v>
      </c>
      <c r="I147" s="318">
        <f>'d3'!J156</f>
        <v>1271000</v>
      </c>
      <c r="J147" s="318">
        <f>'d3'!K156</f>
        <v>0</v>
      </c>
      <c r="K147" s="139"/>
      <c r="L147" s="139"/>
      <c r="M147" s="139"/>
    </row>
    <row r="148" spans="1:13" ht="184.5" thickTop="1" thickBot="1" x14ac:dyDescent="0.25">
      <c r="A148" s="103" t="s">
        <v>268</v>
      </c>
      <c r="B148" s="103" t="s">
        <v>266</v>
      </c>
      <c r="C148" s="103" t="s">
        <v>199</v>
      </c>
      <c r="D148" s="103" t="s">
        <v>455</v>
      </c>
      <c r="E148" s="321" t="s">
        <v>1192</v>
      </c>
      <c r="F148" s="318" t="s">
        <v>1166</v>
      </c>
      <c r="G148" s="318">
        <f t="shared" si="19"/>
        <v>11865842</v>
      </c>
      <c r="H148" s="318">
        <f>'d3'!E157-H149</f>
        <v>11865842</v>
      </c>
      <c r="I148" s="318">
        <f>'d3'!J157-I149</f>
        <v>0</v>
      </c>
      <c r="J148" s="318">
        <f>'d3'!K157-J149</f>
        <v>0</v>
      </c>
      <c r="K148" s="139"/>
      <c r="L148" s="139"/>
      <c r="M148" s="139"/>
    </row>
    <row r="149" spans="1:13" ht="230.25" hidden="1" thickTop="1" thickBot="1" x14ac:dyDescent="0.25">
      <c r="A149" s="128" t="s">
        <v>268</v>
      </c>
      <c r="B149" s="128" t="s">
        <v>266</v>
      </c>
      <c r="C149" s="128" t="s">
        <v>199</v>
      </c>
      <c r="D149" s="128" t="s">
        <v>455</v>
      </c>
      <c r="E149" s="255" t="s">
        <v>1386</v>
      </c>
      <c r="F149" s="196" t="s">
        <v>450</v>
      </c>
      <c r="G149" s="196">
        <f t="shared" si="19"/>
        <v>0</v>
      </c>
      <c r="H149" s="196">
        <v>0</v>
      </c>
      <c r="I149" s="318">
        <v>0</v>
      </c>
      <c r="J149" s="318">
        <v>0</v>
      </c>
      <c r="K149" s="139"/>
      <c r="L149" s="139"/>
      <c r="M149" s="139"/>
    </row>
    <row r="150" spans="1:13" ht="184.5" thickTop="1" thickBot="1" x14ac:dyDescent="0.25">
      <c r="A150" s="103" t="s">
        <v>1215</v>
      </c>
      <c r="B150" s="103" t="s">
        <v>184</v>
      </c>
      <c r="C150" s="103" t="s">
        <v>185</v>
      </c>
      <c r="D150" s="103" t="s">
        <v>638</v>
      </c>
      <c r="E150" s="321" t="s">
        <v>1192</v>
      </c>
      <c r="F150" s="318" t="s">
        <v>1166</v>
      </c>
      <c r="G150" s="318">
        <f>H150+I150</f>
        <v>11469215.51</v>
      </c>
      <c r="H150" s="318">
        <f>'d3'!E159-H151</f>
        <v>11456020.51</v>
      </c>
      <c r="I150" s="318">
        <f>'d3'!J159-I151</f>
        <v>13195</v>
      </c>
      <c r="J150" s="318">
        <f>'d3'!K159-J151</f>
        <v>13195</v>
      </c>
      <c r="K150" s="139"/>
      <c r="L150" s="139"/>
      <c r="M150" s="139"/>
    </row>
    <row r="151" spans="1:13" ht="230.25" hidden="1" thickTop="1" thickBot="1" x14ac:dyDescent="0.25">
      <c r="A151" s="128" t="s">
        <v>1215</v>
      </c>
      <c r="B151" s="128" t="s">
        <v>184</v>
      </c>
      <c r="C151" s="128" t="s">
        <v>185</v>
      </c>
      <c r="D151" s="128" t="s">
        <v>638</v>
      </c>
      <c r="E151" s="255" t="s">
        <v>1386</v>
      </c>
      <c r="F151" s="196" t="s">
        <v>450</v>
      </c>
      <c r="G151" s="196">
        <f>H151+I151</f>
        <v>0</v>
      </c>
      <c r="H151" s="196">
        <v>0</v>
      </c>
      <c r="I151" s="196">
        <v>0</v>
      </c>
      <c r="J151" s="196">
        <v>0</v>
      </c>
      <c r="K151" s="139"/>
      <c r="L151" s="139"/>
      <c r="M151" s="139"/>
    </row>
    <row r="152" spans="1:13" ht="258" hidden="1" customHeight="1" thickTop="1" thickBot="1" x14ac:dyDescent="0.25">
      <c r="A152" s="41" t="s">
        <v>1021</v>
      </c>
      <c r="B152" s="41" t="s">
        <v>1022</v>
      </c>
      <c r="C152" s="41" t="s">
        <v>185</v>
      </c>
      <c r="D152" s="41" t="s">
        <v>1023</v>
      </c>
      <c r="E152" s="258" t="s">
        <v>583</v>
      </c>
      <c r="F152" s="73" t="s">
        <v>407</v>
      </c>
      <c r="G152" s="73">
        <f t="shared" si="19"/>
        <v>0</v>
      </c>
      <c r="H152" s="73"/>
      <c r="I152" s="73"/>
      <c r="J152" s="73"/>
      <c r="K152" s="139"/>
      <c r="L152" s="139"/>
      <c r="M152" s="139"/>
    </row>
    <row r="153" spans="1:13" ht="321.75" thickTop="1" thickBot="1" x14ac:dyDescent="0.25">
      <c r="A153" s="103" t="s">
        <v>263</v>
      </c>
      <c r="B153" s="103" t="s">
        <v>264</v>
      </c>
      <c r="C153" s="103" t="s">
        <v>199</v>
      </c>
      <c r="D153" s="103" t="s">
        <v>453</v>
      </c>
      <c r="E153" s="321" t="s">
        <v>1192</v>
      </c>
      <c r="F153" s="318" t="s">
        <v>1166</v>
      </c>
      <c r="G153" s="318">
        <f t="shared" si="19"/>
        <v>5126500</v>
      </c>
      <c r="H153" s="318">
        <f>'d3'!E160</f>
        <v>5126500</v>
      </c>
      <c r="I153" s="318">
        <f>'d3'!J160</f>
        <v>0</v>
      </c>
      <c r="J153" s="318">
        <f>'d3'!K160</f>
        <v>0</v>
      </c>
      <c r="K153" s="139"/>
      <c r="L153" s="139"/>
      <c r="M153" s="139"/>
    </row>
    <row r="154" spans="1:13" ht="230.25" thickTop="1" thickBot="1" x14ac:dyDescent="0.25">
      <c r="A154" s="103" t="s">
        <v>484</v>
      </c>
      <c r="B154" s="103" t="s">
        <v>485</v>
      </c>
      <c r="C154" s="103" t="s">
        <v>199</v>
      </c>
      <c r="D154" s="103" t="s">
        <v>486</v>
      </c>
      <c r="E154" s="321" t="s">
        <v>1192</v>
      </c>
      <c r="F154" s="318" t="s">
        <v>1166</v>
      </c>
      <c r="G154" s="318">
        <f t="shared" si="19"/>
        <v>184607</v>
      </c>
      <c r="H154" s="318">
        <f>'d3'!E162</f>
        <v>184607</v>
      </c>
      <c r="I154" s="318">
        <f>'d3'!J162</f>
        <v>0</v>
      </c>
      <c r="J154" s="318">
        <f>'d3'!K162</f>
        <v>0</v>
      </c>
      <c r="K154" s="139"/>
      <c r="L154" s="139"/>
      <c r="M154" s="139"/>
    </row>
    <row r="155" spans="1:13" ht="276" thickTop="1" thickBot="1" x14ac:dyDescent="0.25">
      <c r="A155" s="103" t="s">
        <v>348</v>
      </c>
      <c r="B155" s="103" t="s">
        <v>347</v>
      </c>
      <c r="C155" s="103" t="s">
        <v>50</v>
      </c>
      <c r="D155" s="103" t="s">
        <v>454</v>
      </c>
      <c r="E155" s="321" t="s">
        <v>1192</v>
      </c>
      <c r="F155" s="318" t="s">
        <v>1166</v>
      </c>
      <c r="G155" s="318">
        <f t="shared" si="19"/>
        <v>1245437.28</v>
      </c>
      <c r="H155" s="318">
        <v>1245437.28</v>
      </c>
      <c r="I155" s="318">
        <f>'d3'!J163-I156-I157</f>
        <v>0</v>
      </c>
      <c r="J155" s="318">
        <f>'d3'!K163-J156-J157</f>
        <v>0</v>
      </c>
      <c r="K155" s="96" t="b">
        <f>H155+H156+H157='d3'!E163</f>
        <v>1</v>
      </c>
      <c r="L155" s="96" t="b">
        <f>I155+I156+I157='d3'!J163</f>
        <v>1</v>
      </c>
      <c r="M155" s="96" t="b">
        <f>J155+J156+J157='d3'!K163</f>
        <v>1</v>
      </c>
    </row>
    <row r="156" spans="1:13" ht="276" thickTop="1" thickBot="1" x14ac:dyDescent="0.25">
      <c r="A156" s="103" t="s">
        <v>348</v>
      </c>
      <c r="B156" s="103" t="s">
        <v>347</v>
      </c>
      <c r="C156" s="103" t="s">
        <v>50</v>
      </c>
      <c r="D156" s="103" t="s">
        <v>454</v>
      </c>
      <c r="E156" s="321" t="s">
        <v>1227</v>
      </c>
      <c r="F156" s="318" t="s">
        <v>869</v>
      </c>
      <c r="G156" s="318">
        <f t="shared" si="19"/>
        <v>799824</v>
      </c>
      <c r="H156" s="318">
        <v>799824</v>
      </c>
      <c r="I156" s="318">
        <v>0</v>
      </c>
      <c r="J156" s="318">
        <v>0</v>
      </c>
      <c r="K156" s="139"/>
      <c r="L156" s="139"/>
      <c r="M156" s="139"/>
    </row>
    <row r="157" spans="1:13" ht="367.5" thickTop="1" thickBot="1" x14ac:dyDescent="0.25">
      <c r="A157" s="103" t="s">
        <v>348</v>
      </c>
      <c r="B157" s="103" t="s">
        <v>347</v>
      </c>
      <c r="C157" s="103" t="s">
        <v>50</v>
      </c>
      <c r="D157" s="103" t="s">
        <v>454</v>
      </c>
      <c r="E157" s="321" t="s">
        <v>1385</v>
      </c>
      <c r="F157" s="318" t="s">
        <v>1348</v>
      </c>
      <c r="G157" s="318">
        <f t="shared" si="19"/>
        <v>642672</v>
      </c>
      <c r="H157" s="318">
        <v>642672</v>
      </c>
      <c r="I157" s="318">
        <v>0</v>
      </c>
      <c r="J157" s="318">
        <v>0</v>
      </c>
      <c r="K157" s="139"/>
      <c r="L157" s="139"/>
      <c r="M157" s="139"/>
    </row>
    <row r="158" spans="1:13" ht="184.5" thickTop="1" thickBot="1" x14ac:dyDescent="0.25">
      <c r="A158" s="103" t="s">
        <v>325</v>
      </c>
      <c r="B158" s="103" t="s">
        <v>326</v>
      </c>
      <c r="C158" s="103" t="s">
        <v>205</v>
      </c>
      <c r="D158" s="103" t="s">
        <v>635</v>
      </c>
      <c r="E158" s="321" t="s">
        <v>1192</v>
      </c>
      <c r="F158" s="318" t="s">
        <v>1166</v>
      </c>
      <c r="G158" s="318">
        <f t="shared" si="19"/>
        <v>1000000</v>
      </c>
      <c r="H158" s="318">
        <f>'d3'!E165</f>
        <v>1000000</v>
      </c>
      <c r="I158" s="318">
        <f>'d3'!J165</f>
        <v>0</v>
      </c>
      <c r="J158" s="318">
        <f>'d3'!K165</f>
        <v>0</v>
      </c>
      <c r="K158" s="139"/>
      <c r="L158" s="139"/>
      <c r="M158" s="139"/>
    </row>
    <row r="159" spans="1:13" ht="184.5" thickTop="1" thickBot="1" x14ac:dyDescent="0.25">
      <c r="A159" s="103" t="s">
        <v>428</v>
      </c>
      <c r="B159" s="103" t="s">
        <v>372</v>
      </c>
      <c r="C159" s="103" t="s">
        <v>373</v>
      </c>
      <c r="D159" s="103" t="s">
        <v>371</v>
      </c>
      <c r="E159" s="321" t="s">
        <v>1522</v>
      </c>
      <c r="F159" s="318" t="s">
        <v>1592</v>
      </c>
      <c r="G159" s="318">
        <f t="shared" si="19"/>
        <v>117000</v>
      </c>
      <c r="H159" s="318">
        <f>'d3'!E166</f>
        <v>117000</v>
      </c>
      <c r="I159" s="318">
        <f>'d3'!J166</f>
        <v>0</v>
      </c>
      <c r="J159" s="318">
        <f>'d3'!K166</f>
        <v>0</v>
      </c>
      <c r="K159" s="139"/>
      <c r="L159" s="139"/>
      <c r="M159" s="139"/>
    </row>
    <row r="160" spans="1:13" ht="184.5" thickTop="1" thickBot="1" x14ac:dyDescent="0.25">
      <c r="A160" s="103" t="s">
        <v>1203</v>
      </c>
      <c r="B160" s="103" t="s">
        <v>1200</v>
      </c>
      <c r="C160" s="103" t="s">
        <v>206</v>
      </c>
      <c r="D160" s="470" t="s">
        <v>1201</v>
      </c>
      <c r="E160" s="321" t="s">
        <v>1192</v>
      </c>
      <c r="F160" s="318" t="s">
        <v>1166</v>
      </c>
      <c r="G160" s="318">
        <f>H160+I160</f>
        <v>55322228.759999998</v>
      </c>
      <c r="H160" s="322">
        <f>'d3'!E182</f>
        <v>8000440.2199999997</v>
      </c>
      <c r="I160" s="318">
        <f>'d3'!J182</f>
        <v>47321788.539999999</v>
      </c>
      <c r="J160" s="318">
        <f>'d3'!K182</f>
        <v>47321788.539999999</v>
      </c>
      <c r="K160" s="139"/>
      <c r="L160" s="139"/>
      <c r="M160" s="139"/>
    </row>
    <row r="161" spans="1:14" ht="184.5" thickTop="1" thickBot="1" x14ac:dyDescent="0.25">
      <c r="A161" s="103" t="s">
        <v>327</v>
      </c>
      <c r="B161" s="103" t="s">
        <v>329</v>
      </c>
      <c r="C161" s="103" t="s">
        <v>191</v>
      </c>
      <c r="D161" s="470" t="s">
        <v>331</v>
      </c>
      <c r="E161" s="321" t="s">
        <v>1192</v>
      </c>
      <c r="F161" s="318" t="s">
        <v>1166</v>
      </c>
      <c r="G161" s="318">
        <f t="shared" si="19"/>
        <v>38328054</v>
      </c>
      <c r="H161" s="322">
        <f>'d3'!E184-H162</f>
        <v>31733414</v>
      </c>
      <c r="I161" s="318">
        <f>'d3'!J184-I162</f>
        <v>6594640</v>
      </c>
      <c r="J161" s="318">
        <f>'d3'!K184-J162</f>
        <v>1602380</v>
      </c>
      <c r="L161" s="139"/>
      <c r="M161" s="139"/>
    </row>
    <row r="162" spans="1:14" ht="207" hidden="1" customHeight="1" thickTop="1" thickBot="1" x14ac:dyDescent="0.25">
      <c r="A162" s="41" t="s">
        <v>327</v>
      </c>
      <c r="B162" s="41" t="s">
        <v>329</v>
      </c>
      <c r="C162" s="41" t="s">
        <v>191</v>
      </c>
      <c r="D162" s="154" t="s">
        <v>331</v>
      </c>
      <c r="E162" s="258" t="s">
        <v>449</v>
      </c>
      <c r="F162" s="263" t="s">
        <v>450</v>
      </c>
      <c r="G162" s="73">
        <f>H162+I162</f>
        <v>0</v>
      </c>
      <c r="H162" s="259">
        <v>0</v>
      </c>
      <c r="I162" s="73">
        <v>0</v>
      </c>
      <c r="J162" s="73">
        <v>0</v>
      </c>
      <c r="K162" s="139"/>
      <c r="L162" s="139"/>
      <c r="M162" s="139"/>
    </row>
    <row r="163" spans="1:14" ht="184.5" thickTop="1" thickBot="1" x14ac:dyDescent="0.25">
      <c r="A163" s="103" t="s">
        <v>328</v>
      </c>
      <c r="B163" s="103" t="s">
        <v>330</v>
      </c>
      <c r="C163" s="103" t="s">
        <v>191</v>
      </c>
      <c r="D163" s="470" t="s">
        <v>332</v>
      </c>
      <c r="E163" s="321" t="s">
        <v>1192</v>
      </c>
      <c r="F163" s="318" t="s">
        <v>1166</v>
      </c>
      <c r="G163" s="318">
        <f>H163+I163</f>
        <v>35270620</v>
      </c>
      <c r="H163" s="318">
        <f>((22958830)+409190+1800000+5000000)+5000000</f>
        <v>35168020</v>
      </c>
      <c r="I163" s="318">
        <v>102600</v>
      </c>
      <c r="J163" s="318">
        <v>102600</v>
      </c>
      <c r="K163" s="895" t="b">
        <f>H163+H165+H166+H167+H168+H164='d3'!E185</f>
        <v>1</v>
      </c>
      <c r="L163" s="895" t="b">
        <f>I163+I165+I166+I167+I168+I164='d3'!J185</f>
        <v>1</v>
      </c>
      <c r="M163" s="895" t="b">
        <f>J163+J165+J166+J167+J168+J164='d3'!K185</f>
        <v>1</v>
      </c>
    </row>
    <row r="164" spans="1:14" ht="409.6" thickTop="1" thickBot="1" x14ac:dyDescent="0.25">
      <c r="A164" s="103" t="s">
        <v>328</v>
      </c>
      <c r="B164" s="103" t="s">
        <v>330</v>
      </c>
      <c r="C164" s="103" t="s">
        <v>191</v>
      </c>
      <c r="D164" s="470" t="s">
        <v>332</v>
      </c>
      <c r="E164" s="318" t="s">
        <v>1390</v>
      </c>
      <c r="F164" s="318" t="s">
        <v>859</v>
      </c>
      <c r="G164" s="318">
        <f t="shared" si="19"/>
        <v>2000000</v>
      </c>
      <c r="H164" s="318">
        <v>2000000</v>
      </c>
      <c r="I164" s="318">
        <v>0</v>
      </c>
      <c r="J164" s="318">
        <v>0</v>
      </c>
      <c r="K164" s="895"/>
      <c r="L164" s="895"/>
      <c r="M164" s="895"/>
    </row>
    <row r="165" spans="1:14" ht="138.75" thickTop="1" thickBot="1" x14ac:dyDescent="0.25">
      <c r="A165" s="103" t="s">
        <v>328</v>
      </c>
      <c r="B165" s="103" t="s">
        <v>330</v>
      </c>
      <c r="C165" s="103" t="s">
        <v>191</v>
      </c>
      <c r="D165" s="470" t="s">
        <v>332</v>
      </c>
      <c r="E165" s="318" t="s">
        <v>1521</v>
      </c>
      <c r="F165" s="318" t="s">
        <v>868</v>
      </c>
      <c r="G165" s="318">
        <f t="shared" si="19"/>
        <v>595850</v>
      </c>
      <c r="H165" s="318">
        <f>((981500)-575600)+189950</f>
        <v>595850</v>
      </c>
      <c r="I165" s="318">
        <v>0</v>
      </c>
      <c r="J165" s="318">
        <v>0</v>
      </c>
      <c r="K165" s="896"/>
      <c r="L165" s="896"/>
      <c r="M165" s="896"/>
      <c r="N165" s="254"/>
    </row>
    <row r="166" spans="1:14" ht="251.25" customHeight="1" thickTop="1" thickBot="1" x14ac:dyDescent="0.25">
      <c r="A166" s="103" t="s">
        <v>328</v>
      </c>
      <c r="B166" s="103" t="s">
        <v>330</v>
      </c>
      <c r="C166" s="103" t="s">
        <v>191</v>
      </c>
      <c r="D166" s="470" t="s">
        <v>332</v>
      </c>
      <c r="E166" s="321" t="s">
        <v>1227</v>
      </c>
      <c r="F166" s="318" t="s">
        <v>869</v>
      </c>
      <c r="G166" s="318">
        <f t="shared" si="19"/>
        <v>24432260</v>
      </c>
      <c r="H166" s="318">
        <f>(14432260)+10000000</f>
        <v>24432260</v>
      </c>
      <c r="I166" s="318">
        <v>0</v>
      </c>
      <c r="J166" s="318">
        <v>0</v>
      </c>
      <c r="K166" s="896"/>
      <c r="L166" s="896"/>
      <c r="M166" s="896"/>
    </row>
    <row r="167" spans="1:14" ht="230.25" thickTop="1" thickBot="1" x14ac:dyDescent="0.25">
      <c r="A167" s="103" t="s">
        <v>328</v>
      </c>
      <c r="B167" s="103" t="s">
        <v>330</v>
      </c>
      <c r="C167" s="103" t="s">
        <v>191</v>
      </c>
      <c r="D167" s="470" t="s">
        <v>332</v>
      </c>
      <c r="E167" s="321" t="s">
        <v>1470</v>
      </c>
      <c r="F167" s="318" t="s">
        <v>1471</v>
      </c>
      <c r="G167" s="318">
        <f t="shared" si="19"/>
        <v>2610000</v>
      </c>
      <c r="H167" s="318">
        <v>2610000</v>
      </c>
      <c r="I167" s="318">
        <v>0</v>
      </c>
      <c r="J167" s="318">
        <v>0</v>
      </c>
      <c r="K167" s="13"/>
      <c r="L167" s="13"/>
      <c r="M167" s="13"/>
    </row>
    <row r="168" spans="1:14" ht="367.5" thickTop="1" thickBot="1" x14ac:dyDescent="0.25">
      <c r="A168" s="103" t="s">
        <v>328</v>
      </c>
      <c r="B168" s="103" t="s">
        <v>330</v>
      </c>
      <c r="C168" s="103" t="s">
        <v>191</v>
      </c>
      <c r="D168" s="470" t="s">
        <v>332</v>
      </c>
      <c r="E168" s="321" t="s">
        <v>1385</v>
      </c>
      <c r="F168" s="318" t="s">
        <v>1348</v>
      </c>
      <c r="G168" s="318">
        <f t="shared" si="19"/>
        <v>29863710</v>
      </c>
      <c r="H168" s="318">
        <f>((670500)+166410)+5026800</f>
        <v>5863710</v>
      </c>
      <c r="I168" s="318">
        <v>24000000</v>
      </c>
      <c r="J168" s="318">
        <v>24000000</v>
      </c>
      <c r="K168" s="13"/>
      <c r="L168" s="13"/>
      <c r="M168" s="13"/>
    </row>
    <row r="169" spans="1:14" ht="276" thickTop="1" thickBot="1" x14ac:dyDescent="0.25">
      <c r="A169" s="103" t="s">
        <v>367</v>
      </c>
      <c r="B169" s="103" t="s">
        <v>365</v>
      </c>
      <c r="C169" s="103" t="s">
        <v>340</v>
      </c>
      <c r="D169" s="470" t="s">
        <v>366</v>
      </c>
      <c r="E169" s="321" t="s">
        <v>1227</v>
      </c>
      <c r="F169" s="318" t="s">
        <v>869</v>
      </c>
      <c r="G169" s="318">
        <f t="shared" si="19"/>
        <v>26000000</v>
      </c>
      <c r="H169" s="318">
        <f>'d3'!E188</f>
        <v>0</v>
      </c>
      <c r="I169" s="318">
        <f>'d3'!J188</f>
        <v>26000000</v>
      </c>
      <c r="J169" s="318">
        <f>'d3'!K188</f>
        <v>26000000</v>
      </c>
      <c r="K169" s="139"/>
      <c r="L169" s="139"/>
      <c r="M169" s="139"/>
    </row>
    <row r="170" spans="1:14" ht="367.5" hidden="1" thickTop="1" thickBot="1" x14ac:dyDescent="0.25">
      <c r="A170" s="41" t="s">
        <v>1074</v>
      </c>
      <c r="B170" s="41" t="s">
        <v>1075</v>
      </c>
      <c r="C170" s="41" t="s">
        <v>340</v>
      </c>
      <c r="D170" s="154" t="s">
        <v>1076</v>
      </c>
      <c r="E170" s="73" t="s">
        <v>867</v>
      </c>
      <c r="F170" s="73" t="s">
        <v>868</v>
      </c>
      <c r="G170" s="73">
        <f t="shared" si="19"/>
        <v>0</v>
      </c>
      <c r="H170" s="271">
        <f>'d3'!E189</f>
        <v>0</v>
      </c>
      <c r="I170" s="271">
        <f>'d3'!J189</f>
        <v>0</v>
      </c>
      <c r="J170" s="271">
        <f>'d3'!K189</f>
        <v>0</v>
      </c>
      <c r="K170" s="139"/>
      <c r="L170" s="139"/>
      <c r="M170" s="139"/>
    </row>
    <row r="171" spans="1:14" ht="184.5" thickTop="1" thickBot="1" x14ac:dyDescent="0.25">
      <c r="A171" s="103" t="s">
        <v>924</v>
      </c>
      <c r="B171" s="103" t="s">
        <v>925</v>
      </c>
      <c r="C171" s="103" t="s">
        <v>304</v>
      </c>
      <c r="D171" s="103" t="s">
        <v>1615</v>
      </c>
      <c r="E171" s="321" t="s">
        <v>1192</v>
      </c>
      <c r="F171" s="318" t="s">
        <v>1166</v>
      </c>
      <c r="G171" s="318">
        <f t="shared" si="19"/>
        <v>450000</v>
      </c>
      <c r="H171" s="327">
        <f>'d3'!E193</f>
        <v>0</v>
      </c>
      <c r="I171" s="327">
        <f>'d3'!J193</f>
        <v>450000</v>
      </c>
      <c r="J171" s="327">
        <f>'d3'!K193</f>
        <v>450000</v>
      </c>
      <c r="K171" s="139"/>
      <c r="L171" s="139"/>
      <c r="M171" s="139"/>
    </row>
    <row r="172" spans="1:14" ht="184.5" thickTop="1" thickBot="1" x14ac:dyDescent="0.25">
      <c r="A172" s="103" t="s">
        <v>1310</v>
      </c>
      <c r="B172" s="103" t="s">
        <v>212</v>
      </c>
      <c r="C172" s="103" t="s">
        <v>213</v>
      </c>
      <c r="D172" s="103" t="s">
        <v>41</v>
      </c>
      <c r="E172" s="321" t="s">
        <v>1192</v>
      </c>
      <c r="F172" s="318" t="s">
        <v>1166</v>
      </c>
      <c r="G172" s="318">
        <f t="shared" si="19"/>
        <v>2013660</v>
      </c>
      <c r="H172" s="327">
        <f>'d3'!E195</f>
        <v>0</v>
      </c>
      <c r="I172" s="327">
        <f>'d3'!J195</f>
        <v>2013660</v>
      </c>
      <c r="J172" s="327">
        <f>'d3'!K195</f>
        <v>2013660</v>
      </c>
      <c r="K172" s="139"/>
      <c r="L172" s="139"/>
      <c r="M172" s="139"/>
    </row>
    <row r="173" spans="1:14" ht="367.5" hidden="1" thickTop="1" thickBot="1" x14ac:dyDescent="0.7">
      <c r="A173" s="797" t="s">
        <v>423</v>
      </c>
      <c r="B173" s="797" t="s">
        <v>338</v>
      </c>
      <c r="C173" s="797" t="s">
        <v>170</v>
      </c>
      <c r="D173" s="155" t="s">
        <v>440</v>
      </c>
      <c r="E173" s="797" t="s">
        <v>1161</v>
      </c>
      <c r="F173" s="797" t="s">
        <v>1162</v>
      </c>
      <c r="G173" s="898">
        <f>H173+I173</f>
        <v>0</v>
      </c>
      <c r="H173" s="898">
        <f>'d3'!E197</f>
        <v>0</v>
      </c>
      <c r="I173" s="898">
        <f>'d3'!J197</f>
        <v>0</v>
      </c>
      <c r="J173" s="898">
        <f>'d3'!K197</f>
        <v>0</v>
      </c>
      <c r="K173" s="139"/>
      <c r="L173" s="139"/>
      <c r="M173" s="139"/>
    </row>
    <row r="174" spans="1:14" ht="184.5" hidden="1" thickTop="1" thickBot="1" x14ac:dyDescent="0.25">
      <c r="A174" s="805"/>
      <c r="B174" s="805"/>
      <c r="C174" s="805"/>
      <c r="D174" s="156" t="s">
        <v>441</v>
      </c>
      <c r="E174" s="805"/>
      <c r="F174" s="805"/>
      <c r="G174" s="899"/>
      <c r="H174" s="900"/>
      <c r="I174" s="899"/>
      <c r="J174" s="899"/>
      <c r="K174" s="254"/>
      <c r="L174" s="261"/>
      <c r="M174" s="261"/>
    </row>
    <row r="175" spans="1:14" ht="170.1" customHeight="1" thickTop="1" thickBot="1" x14ac:dyDescent="0.25">
      <c r="A175" s="661">
        <v>1000000</v>
      </c>
      <c r="B175" s="661"/>
      <c r="C175" s="661"/>
      <c r="D175" s="662" t="s">
        <v>24</v>
      </c>
      <c r="E175" s="661"/>
      <c r="F175" s="661"/>
      <c r="G175" s="664">
        <f>G176</f>
        <v>185864485</v>
      </c>
      <c r="H175" s="664">
        <f t="shared" ref="H175:J175" si="22">H176</f>
        <v>174430635</v>
      </c>
      <c r="I175" s="664">
        <f t="shared" si="22"/>
        <v>11433850</v>
      </c>
      <c r="J175" s="664">
        <f t="shared" si="22"/>
        <v>300000</v>
      </c>
      <c r="K175" s="96" t="b">
        <f>H175='d3'!E200</f>
        <v>1</v>
      </c>
      <c r="L175" s="465" t="b">
        <f>I175='d3'!J200</f>
        <v>1</v>
      </c>
      <c r="M175" s="465" t="b">
        <f>J175='d3'!K200</f>
        <v>1</v>
      </c>
    </row>
    <row r="176" spans="1:14" ht="170.1" customHeight="1" thickTop="1" thickBot="1" x14ac:dyDescent="0.25">
      <c r="A176" s="658">
        <v>1010000</v>
      </c>
      <c r="B176" s="658"/>
      <c r="C176" s="658"/>
      <c r="D176" s="659" t="s">
        <v>39</v>
      </c>
      <c r="E176" s="660"/>
      <c r="F176" s="660"/>
      <c r="G176" s="660">
        <f>SUM(G177:G195)</f>
        <v>185864485</v>
      </c>
      <c r="H176" s="660">
        <f>SUM(H177:H195)</f>
        <v>174430635</v>
      </c>
      <c r="I176" s="660">
        <f>SUM(I177:I195)</f>
        <v>11433850</v>
      </c>
      <c r="J176" s="660">
        <f>SUM(J177:J195)</f>
        <v>300000</v>
      </c>
      <c r="K176" s="139"/>
      <c r="L176" s="139"/>
      <c r="M176" s="139"/>
    </row>
    <row r="177" spans="1:13" ht="184.5" thickTop="1" thickBot="1" x14ac:dyDescent="0.25">
      <c r="A177" s="103" t="s">
        <v>636</v>
      </c>
      <c r="B177" s="103" t="s">
        <v>637</v>
      </c>
      <c r="C177" s="103" t="s">
        <v>181</v>
      </c>
      <c r="D177" s="103" t="s">
        <v>1120</v>
      </c>
      <c r="E177" s="318" t="s">
        <v>865</v>
      </c>
      <c r="F177" s="318" t="s">
        <v>866</v>
      </c>
      <c r="G177" s="318">
        <f>H177+I177</f>
        <v>106076888</v>
      </c>
      <c r="H177" s="318">
        <f>'d3'!E202-H178</f>
        <v>96162228</v>
      </c>
      <c r="I177" s="318">
        <f>'d3'!J202-I178</f>
        <v>9914660</v>
      </c>
      <c r="J177" s="318">
        <f>'d3'!K202-J178</f>
        <v>0</v>
      </c>
      <c r="K177" s="139"/>
      <c r="L177" s="139"/>
      <c r="M177" s="139"/>
    </row>
    <row r="178" spans="1:13" ht="230.25" hidden="1" thickTop="1" thickBot="1" x14ac:dyDescent="0.25">
      <c r="A178" s="128" t="s">
        <v>636</v>
      </c>
      <c r="B178" s="128" t="s">
        <v>637</v>
      </c>
      <c r="C178" s="128" t="s">
        <v>181</v>
      </c>
      <c r="D178" s="128" t="s">
        <v>1120</v>
      </c>
      <c r="E178" s="255" t="s">
        <v>1386</v>
      </c>
      <c r="F178" s="196" t="s">
        <v>450</v>
      </c>
      <c r="G178" s="196">
        <f t="shared" ref="G178" si="23">H178+I178</f>
        <v>0</v>
      </c>
      <c r="H178" s="196">
        <v>0</v>
      </c>
      <c r="I178" s="196">
        <v>0</v>
      </c>
      <c r="J178" s="196">
        <v>0</v>
      </c>
      <c r="K178" s="139"/>
      <c r="L178" s="139"/>
      <c r="M178" s="139"/>
    </row>
    <row r="179" spans="1:13" ht="184.5" thickTop="1" thickBot="1" x14ac:dyDescent="0.25">
      <c r="A179" s="103" t="s">
        <v>172</v>
      </c>
      <c r="B179" s="103" t="s">
        <v>173</v>
      </c>
      <c r="C179" s="103" t="s">
        <v>174</v>
      </c>
      <c r="D179" s="103" t="s">
        <v>175</v>
      </c>
      <c r="E179" s="318" t="s">
        <v>865</v>
      </c>
      <c r="F179" s="318" t="s">
        <v>866</v>
      </c>
      <c r="G179" s="318">
        <f t="shared" ref="G179:G195" si="24">H179+I179</f>
        <v>19030225</v>
      </c>
      <c r="H179" s="318">
        <f>'d3'!E204-H180-H181</f>
        <v>18561225</v>
      </c>
      <c r="I179" s="318">
        <f>'d3'!J204-I180-I181</f>
        <v>469000</v>
      </c>
      <c r="J179" s="318">
        <f>'d3'!K204-J180-J181</f>
        <v>300000</v>
      </c>
      <c r="K179" s="139"/>
      <c r="L179" s="139"/>
      <c r="M179" s="139"/>
    </row>
    <row r="180" spans="1:13" ht="184.5" hidden="1" thickTop="1" thickBot="1" x14ac:dyDescent="0.25">
      <c r="A180" s="103" t="s">
        <v>172</v>
      </c>
      <c r="B180" s="103" t="s">
        <v>173</v>
      </c>
      <c r="C180" s="103" t="s">
        <v>174</v>
      </c>
      <c r="D180" s="103" t="s">
        <v>175</v>
      </c>
      <c r="E180" s="321" t="s">
        <v>449</v>
      </c>
      <c r="F180" s="330" t="s">
        <v>450</v>
      </c>
      <c r="G180" s="318">
        <f>H180+I180</f>
        <v>0</v>
      </c>
      <c r="H180" s="322">
        <v>0</v>
      </c>
      <c r="I180" s="318">
        <v>0</v>
      </c>
      <c r="J180" s="318">
        <v>0</v>
      </c>
      <c r="K180" s="139"/>
      <c r="L180" s="139"/>
      <c r="M180" s="139"/>
    </row>
    <row r="181" spans="1:13" ht="230.25" hidden="1" thickTop="1" thickBot="1" x14ac:dyDescent="0.25">
      <c r="A181" s="103" t="s">
        <v>172</v>
      </c>
      <c r="B181" s="103" t="s">
        <v>173</v>
      </c>
      <c r="C181" s="103" t="s">
        <v>174</v>
      </c>
      <c r="D181" s="103" t="s">
        <v>175</v>
      </c>
      <c r="E181" s="318" t="s">
        <v>863</v>
      </c>
      <c r="F181" s="318" t="s">
        <v>864</v>
      </c>
      <c r="G181" s="318">
        <f>H181+I181</f>
        <v>0</v>
      </c>
      <c r="H181" s="322">
        <v>0</v>
      </c>
      <c r="I181" s="318">
        <v>0</v>
      </c>
      <c r="J181" s="318">
        <v>0</v>
      </c>
      <c r="K181" s="139"/>
      <c r="L181" s="139"/>
      <c r="M181" s="139"/>
    </row>
    <row r="182" spans="1:13" ht="184.5" thickTop="1" thickBot="1" x14ac:dyDescent="0.25">
      <c r="A182" s="103" t="s">
        <v>176</v>
      </c>
      <c r="B182" s="103" t="s">
        <v>177</v>
      </c>
      <c r="C182" s="103" t="s">
        <v>174</v>
      </c>
      <c r="D182" s="103" t="s">
        <v>463</v>
      </c>
      <c r="E182" s="318" t="s">
        <v>865</v>
      </c>
      <c r="F182" s="318" t="s">
        <v>866</v>
      </c>
      <c r="G182" s="318">
        <f t="shared" si="24"/>
        <v>3140612</v>
      </c>
      <c r="H182" s="318">
        <f>'d3'!E205-H183</f>
        <v>3026822</v>
      </c>
      <c r="I182" s="318">
        <f>'d3'!J205-I183</f>
        <v>113790</v>
      </c>
      <c r="J182" s="318">
        <f>'d3'!K205-J183</f>
        <v>0</v>
      </c>
      <c r="K182" s="139"/>
      <c r="L182" s="139"/>
      <c r="M182" s="139"/>
    </row>
    <row r="183" spans="1:13" ht="230.25" hidden="1" thickTop="1" thickBot="1" x14ac:dyDescent="0.25">
      <c r="A183" s="128" t="s">
        <v>176</v>
      </c>
      <c r="B183" s="128" t="s">
        <v>177</v>
      </c>
      <c r="C183" s="128" t="s">
        <v>174</v>
      </c>
      <c r="D183" s="128" t="s">
        <v>463</v>
      </c>
      <c r="E183" s="255" t="s">
        <v>1386</v>
      </c>
      <c r="F183" s="196" t="s">
        <v>450</v>
      </c>
      <c r="G183" s="196">
        <f t="shared" si="24"/>
        <v>0</v>
      </c>
      <c r="H183" s="196">
        <v>0</v>
      </c>
      <c r="I183" s="196">
        <v>0</v>
      </c>
      <c r="J183" s="196">
        <v>0</v>
      </c>
      <c r="K183" s="139"/>
      <c r="L183" s="139"/>
      <c r="M183" s="139"/>
    </row>
    <row r="184" spans="1:13" ht="184.5" thickTop="1" thickBot="1" x14ac:dyDescent="0.25">
      <c r="A184" s="103" t="s">
        <v>178</v>
      </c>
      <c r="B184" s="103" t="s">
        <v>171</v>
      </c>
      <c r="C184" s="103" t="s">
        <v>179</v>
      </c>
      <c r="D184" s="103" t="s">
        <v>180</v>
      </c>
      <c r="E184" s="318" t="s">
        <v>865</v>
      </c>
      <c r="F184" s="318" t="s">
        <v>866</v>
      </c>
      <c r="G184" s="318">
        <f t="shared" si="24"/>
        <v>22990907</v>
      </c>
      <c r="H184" s="318">
        <f>'d3'!E206-H185</f>
        <v>22228907</v>
      </c>
      <c r="I184" s="318">
        <f>'d3'!J206-I185</f>
        <v>762000</v>
      </c>
      <c r="J184" s="318">
        <f>'d3'!K206-J185</f>
        <v>0</v>
      </c>
      <c r="K184" s="139"/>
      <c r="L184" s="139"/>
      <c r="M184" s="139"/>
    </row>
    <row r="185" spans="1:13" ht="184.5" hidden="1" thickTop="1" thickBot="1" x14ac:dyDescent="0.25">
      <c r="A185" s="41" t="s">
        <v>178</v>
      </c>
      <c r="B185" s="41" t="s">
        <v>171</v>
      </c>
      <c r="C185" s="41" t="s">
        <v>179</v>
      </c>
      <c r="D185" s="41" t="s">
        <v>180</v>
      </c>
      <c r="E185" s="258" t="s">
        <v>449</v>
      </c>
      <c r="F185" s="263" t="s">
        <v>450</v>
      </c>
      <c r="G185" s="73">
        <f>H185+I185</f>
        <v>0</v>
      </c>
      <c r="H185" s="259">
        <v>0</v>
      </c>
      <c r="I185" s="73">
        <v>0</v>
      </c>
      <c r="J185" s="73">
        <v>0</v>
      </c>
      <c r="K185" s="139"/>
      <c r="L185" s="139"/>
      <c r="M185" s="139"/>
    </row>
    <row r="186" spans="1:13" ht="184.5" hidden="1" thickTop="1" thickBot="1" x14ac:dyDescent="0.25">
      <c r="A186" s="103" t="s">
        <v>1194</v>
      </c>
      <c r="B186" s="103" t="s">
        <v>1195</v>
      </c>
      <c r="C186" s="103" t="s">
        <v>1197</v>
      </c>
      <c r="D186" s="103" t="s">
        <v>1196</v>
      </c>
      <c r="E186" s="318" t="s">
        <v>865</v>
      </c>
      <c r="F186" s="318" t="s">
        <v>866</v>
      </c>
      <c r="G186" s="318">
        <f>H186+I186</f>
        <v>0</v>
      </c>
      <c r="H186" s="322">
        <f>'d3'!E207</f>
        <v>0</v>
      </c>
      <c r="I186" s="318">
        <f>'d3'!J207</f>
        <v>0</v>
      </c>
      <c r="J186" s="318">
        <f>'d3'!K207</f>
        <v>0</v>
      </c>
      <c r="K186" s="139"/>
      <c r="L186" s="139"/>
      <c r="M186" s="139"/>
    </row>
    <row r="187" spans="1:13" ht="184.5" thickTop="1" thickBot="1" x14ac:dyDescent="0.25">
      <c r="A187" s="103" t="s">
        <v>333</v>
      </c>
      <c r="B187" s="103" t="s">
        <v>334</v>
      </c>
      <c r="C187" s="103" t="s">
        <v>182</v>
      </c>
      <c r="D187" s="103" t="s">
        <v>464</v>
      </c>
      <c r="E187" s="318" t="s">
        <v>865</v>
      </c>
      <c r="F187" s="318" t="s">
        <v>866</v>
      </c>
      <c r="G187" s="318">
        <f>H187+I187</f>
        <v>27846403</v>
      </c>
      <c r="H187" s="318">
        <f>'d3'!E209-H188</f>
        <v>27672003</v>
      </c>
      <c r="I187" s="318">
        <f>'d3'!J209-I188</f>
        <v>174400</v>
      </c>
      <c r="J187" s="318">
        <f>'d3'!K209-J188</f>
        <v>0</v>
      </c>
      <c r="K187" s="139"/>
      <c r="L187" s="139"/>
      <c r="M187" s="139"/>
    </row>
    <row r="188" spans="1:13" ht="138.75" thickTop="1" thickBot="1" x14ac:dyDescent="0.25">
      <c r="A188" s="103" t="s">
        <v>333</v>
      </c>
      <c r="B188" s="103" t="s">
        <v>334</v>
      </c>
      <c r="C188" s="103" t="s">
        <v>182</v>
      </c>
      <c r="D188" s="103" t="s">
        <v>464</v>
      </c>
      <c r="E188" s="318" t="s">
        <v>1259</v>
      </c>
      <c r="F188" s="318" t="s">
        <v>406</v>
      </c>
      <c r="G188" s="318">
        <f t="shared" si="24"/>
        <v>1399500</v>
      </c>
      <c r="H188" s="318">
        <v>1399500</v>
      </c>
      <c r="I188" s="318">
        <v>0</v>
      </c>
      <c r="J188" s="318">
        <v>0</v>
      </c>
      <c r="K188" s="139"/>
      <c r="L188" s="139"/>
      <c r="M188" s="139"/>
    </row>
    <row r="189" spans="1:13" ht="184.5" thickTop="1" thickBot="1" x14ac:dyDescent="0.25">
      <c r="A189" s="103" t="s">
        <v>335</v>
      </c>
      <c r="B189" s="103" t="s">
        <v>336</v>
      </c>
      <c r="C189" s="103" t="s">
        <v>182</v>
      </c>
      <c r="D189" s="103" t="s">
        <v>465</v>
      </c>
      <c r="E189" s="318" t="s">
        <v>865</v>
      </c>
      <c r="F189" s="318" t="s">
        <v>866</v>
      </c>
      <c r="G189" s="318">
        <f t="shared" si="24"/>
        <v>3450000</v>
      </c>
      <c r="H189" s="318">
        <f>'d3'!E210-H190-H191</f>
        <v>3450000</v>
      </c>
      <c r="I189" s="318">
        <f>'d3'!J210-I190-I191</f>
        <v>0</v>
      </c>
      <c r="J189" s="318">
        <f>'d3'!K210-J190-J191</f>
        <v>0</v>
      </c>
      <c r="K189" s="139"/>
      <c r="L189" s="139"/>
      <c r="M189" s="139"/>
    </row>
    <row r="190" spans="1:13" ht="138.75" thickTop="1" thickBot="1" x14ac:dyDescent="0.25">
      <c r="A190" s="103" t="s">
        <v>335</v>
      </c>
      <c r="B190" s="103" t="s">
        <v>336</v>
      </c>
      <c r="C190" s="103" t="s">
        <v>182</v>
      </c>
      <c r="D190" s="103" t="s">
        <v>465</v>
      </c>
      <c r="E190" s="318" t="s">
        <v>1259</v>
      </c>
      <c r="F190" s="318" t="s">
        <v>406</v>
      </c>
      <c r="G190" s="318">
        <f t="shared" si="24"/>
        <v>653100</v>
      </c>
      <c r="H190" s="318">
        <v>653100</v>
      </c>
      <c r="I190" s="318">
        <v>0</v>
      </c>
      <c r="J190" s="318">
        <v>0</v>
      </c>
      <c r="K190" s="139"/>
      <c r="L190" s="139"/>
      <c r="M190" s="139"/>
    </row>
    <row r="191" spans="1:13" ht="230.25" thickTop="1" thickBot="1" x14ac:dyDescent="0.25">
      <c r="A191" s="103" t="s">
        <v>335</v>
      </c>
      <c r="B191" s="103" t="s">
        <v>336</v>
      </c>
      <c r="C191" s="103" t="s">
        <v>182</v>
      </c>
      <c r="D191" s="103" t="s">
        <v>465</v>
      </c>
      <c r="E191" s="318" t="s">
        <v>863</v>
      </c>
      <c r="F191" s="318" t="s">
        <v>864</v>
      </c>
      <c r="G191" s="318">
        <f t="shared" si="24"/>
        <v>250000</v>
      </c>
      <c r="H191" s="318">
        <v>250000</v>
      </c>
      <c r="I191" s="318">
        <v>0</v>
      </c>
      <c r="J191" s="318">
        <v>0</v>
      </c>
      <c r="K191" s="139"/>
      <c r="L191" s="139"/>
      <c r="M191" s="139"/>
    </row>
    <row r="192" spans="1:13" ht="138.75" thickTop="1" thickBot="1" x14ac:dyDescent="0.25">
      <c r="A192" s="103" t="s">
        <v>1035</v>
      </c>
      <c r="B192" s="103" t="s">
        <v>1036</v>
      </c>
      <c r="C192" s="103" t="s">
        <v>213</v>
      </c>
      <c r="D192" s="103" t="s">
        <v>1034</v>
      </c>
      <c r="E192" s="318" t="s">
        <v>1550</v>
      </c>
      <c r="F192" s="318" t="s">
        <v>1551</v>
      </c>
      <c r="G192" s="318">
        <f t="shared" si="24"/>
        <v>1026850</v>
      </c>
      <c r="H192" s="318">
        <f>'d3'!E214</f>
        <v>1026850</v>
      </c>
      <c r="I192" s="318">
        <f>'d3'!J214</f>
        <v>0</v>
      </c>
      <c r="J192" s="318">
        <f>'d3'!K214</f>
        <v>0</v>
      </c>
      <c r="K192" s="272"/>
      <c r="L192" s="272"/>
      <c r="M192" s="139"/>
    </row>
    <row r="193" spans="1:13" ht="184.5" hidden="1" thickTop="1" thickBot="1" x14ac:dyDescent="0.25">
      <c r="A193" s="128" t="s">
        <v>1265</v>
      </c>
      <c r="B193" s="128" t="s">
        <v>212</v>
      </c>
      <c r="C193" s="128" t="s">
        <v>213</v>
      </c>
      <c r="D193" s="128" t="s">
        <v>41</v>
      </c>
      <c r="E193" s="196" t="s">
        <v>865</v>
      </c>
      <c r="F193" s="196" t="s">
        <v>866</v>
      </c>
      <c r="G193" s="196">
        <f t="shared" si="24"/>
        <v>0</v>
      </c>
      <c r="H193" s="196">
        <f>'d3'!E215</f>
        <v>0</v>
      </c>
      <c r="I193" s="196">
        <f>'d3'!J215</f>
        <v>0</v>
      </c>
      <c r="J193" s="196">
        <f>'d3'!K215</f>
        <v>0</v>
      </c>
      <c r="K193" s="272"/>
      <c r="L193" s="272"/>
      <c r="M193" s="139"/>
    </row>
    <row r="194" spans="1:13" ht="184.5" hidden="1" thickTop="1" thickBot="1" x14ac:dyDescent="0.25">
      <c r="A194" s="128" t="s">
        <v>917</v>
      </c>
      <c r="B194" s="128" t="s">
        <v>197</v>
      </c>
      <c r="C194" s="128" t="s">
        <v>170</v>
      </c>
      <c r="D194" s="128" t="s">
        <v>34</v>
      </c>
      <c r="E194" s="196" t="s">
        <v>865</v>
      </c>
      <c r="F194" s="196" t="s">
        <v>866</v>
      </c>
      <c r="G194" s="196">
        <f t="shared" si="24"/>
        <v>0</v>
      </c>
      <c r="H194" s="196">
        <f>'d3'!E216</f>
        <v>0</v>
      </c>
      <c r="I194" s="196">
        <f>'d3'!J216</f>
        <v>0</v>
      </c>
      <c r="J194" s="196">
        <f>'d3'!K216</f>
        <v>0</v>
      </c>
      <c r="K194" s="272"/>
      <c r="L194" s="272"/>
      <c r="M194" s="139"/>
    </row>
    <row r="195" spans="1:13" ht="184.5" hidden="1" thickTop="1" thickBot="1" x14ac:dyDescent="0.25">
      <c r="A195" s="41" t="s">
        <v>586</v>
      </c>
      <c r="B195" s="41" t="s">
        <v>363</v>
      </c>
      <c r="C195" s="41" t="s">
        <v>43</v>
      </c>
      <c r="D195" s="41" t="s">
        <v>364</v>
      </c>
      <c r="E195" s="258" t="s">
        <v>860</v>
      </c>
      <c r="F195" s="73" t="s">
        <v>861</v>
      </c>
      <c r="G195" s="73">
        <f t="shared" si="24"/>
        <v>0</v>
      </c>
      <c r="H195" s="73">
        <f>'d3'!E219</f>
        <v>0</v>
      </c>
      <c r="I195" s="73">
        <f>'d3'!J219</f>
        <v>0</v>
      </c>
      <c r="J195" s="73">
        <f>'d3'!K219</f>
        <v>0</v>
      </c>
      <c r="K195" s="272"/>
      <c r="L195" s="272"/>
      <c r="M195" s="139"/>
    </row>
    <row r="196" spans="1:13" ht="170.1" customHeight="1" thickTop="1" thickBot="1" x14ac:dyDescent="0.25">
      <c r="A196" s="661" t="s">
        <v>22</v>
      </c>
      <c r="B196" s="661"/>
      <c r="C196" s="661"/>
      <c r="D196" s="662" t="s">
        <v>23</v>
      </c>
      <c r="E196" s="661"/>
      <c r="F196" s="661"/>
      <c r="G196" s="664">
        <f>G197</f>
        <v>133163514</v>
      </c>
      <c r="H196" s="664">
        <f t="shared" ref="H196:J196" si="25">H197</f>
        <v>127898143</v>
      </c>
      <c r="I196" s="664">
        <f t="shared" si="25"/>
        <v>5265371</v>
      </c>
      <c r="J196" s="664">
        <f t="shared" si="25"/>
        <v>3351929</v>
      </c>
      <c r="K196" s="96" t="b">
        <f>H196='d3'!E221+'d4'!F12</f>
        <v>1</v>
      </c>
      <c r="L196" s="465" t="b">
        <f>I196='d3'!J220+'d4'!G12</f>
        <v>1</v>
      </c>
      <c r="M196" s="465" t="b">
        <f>J196='d3'!K220+'d4'!H12</f>
        <v>1</v>
      </c>
    </row>
    <row r="197" spans="1:13" ht="170.1" customHeight="1" thickTop="1" thickBot="1" x14ac:dyDescent="0.25">
      <c r="A197" s="658" t="s">
        <v>21</v>
      </c>
      <c r="B197" s="658"/>
      <c r="C197" s="658"/>
      <c r="D197" s="659" t="s">
        <v>35</v>
      </c>
      <c r="E197" s="660"/>
      <c r="F197" s="660"/>
      <c r="G197" s="660">
        <f>SUM(G198:G217)</f>
        <v>133163514</v>
      </c>
      <c r="H197" s="660">
        <f>SUM(H198:H217)</f>
        <v>127898143</v>
      </c>
      <c r="I197" s="660">
        <f>SUM(I198:I217)</f>
        <v>5265371</v>
      </c>
      <c r="J197" s="660">
        <f>SUM(J198:J217)</f>
        <v>3351929</v>
      </c>
      <c r="K197" s="139"/>
      <c r="L197" s="139"/>
      <c r="M197" s="139"/>
    </row>
    <row r="198" spans="1:13" ht="230.25" hidden="1" thickTop="1" thickBot="1" x14ac:dyDescent="0.25">
      <c r="A198" s="128" t="s">
        <v>183</v>
      </c>
      <c r="B198" s="128" t="s">
        <v>184</v>
      </c>
      <c r="C198" s="128" t="s">
        <v>185</v>
      </c>
      <c r="D198" s="128" t="s">
        <v>638</v>
      </c>
      <c r="E198" s="255" t="s">
        <v>1164</v>
      </c>
      <c r="F198" s="196" t="s">
        <v>1165</v>
      </c>
      <c r="G198" s="196">
        <f t="shared" ref="G198:G200" si="26">H198+I198</f>
        <v>0</v>
      </c>
      <c r="H198" s="256">
        <f>'d3'!E224</f>
        <v>0</v>
      </c>
      <c r="I198" s="273">
        <f>'d3'!J224</f>
        <v>0</v>
      </c>
      <c r="J198" s="196">
        <f>'d3'!K224</f>
        <v>0</v>
      </c>
      <c r="K198" s="139"/>
      <c r="L198" s="139"/>
      <c r="M198" s="139"/>
    </row>
    <row r="199" spans="1:13" ht="276" thickTop="1" thickBot="1" x14ac:dyDescent="0.25">
      <c r="A199" s="103" t="s">
        <v>189</v>
      </c>
      <c r="B199" s="103" t="s">
        <v>190</v>
      </c>
      <c r="C199" s="103" t="s">
        <v>185</v>
      </c>
      <c r="D199" s="103" t="s">
        <v>10</v>
      </c>
      <c r="E199" s="321" t="s">
        <v>1252</v>
      </c>
      <c r="F199" s="318" t="s">
        <v>1165</v>
      </c>
      <c r="G199" s="318">
        <f t="shared" si="26"/>
        <v>6931761</v>
      </c>
      <c r="H199" s="322">
        <f>'d3'!E226-H200</f>
        <v>5976842</v>
      </c>
      <c r="I199" s="460">
        <f>'d3'!J226-I200</f>
        <v>954919</v>
      </c>
      <c r="J199" s="318">
        <f>'d3'!K226-J200</f>
        <v>533719</v>
      </c>
      <c r="K199" s="139"/>
      <c r="L199" s="139"/>
      <c r="M199" s="139"/>
    </row>
    <row r="200" spans="1:13" ht="230.25" hidden="1" thickTop="1" thickBot="1" x14ac:dyDescent="0.25">
      <c r="A200" s="128" t="s">
        <v>189</v>
      </c>
      <c r="B200" s="128" t="s">
        <v>190</v>
      </c>
      <c r="C200" s="128" t="s">
        <v>185</v>
      </c>
      <c r="D200" s="128" t="s">
        <v>10</v>
      </c>
      <c r="E200" s="255" t="s">
        <v>1386</v>
      </c>
      <c r="F200" s="196" t="s">
        <v>450</v>
      </c>
      <c r="G200" s="196">
        <f t="shared" si="26"/>
        <v>0</v>
      </c>
      <c r="H200" s="256"/>
      <c r="I200" s="273"/>
      <c r="J200" s="196"/>
      <c r="K200" s="139"/>
      <c r="L200" s="139"/>
      <c r="M200" s="139"/>
    </row>
    <row r="201" spans="1:13" ht="276" thickTop="1" thickBot="1" x14ac:dyDescent="0.25">
      <c r="A201" s="103" t="s">
        <v>351</v>
      </c>
      <c r="B201" s="103" t="s">
        <v>352</v>
      </c>
      <c r="C201" s="103" t="s">
        <v>185</v>
      </c>
      <c r="D201" s="103" t="s">
        <v>353</v>
      </c>
      <c r="E201" s="321" t="s">
        <v>1252</v>
      </c>
      <c r="F201" s="318" t="s">
        <v>1165</v>
      </c>
      <c r="G201" s="318">
        <f t="shared" ref="G201:G205" si="27">H201+I201</f>
        <v>7296877</v>
      </c>
      <c r="H201" s="322">
        <f>'d3'!E227</f>
        <v>7296877</v>
      </c>
      <c r="I201" s="460">
        <f>'d3'!J227</f>
        <v>0</v>
      </c>
      <c r="J201" s="318">
        <f>'d3'!K227</f>
        <v>0</v>
      </c>
      <c r="K201" s="139"/>
      <c r="L201" s="139"/>
      <c r="M201" s="139"/>
    </row>
    <row r="202" spans="1:13" ht="276" thickTop="1" thickBot="1" x14ac:dyDescent="0.25">
      <c r="A202" s="103" t="s">
        <v>44</v>
      </c>
      <c r="B202" s="103" t="s">
        <v>186</v>
      </c>
      <c r="C202" s="103" t="s">
        <v>195</v>
      </c>
      <c r="D202" s="103" t="s">
        <v>45</v>
      </c>
      <c r="E202" s="321" t="s">
        <v>1252</v>
      </c>
      <c r="F202" s="318" t="s">
        <v>1165</v>
      </c>
      <c r="G202" s="318">
        <f t="shared" si="27"/>
        <v>31400000</v>
      </c>
      <c r="H202" s="318">
        <f>'d3'!E230</f>
        <v>31400000</v>
      </c>
      <c r="I202" s="460">
        <f>'d3'!J230</f>
        <v>0</v>
      </c>
      <c r="J202" s="318">
        <f>'d3'!K230</f>
        <v>0</v>
      </c>
      <c r="K202" s="139"/>
      <c r="L202" s="139"/>
      <c r="M202" s="139"/>
    </row>
    <row r="203" spans="1:13" ht="276" thickTop="1" thickBot="1" x14ac:dyDescent="0.25">
      <c r="A203" s="103" t="s">
        <v>46</v>
      </c>
      <c r="B203" s="103" t="s">
        <v>187</v>
      </c>
      <c r="C203" s="103" t="s">
        <v>195</v>
      </c>
      <c r="D203" s="103" t="s">
        <v>4</v>
      </c>
      <c r="E203" s="321" t="s">
        <v>1252</v>
      </c>
      <c r="F203" s="318" t="s">
        <v>1165</v>
      </c>
      <c r="G203" s="318">
        <f t="shared" si="27"/>
        <v>3849823</v>
      </c>
      <c r="H203" s="318">
        <f>'d3'!E231</f>
        <v>3849823</v>
      </c>
      <c r="I203" s="460">
        <f>'d3'!J231</f>
        <v>0</v>
      </c>
      <c r="J203" s="318">
        <f>'d3'!K231</f>
        <v>0</v>
      </c>
      <c r="K203" s="139"/>
      <c r="L203" s="139"/>
      <c r="M203" s="139"/>
    </row>
    <row r="204" spans="1:13" ht="276" thickTop="1" thickBot="1" x14ac:dyDescent="0.25">
      <c r="A204" s="103" t="s">
        <v>47</v>
      </c>
      <c r="B204" s="103" t="s">
        <v>188</v>
      </c>
      <c r="C204" s="103" t="s">
        <v>195</v>
      </c>
      <c r="D204" s="103" t="s">
        <v>349</v>
      </c>
      <c r="E204" s="321" t="s">
        <v>1252</v>
      </c>
      <c r="F204" s="318" t="s">
        <v>1165</v>
      </c>
      <c r="G204" s="318">
        <f t="shared" si="27"/>
        <v>41300</v>
      </c>
      <c r="H204" s="318">
        <f>'d3'!E233</f>
        <v>41300</v>
      </c>
      <c r="I204" s="460">
        <f>'d3'!J233</f>
        <v>0</v>
      </c>
      <c r="J204" s="318">
        <f>'d3'!K233</f>
        <v>0</v>
      </c>
      <c r="K204" s="139"/>
      <c r="L204" s="139"/>
      <c r="M204" s="139"/>
    </row>
    <row r="205" spans="1:13" ht="276" thickTop="1" thickBot="1" x14ac:dyDescent="0.25">
      <c r="A205" s="103" t="s">
        <v>28</v>
      </c>
      <c r="B205" s="103" t="s">
        <v>192</v>
      </c>
      <c r="C205" s="103" t="s">
        <v>195</v>
      </c>
      <c r="D205" s="103" t="s">
        <v>48</v>
      </c>
      <c r="E205" s="321" t="s">
        <v>1252</v>
      </c>
      <c r="F205" s="318" t="s">
        <v>1165</v>
      </c>
      <c r="G205" s="318">
        <f t="shared" si="27"/>
        <v>68467892</v>
      </c>
      <c r="H205" s="318">
        <f>'d3'!E235-H206</f>
        <v>64207440</v>
      </c>
      <c r="I205" s="460">
        <f>'d3'!J235-I206</f>
        <v>4260452</v>
      </c>
      <c r="J205" s="318">
        <f>'d3'!K235-J206</f>
        <v>2818210</v>
      </c>
      <c r="K205" s="139"/>
      <c r="L205" s="139"/>
      <c r="M205" s="139"/>
    </row>
    <row r="206" spans="1:13" ht="184.5" hidden="1" thickTop="1" thickBot="1" x14ac:dyDescent="0.25">
      <c r="A206" s="128" t="s">
        <v>28</v>
      </c>
      <c r="B206" s="128" t="s">
        <v>192</v>
      </c>
      <c r="C206" s="128" t="s">
        <v>195</v>
      </c>
      <c r="D206" s="128" t="s">
        <v>48</v>
      </c>
      <c r="E206" s="255" t="s">
        <v>449</v>
      </c>
      <c r="F206" s="151" t="s">
        <v>450</v>
      </c>
      <c r="G206" s="196">
        <f>H206+I206</f>
        <v>0</v>
      </c>
      <c r="H206" s="256">
        <v>0</v>
      </c>
      <c r="I206" s="196">
        <v>0</v>
      </c>
      <c r="J206" s="196">
        <v>0</v>
      </c>
      <c r="K206" s="139"/>
      <c r="L206" s="139"/>
      <c r="M206" s="139"/>
    </row>
    <row r="207" spans="1:13" ht="276" thickTop="1" thickBot="1" x14ac:dyDescent="0.25">
      <c r="A207" s="103" t="s">
        <v>29</v>
      </c>
      <c r="B207" s="103" t="s">
        <v>193</v>
      </c>
      <c r="C207" s="103" t="s">
        <v>195</v>
      </c>
      <c r="D207" s="103" t="s">
        <v>49</v>
      </c>
      <c r="E207" s="321" t="s">
        <v>1252</v>
      </c>
      <c r="F207" s="318" t="s">
        <v>1165</v>
      </c>
      <c r="G207" s="318">
        <f t="shared" ref="G207:G217" si="28">H207+I207</f>
        <v>6961691</v>
      </c>
      <c r="H207" s="318">
        <f>'d3'!E236</f>
        <v>6961691</v>
      </c>
      <c r="I207" s="460">
        <f>'d3'!J236</f>
        <v>0</v>
      </c>
      <c r="J207" s="318">
        <f>'d3'!K236</f>
        <v>0</v>
      </c>
      <c r="K207" s="139"/>
      <c r="L207" s="139"/>
      <c r="M207" s="139"/>
    </row>
    <row r="208" spans="1:13" ht="276" thickTop="1" thickBot="1" x14ac:dyDescent="0.25">
      <c r="A208" s="103" t="s">
        <v>1379</v>
      </c>
      <c r="B208" s="103" t="s">
        <v>1380</v>
      </c>
      <c r="C208" s="103" t="s">
        <v>195</v>
      </c>
      <c r="D208" s="103" t="s">
        <v>1381</v>
      </c>
      <c r="E208" s="321" t="s">
        <v>1252</v>
      </c>
      <c r="F208" s="318" t="s">
        <v>1165</v>
      </c>
      <c r="G208" s="318">
        <f t="shared" si="28"/>
        <v>93550</v>
      </c>
      <c r="H208" s="318">
        <f>'d3'!E238</f>
        <v>93550</v>
      </c>
      <c r="I208" s="460">
        <f>'d3'!J238</f>
        <v>0</v>
      </c>
      <c r="J208" s="460">
        <f>'d3'!K238</f>
        <v>0</v>
      </c>
      <c r="K208" s="139"/>
      <c r="L208" s="139"/>
      <c r="M208" s="139"/>
    </row>
    <row r="209" spans="1:13" ht="276" thickTop="1" thickBot="1" x14ac:dyDescent="0.25">
      <c r="A209" s="590" t="s">
        <v>30</v>
      </c>
      <c r="B209" s="590" t="s">
        <v>194</v>
      </c>
      <c r="C209" s="590" t="s">
        <v>195</v>
      </c>
      <c r="D209" s="103" t="s">
        <v>31</v>
      </c>
      <c r="E209" s="321" t="s">
        <v>1252</v>
      </c>
      <c r="F209" s="318" t="s">
        <v>1165</v>
      </c>
      <c r="G209" s="318">
        <f t="shared" si="28"/>
        <v>775354</v>
      </c>
      <c r="H209" s="318">
        <f>'d3'!E240</f>
        <v>775354</v>
      </c>
      <c r="I209" s="460">
        <f>'d3'!J240</f>
        <v>0</v>
      </c>
      <c r="J209" s="318">
        <f>'d3'!K240</f>
        <v>0</v>
      </c>
      <c r="K209" s="139"/>
      <c r="L209" s="139"/>
      <c r="M209" s="139"/>
    </row>
    <row r="210" spans="1:13" ht="276" thickTop="1" thickBot="1" x14ac:dyDescent="0.25">
      <c r="A210" s="590" t="s">
        <v>512</v>
      </c>
      <c r="B210" s="590" t="s">
        <v>510</v>
      </c>
      <c r="C210" s="590" t="s">
        <v>195</v>
      </c>
      <c r="D210" s="103" t="s">
        <v>511</v>
      </c>
      <c r="E210" s="321" t="s">
        <v>1252</v>
      </c>
      <c r="F210" s="318" t="s">
        <v>1165</v>
      </c>
      <c r="G210" s="318">
        <f t="shared" si="28"/>
        <v>5182225</v>
      </c>
      <c r="H210" s="318">
        <f>'d3'!E241</f>
        <v>5182225</v>
      </c>
      <c r="I210" s="460">
        <f>'d3'!J241</f>
        <v>0</v>
      </c>
      <c r="J210" s="460">
        <f>'d3'!K241</f>
        <v>0</v>
      </c>
      <c r="K210" s="139"/>
      <c r="L210" s="139"/>
      <c r="M210" s="139"/>
    </row>
    <row r="211" spans="1:13" ht="276" thickTop="1" thickBot="1" x14ac:dyDescent="0.25">
      <c r="A211" s="590" t="s">
        <v>32</v>
      </c>
      <c r="B211" s="590" t="s">
        <v>196</v>
      </c>
      <c r="C211" s="590" t="s">
        <v>195</v>
      </c>
      <c r="D211" s="103" t="s">
        <v>33</v>
      </c>
      <c r="E211" s="321" t="s">
        <v>1252</v>
      </c>
      <c r="F211" s="318" t="s">
        <v>1165</v>
      </c>
      <c r="G211" s="318">
        <f t="shared" si="28"/>
        <v>2163041</v>
      </c>
      <c r="H211" s="318">
        <f>'d3'!E242</f>
        <v>2113041</v>
      </c>
      <c r="I211" s="460">
        <f>'d3'!J242</f>
        <v>50000</v>
      </c>
      <c r="J211" s="318">
        <f>'d3'!K242</f>
        <v>0</v>
      </c>
      <c r="K211" s="139"/>
      <c r="L211" s="139"/>
      <c r="M211" s="139"/>
    </row>
    <row r="212" spans="1:13" ht="276" hidden="1" thickTop="1" thickBot="1" x14ac:dyDescent="0.25">
      <c r="A212" s="410" t="s">
        <v>342</v>
      </c>
      <c r="B212" s="410" t="s">
        <v>341</v>
      </c>
      <c r="C212" s="410" t="s">
        <v>340</v>
      </c>
      <c r="D212" s="128" t="s">
        <v>639</v>
      </c>
      <c r="E212" s="255" t="s">
        <v>1252</v>
      </c>
      <c r="F212" s="196" t="s">
        <v>1165</v>
      </c>
      <c r="G212" s="196">
        <f t="shared" si="28"/>
        <v>0</v>
      </c>
      <c r="H212" s="196">
        <f>'d3'!E245</f>
        <v>0</v>
      </c>
      <c r="I212" s="273">
        <f>'d3'!J245</f>
        <v>0</v>
      </c>
      <c r="J212" s="273">
        <f>'d3'!K245</f>
        <v>0</v>
      </c>
      <c r="K212" s="139"/>
      <c r="L212" s="139"/>
      <c r="M212" s="139"/>
    </row>
    <row r="213" spans="1:13" ht="276" hidden="1" thickTop="1" thickBot="1" x14ac:dyDescent="0.25">
      <c r="A213" s="128" t="s">
        <v>1101</v>
      </c>
      <c r="B213" s="128" t="s">
        <v>313</v>
      </c>
      <c r="C213" s="128" t="s">
        <v>304</v>
      </c>
      <c r="D213" s="128" t="s">
        <v>1237</v>
      </c>
      <c r="E213" s="255" t="s">
        <v>1252</v>
      </c>
      <c r="F213" s="196" t="s">
        <v>1165</v>
      </c>
      <c r="G213" s="196">
        <f t="shared" si="28"/>
        <v>0</v>
      </c>
      <c r="H213" s="196">
        <f>'d3'!E249</f>
        <v>0</v>
      </c>
      <c r="I213" s="273">
        <f>'d3'!J249</f>
        <v>0</v>
      </c>
      <c r="J213" s="273">
        <f>'d3'!K249</f>
        <v>0</v>
      </c>
      <c r="K213" s="139"/>
      <c r="L213" s="139"/>
      <c r="M213" s="139"/>
    </row>
    <row r="214" spans="1:13" ht="276" hidden="1" thickTop="1" thickBot="1" x14ac:dyDescent="0.25">
      <c r="A214" s="128" t="s">
        <v>1336</v>
      </c>
      <c r="B214" s="128" t="s">
        <v>212</v>
      </c>
      <c r="C214" s="128" t="s">
        <v>213</v>
      </c>
      <c r="D214" s="128" t="s">
        <v>41</v>
      </c>
      <c r="E214" s="255" t="s">
        <v>1252</v>
      </c>
      <c r="F214" s="196" t="s">
        <v>1165</v>
      </c>
      <c r="G214" s="196">
        <f t="shared" si="28"/>
        <v>0</v>
      </c>
      <c r="H214" s="196">
        <f>'d3'!E251</f>
        <v>0</v>
      </c>
      <c r="I214" s="273">
        <f>'d3'!J251</f>
        <v>0</v>
      </c>
      <c r="J214" s="273">
        <f>'d3'!K251</f>
        <v>0</v>
      </c>
      <c r="K214" s="139"/>
      <c r="L214" s="139"/>
      <c r="M214" s="139"/>
    </row>
    <row r="215" spans="1:13" ht="276" hidden="1" thickTop="1" thickBot="1" x14ac:dyDescent="0.25">
      <c r="A215" s="128" t="s">
        <v>607</v>
      </c>
      <c r="B215" s="128" t="s">
        <v>197</v>
      </c>
      <c r="C215" s="128" t="s">
        <v>170</v>
      </c>
      <c r="D215" s="128" t="s">
        <v>34</v>
      </c>
      <c r="E215" s="255" t="s">
        <v>1252</v>
      </c>
      <c r="F215" s="196" t="s">
        <v>1165</v>
      </c>
      <c r="G215" s="196">
        <f t="shared" ref="G215" si="29">H215+I215</f>
        <v>0</v>
      </c>
      <c r="H215" s="196">
        <f>'d3'!E252</f>
        <v>0</v>
      </c>
      <c r="I215" s="273">
        <f>'d3'!J252</f>
        <v>0</v>
      </c>
      <c r="J215" s="273">
        <f>'d3'!K252</f>
        <v>0</v>
      </c>
      <c r="K215" s="139"/>
      <c r="L215" s="139"/>
      <c r="M215" s="139"/>
    </row>
    <row r="216" spans="1:13" ht="276" hidden="1" thickTop="1" thickBot="1" x14ac:dyDescent="0.25">
      <c r="A216" s="410" t="s">
        <v>457</v>
      </c>
      <c r="B216" s="410" t="s">
        <v>459</v>
      </c>
      <c r="C216" s="410" t="s">
        <v>50</v>
      </c>
      <c r="D216" s="128" t="s">
        <v>456</v>
      </c>
      <c r="E216" s="255" t="s">
        <v>1252</v>
      </c>
      <c r="F216" s="196" t="s">
        <v>1165</v>
      </c>
      <c r="G216" s="196">
        <f t="shared" si="28"/>
        <v>0</v>
      </c>
      <c r="H216" s="196">
        <f>'d4'!F17</f>
        <v>0</v>
      </c>
      <c r="I216" s="273">
        <f>'d4'!G17</f>
        <v>0</v>
      </c>
      <c r="J216" s="273">
        <f>'d4'!H17</f>
        <v>0</v>
      </c>
      <c r="K216" s="139"/>
      <c r="L216" s="139"/>
      <c r="M216" s="139"/>
    </row>
    <row r="217" spans="1:13" ht="321.75" hidden="1" thickTop="1" thickBot="1" x14ac:dyDescent="0.25">
      <c r="A217" s="41" t="s">
        <v>1109</v>
      </c>
      <c r="B217" s="41" t="s">
        <v>363</v>
      </c>
      <c r="C217" s="41" t="s">
        <v>43</v>
      </c>
      <c r="D217" s="41" t="s">
        <v>364</v>
      </c>
      <c r="E217" s="258" t="s">
        <v>587</v>
      </c>
      <c r="F217" s="73" t="s">
        <v>408</v>
      </c>
      <c r="G217" s="73">
        <f t="shared" si="28"/>
        <v>0</v>
      </c>
      <c r="H217" s="73">
        <f>'d3'!E255</f>
        <v>0</v>
      </c>
      <c r="I217" s="274">
        <f>'d3'!J255</f>
        <v>0</v>
      </c>
      <c r="J217" s="274">
        <f>'d3'!K255</f>
        <v>0</v>
      </c>
      <c r="K217" s="139"/>
      <c r="L217" s="139"/>
      <c r="M217" s="139"/>
    </row>
    <row r="218" spans="1:13" ht="170.1" customHeight="1" thickTop="1" thickBot="1" x14ac:dyDescent="0.25">
      <c r="A218" s="661" t="s">
        <v>158</v>
      </c>
      <c r="B218" s="661"/>
      <c r="C218" s="661"/>
      <c r="D218" s="662" t="s">
        <v>561</v>
      </c>
      <c r="E218" s="661"/>
      <c r="F218" s="661"/>
      <c r="G218" s="664">
        <f>G219</f>
        <v>41378153</v>
      </c>
      <c r="H218" s="664">
        <f t="shared" ref="H218:J218" si="30">H219</f>
        <v>29694340</v>
      </c>
      <c r="I218" s="664">
        <f t="shared" si="30"/>
        <v>11683813</v>
      </c>
      <c r="J218" s="664">
        <f t="shared" si="30"/>
        <v>11683813</v>
      </c>
      <c r="K218" s="96" t="b">
        <f>H218='d3'!E256-'d3'!E259+'d7'!H220</f>
        <v>1</v>
      </c>
      <c r="L218" s="96" t="b">
        <f>I218='d3'!J256-'d3'!J259+I220</f>
        <v>1</v>
      </c>
      <c r="M218" s="96" t="b">
        <f>J218='d3'!K256-'d3'!K259+J220</f>
        <v>1</v>
      </c>
    </row>
    <row r="219" spans="1:13" ht="170.1" customHeight="1" thickTop="1" thickBot="1" x14ac:dyDescent="0.25">
      <c r="A219" s="658" t="s">
        <v>159</v>
      </c>
      <c r="B219" s="658"/>
      <c r="C219" s="658"/>
      <c r="D219" s="659" t="s">
        <v>562</v>
      </c>
      <c r="E219" s="660"/>
      <c r="F219" s="660"/>
      <c r="G219" s="660">
        <f>SUM(G220:G244)</f>
        <v>41378153</v>
      </c>
      <c r="H219" s="660">
        <f>SUM(H220:H244)</f>
        <v>29694340</v>
      </c>
      <c r="I219" s="660">
        <f>SUM(I220:I244)</f>
        <v>11683813</v>
      </c>
      <c r="J219" s="660">
        <f>SUM(J220:J244)</f>
        <v>11683813</v>
      </c>
      <c r="K219" s="139"/>
      <c r="L219" s="139"/>
      <c r="M219" s="139"/>
    </row>
    <row r="220" spans="1:13" ht="184.5" hidden="1" thickTop="1" thickBot="1" x14ac:dyDescent="0.25">
      <c r="A220" s="128" t="s">
        <v>421</v>
      </c>
      <c r="B220" s="128" t="s">
        <v>236</v>
      </c>
      <c r="C220" s="128" t="s">
        <v>234</v>
      </c>
      <c r="D220" s="128" t="s">
        <v>235</v>
      </c>
      <c r="E220" s="255" t="s">
        <v>1037</v>
      </c>
      <c r="F220" s="196" t="s">
        <v>857</v>
      </c>
      <c r="G220" s="196">
        <f t="shared" ref="G220:G284" si="31">H220+I220</f>
        <v>0</v>
      </c>
      <c r="H220" s="256">
        <v>0</v>
      </c>
      <c r="I220" s="273">
        <v>0</v>
      </c>
      <c r="J220" s="273">
        <v>0</v>
      </c>
      <c r="K220" s="139"/>
      <c r="L220" s="139"/>
      <c r="M220" s="139"/>
    </row>
    <row r="221" spans="1:13" ht="367.5" hidden="1" thickTop="1" thickBot="1" x14ac:dyDescent="0.25">
      <c r="A221" s="128" t="s">
        <v>627</v>
      </c>
      <c r="B221" s="128" t="s">
        <v>362</v>
      </c>
      <c r="C221" s="128" t="s">
        <v>625</v>
      </c>
      <c r="D221" s="128" t="s">
        <v>626</v>
      </c>
      <c r="E221" s="255" t="s">
        <v>1297</v>
      </c>
      <c r="F221" s="196" t="s">
        <v>1298</v>
      </c>
      <c r="G221" s="196">
        <f t="shared" si="31"/>
        <v>0</v>
      </c>
      <c r="H221" s="256">
        <f>'d3'!E260</f>
        <v>0</v>
      </c>
      <c r="I221" s="273">
        <v>0</v>
      </c>
      <c r="J221" s="273">
        <v>0</v>
      </c>
      <c r="K221" s="139"/>
      <c r="L221" s="139"/>
      <c r="M221" s="139"/>
    </row>
    <row r="222" spans="1:13" ht="230.25" thickTop="1" thickBot="1" x14ac:dyDescent="0.25">
      <c r="A222" s="343" t="s">
        <v>280</v>
      </c>
      <c r="B222" s="343" t="s">
        <v>281</v>
      </c>
      <c r="C222" s="343" t="s">
        <v>340</v>
      </c>
      <c r="D222" s="343" t="s">
        <v>282</v>
      </c>
      <c r="E222" s="321" t="s">
        <v>1234</v>
      </c>
      <c r="F222" s="318" t="s">
        <v>1170</v>
      </c>
      <c r="G222" s="327">
        <f t="shared" si="31"/>
        <v>110000</v>
      </c>
      <c r="H222" s="327">
        <v>110000</v>
      </c>
      <c r="I222" s="327">
        <f>(200000)-200000</f>
        <v>0</v>
      </c>
      <c r="J222" s="327">
        <f>(200000)-200000</f>
        <v>0</v>
      </c>
      <c r="K222" s="96" t="b">
        <f>H222+H223+H224='d3'!E264</f>
        <v>1</v>
      </c>
      <c r="L222" s="461" t="b">
        <f>I222+I223+I224='d3'!J264</f>
        <v>1</v>
      </c>
      <c r="M222" s="461" t="b">
        <f>J222+J223+J224='d3'!K264</f>
        <v>1</v>
      </c>
    </row>
    <row r="223" spans="1:13" ht="230.25" thickTop="1" thickBot="1" x14ac:dyDescent="0.25">
      <c r="A223" s="343" t="s">
        <v>280</v>
      </c>
      <c r="B223" s="343" t="s">
        <v>281</v>
      </c>
      <c r="C223" s="343" t="s">
        <v>340</v>
      </c>
      <c r="D223" s="343" t="s">
        <v>282</v>
      </c>
      <c r="E223" s="330" t="s">
        <v>1262</v>
      </c>
      <c r="F223" s="330" t="s">
        <v>585</v>
      </c>
      <c r="G223" s="327">
        <f t="shared" si="31"/>
        <v>8907413</v>
      </c>
      <c r="H223" s="322">
        <f>(1662200)+3431400</f>
        <v>5093600</v>
      </c>
      <c r="I223" s="460">
        <f>(1134400)+200000+896065+1583348</f>
        <v>3813813</v>
      </c>
      <c r="J223" s="460">
        <f>(1134400)+200000+896065+1583348</f>
        <v>3813813</v>
      </c>
      <c r="K223" s="139"/>
      <c r="L223" s="139"/>
      <c r="M223" s="139"/>
    </row>
    <row r="224" spans="1:13" ht="409.6" thickTop="1" thickBot="1" x14ac:dyDescent="0.25">
      <c r="A224" s="343" t="s">
        <v>280</v>
      </c>
      <c r="B224" s="343" t="s">
        <v>281</v>
      </c>
      <c r="C224" s="343" t="s">
        <v>340</v>
      </c>
      <c r="D224" s="343" t="s">
        <v>282</v>
      </c>
      <c r="E224" s="318" t="s">
        <v>1390</v>
      </c>
      <c r="F224" s="318" t="s">
        <v>859</v>
      </c>
      <c r="G224" s="318">
        <f t="shared" si="31"/>
        <v>1500000</v>
      </c>
      <c r="H224" s="322">
        <v>1500000</v>
      </c>
      <c r="I224" s="460">
        <v>0</v>
      </c>
      <c r="J224" s="460">
        <v>0</v>
      </c>
      <c r="K224" s="139"/>
      <c r="L224" s="139"/>
      <c r="M224" s="139"/>
    </row>
    <row r="225" spans="1:13" ht="230.25" thickTop="1" thickBot="1" x14ac:dyDescent="0.25">
      <c r="A225" s="103" t="s">
        <v>301</v>
      </c>
      <c r="B225" s="103" t="s">
        <v>302</v>
      </c>
      <c r="C225" s="103" t="s">
        <v>283</v>
      </c>
      <c r="D225" s="103" t="s">
        <v>303</v>
      </c>
      <c r="E225" s="321" t="s">
        <v>1234</v>
      </c>
      <c r="F225" s="318" t="s">
        <v>1170</v>
      </c>
      <c r="G225" s="318">
        <f t="shared" si="31"/>
        <v>5000000</v>
      </c>
      <c r="H225" s="322">
        <f>'d3'!E265</f>
        <v>0</v>
      </c>
      <c r="I225" s="460">
        <f>'d3'!J265</f>
        <v>5000000</v>
      </c>
      <c r="J225" s="460">
        <f>'d3'!K265</f>
        <v>5000000</v>
      </c>
      <c r="K225" s="139"/>
      <c r="L225" s="139"/>
      <c r="M225" s="139"/>
    </row>
    <row r="226" spans="1:13" ht="230.25" hidden="1" thickTop="1" thickBot="1" x14ac:dyDescent="0.25">
      <c r="A226" s="369" t="s">
        <v>284</v>
      </c>
      <c r="B226" s="369" t="s">
        <v>285</v>
      </c>
      <c r="C226" s="369" t="s">
        <v>283</v>
      </c>
      <c r="D226" s="369" t="s">
        <v>466</v>
      </c>
      <c r="E226" s="255" t="s">
        <v>1234</v>
      </c>
      <c r="F226" s="196" t="s">
        <v>1170</v>
      </c>
      <c r="G226" s="196">
        <f t="shared" si="31"/>
        <v>0</v>
      </c>
      <c r="H226" s="453">
        <f>2500000-2500000</f>
        <v>0</v>
      </c>
      <c r="I226" s="273">
        <f>2800000-2800000</f>
        <v>0</v>
      </c>
      <c r="J226" s="273">
        <f>2800000-2800000</f>
        <v>0</v>
      </c>
      <c r="K226" s="139"/>
      <c r="L226" s="139"/>
      <c r="M226" s="139"/>
    </row>
    <row r="227" spans="1:13" ht="230.25" hidden="1" thickTop="1" thickBot="1" x14ac:dyDescent="0.25">
      <c r="A227" s="369" t="s">
        <v>284</v>
      </c>
      <c r="B227" s="369" t="s">
        <v>285</v>
      </c>
      <c r="C227" s="369" t="s">
        <v>283</v>
      </c>
      <c r="D227" s="369" t="s">
        <v>466</v>
      </c>
      <c r="E227" s="255" t="s">
        <v>1386</v>
      </c>
      <c r="F227" s="196" t="s">
        <v>450</v>
      </c>
      <c r="G227" s="196">
        <f t="shared" si="31"/>
        <v>0</v>
      </c>
      <c r="H227" s="453">
        <f>'d3'!E266-H226</f>
        <v>0</v>
      </c>
      <c r="I227" s="273">
        <f>'d3'!J266-I226</f>
        <v>0</v>
      </c>
      <c r="J227" s="273">
        <f>'d3'!K266-J226</f>
        <v>0</v>
      </c>
      <c r="K227" s="139"/>
      <c r="L227" s="139"/>
      <c r="M227" s="139"/>
    </row>
    <row r="228" spans="1:13" ht="230.25" thickTop="1" thickBot="1" x14ac:dyDescent="0.25">
      <c r="A228" s="103" t="s">
        <v>929</v>
      </c>
      <c r="B228" s="103" t="s">
        <v>297</v>
      </c>
      <c r="C228" s="103" t="s">
        <v>283</v>
      </c>
      <c r="D228" s="103" t="s">
        <v>298</v>
      </c>
      <c r="E228" s="321" t="s">
        <v>1408</v>
      </c>
      <c r="F228" s="318" t="s">
        <v>1350</v>
      </c>
      <c r="G228" s="318">
        <f t="shared" ref="G228:G234" si="32">H228+I228</f>
        <v>500000</v>
      </c>
      <c r="H228" s="322">
        <f>'d3'!E267-H230-H229</f>
        <v>500000</v>
      </c>
      <c r="I228" s="460">
        <f>'d3'!J267-I230-I229</f>
        <v>0</v>
      </c>
      <c r="J228" s="460">
        <f>'d3'!K267-J230-J229</f>
        <v>0</v>
      </c>
      <c r="K228" s="139"/>
      <c r="L228" s="139"/>
      <c r="M228" s="139"/>
    </row>
    <row r="229" spans="1:13" ht="230.25" thickTop="1" thickBot="1" x14ac:dyDescent="0.25">
      <c r="A229" s="103" t="s">
        <v>929</v>
      </c>
      <c r="B229" s="103" t="s">
        <v>297</v>
      </c>
      <c r="C229" s="103" t="s">
        <v>283</v>
      </c>
      <c r="D229" s="103" t="s">
        <v>298</v>
      </c>
      <c r="E229" s="321" t="s">
        <v>1608</v>
      </c>
      <c r="F229" s="318" t="s">
        <v>1609</v>
      </c>
      <c r="G229" s="318">
        <f t="shared" si="32"/>
        <v>840000</v>
      </c>
      <c r="H229" s="322">
        <f>399000+21000+420000</f>
        <v>840000</v>
      </c>
      <c r="I229" s="460">
        <v>0</v>
      </c>
      <c r="J229" s="460">
        <v>0</v>
      </c>
      <c r="K229" s="139"/>
      <c r="L229" s="139"/>
      <c r="M229" s="139"/>
    </row>
    <row r="230" spans="1:13" ht="409.6" thickTop="1" thickBot="1" x14ac:dyDescent="0.25">
      <c r="A230" s="103" t="s">
        <v>929</v>
      </c>
      <c r="B230" s="103" t="s">
        <v>297</v>
      </c>
      <c r="C230" s="103" t="s">
        <v>283</v>
      </c>
      <c r="D230" s="103" t="s">
        <v>298</v>
      </c>
      <c r="E230" s="318" t="s">
        <v>1390</v>
      </c>
      <c r="F230" s="318" t="s">
        <v>859</v>
      </c>
      <c r="G230" s="318">
        <f t="shared" si="32"/>
        <v>5000000</v>
      </c>
      <c r="H230" s="322">
        <v>5000000</v>
      </c>
      <c r="I230" s="460">
        <v>0</v>
      </c>
      <c r="J230" s="460">
        <v>0</v>
      </c>
      <c r="K230" s="139"/>
      <c r="L230" s="139"/>
      <c r="M230" s="139"/>
    </row>
    <row r="231" spans="1:13" ht="230.25" thickTop="1" thickBot="1" x14ac:dyDescent="0.25">
      <c r="A231" s="103" t="s">
        <v>288</v>
      </c>
      <c r="B231" s="103" t="s">
        <v>289</v>
      </c>
      <c r="C231" s="103" t="s">
        <v>283</v>
      </c>
      <c r="D231" s="103" t="s">
        <v>290</v>
      </c>
      <c r="E231" s="321" t="s">
        <v>1234</v>
      </c>
      <c r="F231" s="318" t="s">
        <v>1170</v>
      </c>
      <c r="G231" s="318">
        <f t="shared" si="31"/>
        <v>8270000</v>
      </c>
      <c r="H231" s="322">
        <f>'d3'!E268</f>
        <v>8000000</v>
      </c>
      <c r="I231" s="460">
        <f>'d3'!J268</f>
        <v>270000</v>
      </c>
      <c r="J231" s="460">
        <f>'d3'!K268</f>
        <v>270000</v>
      </c>
      <c r="K231" s="139"/>
      <c r="L231" s="139"/>
      <c r="M231" s="139"/>
    </row>
    <row r="232" spans="1:13" ht="230.25" thickTop="1" thickBot="1" x14ac:dyDescent="0.25">
      <c r="A232" s="103" t="s">
        <v>1261</v>
      </c>
      <c r="B232" s="103" t="s">
        <v>1149</v>
      </c>
      <c r="C232" s="103" t="s">
        <v>1150</v>
      </c>
      <c r="D232" s="103" t="s">
        <v>1147</v>
      </c>
      <c r="E232" s="321" t="s">
        <v>1234</v>
      </c>
      <c r="F232" s="318" t="s">
        <v>1170</v>
      </c>
      <c r="G232" s="318">
        <f t="shared" si="32"/>
        <v>2049000</v>
      </c>
      <c r="H232" s="348">
        <f>'d3'!E269-H234-H233</f>
        <v>2049000</v>
      </c>
      <c r="I232" s="463">
        <f>'d3'!J269-I234-I233</f>
        <v>0</v>
      </c>
      <c r="J232" s="463">
        <f>'d3'!K269-J234-J233</f>
        <v>0</v>
      </c>
      <c r="K232" s="139"/>
      <c r="L232" s="139"/>
      <c r="M232" s="139"/>
    </row>
    <row r="233" spans="1:13" ht="321.75" hidden="1" thickTop="1" thickBot="1" x14ac:dyDescent="0.25">
      <c r="A233" s="128" t="s">
        <v>1261</v>
      </c>
      <c r="B233" s="128" t="s">
        <v>1149</v>
      </c>
      <c r="C233" s="128" t="s">
        <v>1150</v>
      </c>
      <c r="D233" s="128" t="s">
        <v>1147</v>
      </c>
      <c r="E233" s="255" t="s">
        <v>1285</v>
      </c>
      <c r="F233" s="196" t="s">
        <v>1286</v>
      </c>
      <c r="G233" s="196">
        <f t="shared" si="32"/>
        <v>0</v>
      </c>
      <c r="H233" s="275"/>
      <c r="I233" s="276"/>
      <c r="J233" s="276"/>
      <c r="K233" s="139"/>
      <c r="L233" s="139"/>
      <c r="M233" s="139"/>
    </row>
    <row r="234" spans="1:13" ht="321.75" hidden="1" thickTop="1" thickBot="1" x14ac:dyDescent="0.25">
      <c r="A234" s="128" t="s">
        <v>1261</v>
      </c>
      <c r="B234" s="128" t="s">
        <v>1149</v>
      </c>
      <c r="C234" s="128" t="s">
        <v>1150</v>
      </c>
      <c r="D234" s="128" t="s">
        <v>1147</v>
      </c>
      <c r="E234" s="255" t="s">
        <v>1454</v>
      </c>
      <c r="F234" s="196" t="s">
        <v>1455</v>
      </c>
      <c r="G234" s="196">
        <f t="shared" si="32"/>
        <v>0</v>
      </c>
      <c r="H234" s="275"/>
      <c r="I234" s="276">
        <v>0</v>
      </c>
      <c r="J234" s="276">
        <v>0</v>
      </c>
      <c r="K234" s="139"/>
      <c r="L234" s="139"/>
      <c r="M234" s="139"/>
    </row>
    <row r="235" spans="1:13" ht="276" thickTop="1" thickBot="1" x14ac:dyDescent="0.25">
      <c r="A235" s="103" t="s">
        <v>1146</v>
      </c>
      <c r="B235" s="103" t="s">
        <v>305</v>
      </c>
      <c r="C235" s="103" t="s">
        <v>304</v>
      </c>
      <c r="D235" s="103" t="s">
        <v>1502</v>
      </c>
      <c r="E235" s="321" t="s">
        <v>1351</v>
      </c>
      <c r="F235" s="318" t="s">
        <v>1352</v>
      </c>
      <c r="G235" s="318">
        <f t="shared" si="31"/>
        <v>500000</v>
      </c>
      <c r="H235" s="348">
        <f>'d3'!E272-H237-H236</f>
        <v>0</v>
      </c>
      <c r="I235" s="463">
        <f>'d3'!J272-I237-I236</f>
        <v>500000</v>
      </c>
      <c r="J235" s="463">
        <f>'d3'!K272-J237-J236</f>
        <v>500000</v>
      </c>
      <c r="K235" s="139"/>
      <c r="L235" s="139"/>
      <c r="M235" s="139"/>
    </row>
    <row r="236" spans="1:13" ht="409.6" thickTop="1" thickBot="1" x14ac:dyDescent="0.25">
      <c r="A236" s="103" t="s">
        <v>1146</v>
      </c>
      <c r="B236" s="103" t="s">
        <v>305</v>
      </c>
      <c r="C236" s="103" t="s">
        <v>304</v>
      </c>
      <c r="D236" s="103" t="s">
        <v>1502</v>
      </c>
      <c r="E236" s="318" t="s">
        <v>1390</v>
      </c>
      <c r="F236" s="318" t="s">
        <v>859</v>
      </c>
      <c r="G236" s="318">
        <f t="shared" si="31"/>
        <v>500000</v>
      </c>
      <c r="H236" s="348">
        <v>0</v>
      </c>
      <c r="I236" s="463">
        <f>(300000)+200000</f>
        <v>500000</v>
      </c>
      <c r="J236" s="463">
        <f>(300000)+200000</f>
        <v>500000</v>
      </c>
      <c r="K236" s="139"/>
      <c r="L236" s="139"/>
      <c r="M236" s="139"/>
    </row>
    <row r="237" spans="1:13" ht="230.25" hidden="1" thickTop="1" thickBot="1" x14ac:dyDescent="0.25">
      <c r="A237" s="128" t="s">
        <v>1146</v>
      </c>
      <c r="B237" s="128" t="s">
        <v>305</v>
      </c>
      <c r="C237" s="128" t="s">
        <v>304</v>
      </c>
      <c r="D237" s="128" t="s">
        <v>1495</v>
      </c>
      <c r="E237" s="255" t="s">
        <v>1234</v>
      </c>
      <c r="F237" s="196" t="s">
        <v>1170</v>
      </c>
      <c r="G237" s="196">
        <f t="shared" si="31"/>
        <v>0</v>
      </c>
      <c r="H237" s="275">
        <v>0</v>
      </c>
      <c r="I237" s="276">
        <v>0</v>
      </c>
      <c r="J237" s="276">
        <v>0</v>
      </c>
      <c r="K237" s="139"/>
      <c r="L237" s="139"/>
      <c r="M237" s="139"/>
    </row>
    <row r="238" spans="1:13" ht="184.5" thickTop="1" thickBot="1" x14ac:dyDescent="0.25">
      <c r="A238" s="103" t="s">
        <v>296</v>
      </c>
      <c r="B238" s="103" t="s">
        <v>212</v>
      </c>
      <c r="C238" s="103" t="s">
        <v>213</v>
      </c>
      <c r="D238" s="103" t="s">
        <v>41</v>
      </c>
      <c r="E238" s="321" t="s">
        <v>1488</v>
      </c>
      <c r="F238" s="318" t="s">
        <v>1489</v>
      </c>
      <c r="G238" s="327">
        <f>H238+I238</f>
        <v>3674517</v>
      </c>
      <c r="H238" s="327">
        <f>(2000000)+1674517</f>
        <v>3674517</v>
      </c>
      <c r="I238" s="327">
        <v>0</v>
      </c>
      <c r="J238" s="327">
        <v>0</v>
      </c>
      <c r="K238" s="96" t="b">
        <f>H238='d3'!E274</f>
        <v>1</v>
      </c>
      <c r="L238" s="465" t="b">
        <f>I238='d3'!J274</f>
        <v>1</v>
      </c>
      <c r="M238" s="465" t="b">
        <f>J238='d3'!K274</f>
        <v>1</v>
      </c>
    </row>
    <row r="239" spans="1:13" ht="230.25" thickTop="1" thickBot="1" x14ac:dyDescent="0.25">
      <c r="A239" s="103" t="s">
        <v>918</v>
      </c>
      <c r="B239" s="103" t="s">
        <v>197</v>
      </c>
      <c r="C239" s="103" t="s">
        <v>170</v>
      </c>
      <c r="D239" s="103" t="s">
        <v>34</v>
      </c>
      <c r="E239" s="321" t="s">
        <v>1234</v>
      </c>
      <c r="F239" s="318" t="s">
        <v>1170</v>
      </c>
      <c r="G239" s="318">
        <f t="shared" si="31"/>
        <v>1300000</v>
      </c>
      <c r="H239" s="322">
        <f>'d3'!E275-H240</f>
        <v>0</v>
      </c>
      <c r="I239" s="460">
        <f>'d3'!J275-I240</f>
        <v>1300000</v>
      </c>
      <c r="J239" s="460">
        <f>'d3'!K275-J240</f>
        <v>1300000</v>
      </c>
      <c r="K239" s="139"/>
      <c r="L239" s="139"/>
      <c r="M239" s="139"/>
    </row>
    <row r="240" spans="1:13" ht="230.25" thickTop="1" thickBot="1" x14ac:dyDescent="0.25">
      <c r="A240" s="103" t="s">
        <v>918</v>
      </c>
      <c r="B240" s="103" t="s">
        <v>197</v>
      </c>
      <c r="C240" s="103" t="s">
        <v>170</v>
      </c>
      <c r="D240" s="103" t="s">
        <v>34</v>
      </c>
      <c r="E240" s="464" t="s">
        <v>1408</v>
      </c>
      <c r="F240" s="318" t="s">
        <v>1350</v>
      </c>
      <c r="G240" s="318">
        <f t="shared" si="31"/>
        <v>300000</v>
      </c>
      <c r="H240" s="348">
        <v>0</v>
      </c>
      <c r="I240" s="463">
        <v>300000</v>
      </c>
      <c r="J240" s="463">
        <v>300000</v>
      </c>
      <c r="K240" s="139"/>
      <c r="L240" s="139"/>
      <c r="M240" s="139"/>
    </row>
    <row r="241" spans="1:13" ht="321.75" hidden="1" customHeight="1" thickTop="1" thickBot="1" x14ac:dyDescent="0.7">
      <c r="A241" s="797" t="s">
        <v>424</v>
      </c>
      <c r="B241" s="797" t="s">
        <v>338</v>
      </c>
      <c r="C241" s="797" t="s">
        <v>170</v>
      </c>
      <c r="D241" s="400" t="s">
        <v>440</v>
      </c>
      <c r="E241" s="910" t="s">
        <v>1282</v>
      </c>
      <c r="F241" s="910" t="s">
        <v>1283</v>
      </c>
      <c r="G241" s="898">
        <f t="shared" si="31"/>
        <v>0</v>
      </c>
      <c r="H241" s="898">
        <f>'d3'!E277</f>
        <v>0</v>
      </c>
      <c r="I241" s="898">
        <f>'d3'!J277</f>
        <v>0</v>
      </c>
      <c r="J241" s="898">
        <f>'d3'!K277</f>
        <v>0</v>
      </c>
      <c r="K241" s="139"/>
      <c r="L241" s="139"/>
      <c r="M241" s="139"/>
    </row>
    <row r="242" spans="1:13" ht="184.5" hidden="1" thickTop="1" thickBot="1" x14ac:dyDescent="0.25">
      <c r="A242" s="805"/>
      <c r="B242" s="805"/>
      <c r="C242" s="805"/>
      <c r="D242" s="401" t="s">
        <v>441</v>
      </c>
      <c r="E242" s="780"/>
      <c r="F242" s="780"/>
      <c r="G242" s="900"/>
      <c r="H242" s="900"/>
      <c r="I242" s="900"/>
      <c r="J242" s="900"/>
      <c r="K242" s="139"/>
      <c r="L242" s="139"/>
      <c r="M242" s="139"/>
    </row>
    <row r="243" spans="1:13" ht="409.6" thickTop="1" thickBot="1" x14ac:dyDescent="0.25">
      <c r="A243" s="103" t="s">
        <v>1501</v>
      </c>
      <c r="B243" s="103" t="s">
        <v>518</v>
      </c>
      <c r="C243" s="103" t="s">
        <v>251</v>
      </c>
      <c r="D243" s="103" t="s">
        <v>519</v>
      </c>
      <c r="E243" s="318" t="s">
        <v>1390</v>
      </c>
      <c r="F243" s="318" t="s">
        <v>859</v>
      </c>
      <c r="G243" s="318">
        <f t="shared" si="31"/>
        <v>2927223</v>
      </c>
      <c r="H243" s="348">
        <f>'d3'!E281</f>
        <v>2927223</v>
      </c>
      <c r="I243" s="463">
        <f>'d3'!J281</f>
        <v>0</v>
      </c>
      <c r="J243" s="463">
        <f>'d3'!K281</f>
        <v>0</v>
      </c>
      <c r="K243" s="139"/>
      <c r="L243" s="139"/>
      <c r="M243" s="139"/>
    </row>
    <row r="244" spans="1:13" ht="409.6" hidden="1" thickTop="1" thickBot="1" x14ac:dyDescent="0.25">
      <c r="A244" s="128" t="s">
        <v>1232</v>
      </c>
      <c r="B244" s="128" t="s">
        <v>1213</v>
      </c>
      <c r="C244" s="128" t="s">
        <v>1188</v>
      </c>
      <c r="D244" s="128" t="s">
        <v>1214</v>
      </c>
      <c r="E244" s="196" t="s">
        <v>1211</v>
      </c>
      <c r="F244" s="196" t="s">
        <v>859</v>
      </c>
      <c r="G244" s="269">
        <f>H244+I244</f>
        <v>0</v>
      </c>
      <c r="H244" s="275">
        <f>'d3'!E283</f>
        <v>0</v>
      </c>
      <c r="I244" s="276">
        <f>'d3'!J283</f>
        <v>0</v>
      </c>
      <c r="J244" s="276">
        <f>'d3'!K283</f>
        <v>0</v>
      </c>
      <c r="K244" s="139"/>
      <c r="L244" s="139"/>
      <c r="M244" s="139"/>
    </row>
    <row r="245" spans="1:13" ht="170.1" customHeight="1" thickTop="1" thickBot="1" x14ac:dyDescent="0.25">
      <c r="A245" s="661" t="s">
        <v>540</v>
      </c>
      <c r="B245" s="661"/>
      <c r="C245" s="661"/>
      <c r="D245" s="662" t="s">
        <v>559</v>
      </c>
      <c r="E245" s="661"/>
      <c r="F245" s="661"/>
      <c r="G245" s="664">
        <f>H245+I245</f>
        <v>420935853</v>
      </c>
      <c r="H245" s="664">
        <f>H246</f>
        <v>390224694</v>
      </c>
      <c r="I245" s="664">
        <f>I246</f>
        <v>30711159</v>
      </c>
      <c r="J245" s="664">
        <f>J246</f>
        <v>30711159</v>
      </c>
      <c r="K245" s="96" t="b">
        <f>H245='d3'!E285-'d3'!E287+'d7'!H247</f>
        <v>1</v>
      </c>
      <c r="L245" s="96" t="b">
        <f>I245='d3'!J285-'d3'!J287+'d7'!I247</f>
        <v>1</v>
      </c>
      <c r="M245" s="96" t="b">
        <f>J245='d3'!K285-'d3'!K287+'d7'!J247</f>
        <v>1</v>
      </c>
    </row>
    <row r="246" spans="1:13" ht="170.1" customHeight="1" thickTop="1" thickBot="1" x14ac:dyDescent="0.25">
      <c r="A246" s="658" t="s">
        <v>541</v>
      </c>
      <c r="B246" s="658"/>
      <c r="C246" s="658"/>
      <c r="D246" s="659" t="s">
        <v>560</v>
      </c>
      <c r="E246" s="660"/>
      <c r="F246" s="660"/>
      <c r="G246" s="660">
        <f>SUM(G247:G284)</f>
        <v>420935853</v>
      </c>
      <c r="H246" s="660">
        <f>SUM(H247:H284)</f>
        <v>390224694</v>
      </c>
      <c r="I246" s="660">
        <f>SUM(I247:I284)</f>
        <v>30711159</v>
      </c>
      <c r="J246" s="660">
        <f>SUM(J247:J284)</f>
        <v>30711159</v>
      </c>
      <c r="K246" s="277"/>
      <c r="L246" s="139"/>
      <c r="M246" s="139"/>
    </row>
    <row r="247" spans="1:13" ht="184.5" thickTop="1" thickBot="1" x14ac:dyDescent="0.25">
      <c r="A247" s="103" t="s">
        <v>542</v>
      </c>
      <c r="B247" s="103" t="s">
        <v>236</v>
      </c>
      <c r="C247" s="103" t="s">
        <v>234</v>
      </c>
      <c r="D247" s="103" t="s">
        <v>235</v>
      </c>
      <c r="E247" s="321" t="s">
        <v>1037</v>
      </c>
      <c r="F247" s="318" t="s">
        <v>857</v>
      </c>
      <c r="G247" s="318">
        <f t="shared" si="31"/>
        <v>39000</v>
      </c>
      <c r="H247" s="318">
        <v>0</v>
      </c>
      <c r="I247" s="318">
        <v>39000</v>
      </c>
      <c r="J247" s="318">
        <v>39000</v>
      </c>
      <c r="K247" s="139"/>
      <c r="L247" s="139"/>
      <c r="M247" s="139"/>
    </row>
    <row r="248" spans="1:13" ht="367.5" hidden="1" thickTop="1" thickBot="1" x14ac:dyDescent="0.25">
      <c r="A248" s="128" t="s">
        <v>629</v>
      </c>
      <c r="B248" s="128" t="s">
        <v>362</v>
      </c>
      <c r="C248" s="128" t="s">
        <v>625</v>
      </c>
      <c r="D248" s="128" t="s">
        <v>626</v>
      </c>
      <c r="E248" s="255" t="s">
        <v>1176</v>
      </c>
      <c r="F248" s="196" t="s">
        <v>1177</v>
      </c>
      <c r="G248" s="196">
        <f t="shared" ref="G248" si="33">H248+I248</f>
        <v>0</v>
      </c>
      <c r="H248" s="256">
        <f>'d3'!E288</f>
        <v>0</v>
      </c>
      <c r="I248" s="273">
        <v>0</v>
      </c>
      <c r="J248" s="273">
        <v>0</v>
      </c>
      <c r="K248" s="139"/>
      <c r="L248" s="139"/>
      <c r="M248" s="139"/>
    </row>
    <row r="249" spans="1:13" ht="230.25" hidden="1" thickTop="1" thickBot="1" x14ac:dyDescent="0.25">
      <c r="A249" s="128" t="s">
        <v>543</v>
      </c>
      <c r="B249" s="128" t="s">
        <v>43</v>
      </c>
      <c r="C249" s="128" t="s">
        <v>42</v>
      </c>
      <c r="D249" s="128" t="s">
        <v>248</v>
      </c>
      <c r="E249" s="255" t="s">
        <v>1234</v>
      </c>
      <c r="F249" s="196" t="s">
        <v>1170</v>
      </c>
      <c r="G249" s="196">
        <f t="shared" si="31"/>
        <v>0</v>
      </c>
      <c r="H249" s="196">
        <f>'d3'!E289</f>
        <v>0</v>
      </c>
      <c r="I249" s="196">
        <f>'d3'!J289</f>
        <v>0</v>
      </c>
      <c r="J249" s="196">
        <f>'d3'!K289</f>
        <v>0</v>
      </c>
      <c r="K249" s="139"/>
      <c r="L249" s="139"/>
      <c r="M249" s="139"/>
    </row>
    <row r="250" spans="1:13" ht="205.5" customHeight="1" thickTop="1" thickBot="1" x14ac:dyDescent="0.25">
      <c r="A250" s="103" t="s">
        <v>544</v>
      </c>
      <c r="B250" s="103" t="s">
        <v>376</v>
      </c>
      <c r="C250" s="103" t="s">
        <v>283</v>
      </c>
      <c r="D250" s="103" t="s">
        <v>377</v>
      </c>
      <c r="E250" s="321" t="s">
        <v>1413</v>
      </c>
      <c r="F250" s="318" t="s">
        <v>1353</v>
      </c>
      <c r="G250" s="318">
        <f t="shared" si="31"/>
        <v>50000000</v>
      </c>
      <c r="H250" s="322">
        <f>'d3'!E292</f>
        <v>50000000</v>
      </c>
      <c r="I250" s="318">
        <f>'d3'!J292</f>
        <v>0</v>
      </c>
      <c r="J250" s="318">
        <f>'d3'!K292</f>
        <v>0</v>
      </c>
      <c r="K250" s="139"/>
      <c r="L250" s="139"/>
      <c r="M250" s="139"/>
    </row>
    <row r="251" spans="1:13" ht="230.25" thickTop="1" thickBot="1" x14ac:dyDescent="0.25">
      <c r="A251" s="103" t="s">
        <v>545</v>
      </c>
      <c r="B251" s="103" t="s">
        <v>286</v>
      </c>
      <c r="C251" s="103" t="s">
        <v>283</v>
      </c>
      <c r="D251" s="103" t="s">
        <v>287</v>
      </c>
      <c r="E251" s="321" t="s">
        <v>1234</v>
      </c>
      <c r="F251" s="318" t="s">
        <v>1170</v>
      </c>
      <c r="G251" s="318">
        <f t="shared" si="31"/>
        <v>953993</v>
      </c>
      <c r="H251" s="322">
        <v>0</v>
      </c>
      <c r="I251" s="460">
        <f>'d3'!J293</f>
        <v>953993</v>
      </c>
      <c r="J251" s="460">
        <f>'d3'!K293</f>
        <v>953993</v>
      </c>
      <c r="K251" s="96" t="b">
        <f>'d3'!E293='d7'!H251+'d7'!H252</f>
        <v>1</v>
      </c>
      <c r="L251" s="96" t="b">
        <f>'d3'!J293='d7'!I251+'d7'!I252</f>
        <v>1</v>
      </c>
      <c r="M251" s="96" t="b">
        <f>'d3'!K293='d7'!J251+'d7'!J252</f>
        <v>1</v>
      </c>
    </row>
    <row r="252" spans="1:13" ht="184.5" thickTop="1" thickBot="1" x14ac:dyDescent="0.25">
      <c r="A252" s="103" t="s">
        <v>545</v>
      </c>
      <c r="B252" s="103" t="s">
        <v>286</v>
      </c>
      <c r="C252" s="103" t="s">
        <v>283</v>
      </c>
      <c r="D252" s="103" t="s">
        <v>287</v>
      </c>
      <c r="E252" s="321" t="s">
        <v>1409</v>
      </c>
      <c r="F252" s="318" t="s">
        <v>1354</v>
      </c>
      <c r="G252" s="318">
        <f t="shared" si="31"/>
        <v>25550000</v>
      </c>
      <c r="H252" s="322">
        <f>(10550000)+15000000</f>
        <v>25550000</v>
      </c>
      <c r="I252" s="460">
        <v>0</v>
      </c>
      <c r="J252" s="460">
        <v>0</v>
      </c>
      <c r="K252" s="139"/>
      <c r="L252" s="139"/>
      <c r="M252" s="139"/>
    </row>
    <row r="253" spans="1:13" ht="184.5" hidden="1" thickTop="1" thickBot="1" x14ac:dyDescent="0.25">
      <c r="A253" s="128" t="s">
        <v>1410</v>
      </c>
      <c r="B253" s="128" t="s">
        <v>1411</v>
      </c>
      <c r="C253" s="128" t="s">
        <v>283</v>
      </c>
      <c r="D253" s="128" t="s">
        <v>1412</v>
      </c>
      <c r="E253" s="255" t="s">
        <v>1409</v>
      </c>
      <c r="F253" s="196" t="s">
        <v>1354</v>
      </c>
      <c r="G253" s="196">
        <f t="shared" si="31"/>
        <v>0</v>
      </c>
      <c r="H253" s="256">
        <f>'d3'!E294</f>
        <v>0</v>
      </c>
      <c r="I253" s="273">
        <v>0</v>
      </c>
      <c r="J253" s="273">
        <v>0</v>
      </c>
      <c r="K253" s="139"/>
      <c r="L253" s="139"/>
      <c r="M253" s="139"/>
    </row>
    <row r="254" spans="1:13" ht="230.25" thickTop="1" thickBot="1" x14ac:dyDescent="0.25">
      <c r="A254" s="103" t="s">
        <v>546</v>
      </c>
      <c r="B254" s="103" t="s">
        <v>297</v>
      </c>
      <c r="C254" s="103" t="s">
        <v>283</v>
      </c>
      <c r="D254" s="103" t="s">
        <v>298</v>
      </c>
      <c r="E254" s="321" t="s">
        <v>1453</v>
      </c>
      <c r="F254" s="318" t="s">
        <v>1357</v>
      </c>
      <c r="G254" s="318">
        <f t="shared" si="31"/>
        <v>1350000</v>
      </c>
      <c r="H254" s="322">
        <f>(700000)+650000</f>
        <v>1350000</v>
      </c>
      <c r="I254" s="460">
        <f>'d3'!J295</f>
        <v>0</v>
      </c>
      <c r="J254" s="460">
        <f>'d3'!K295</f>
        <v>0</v>
      </c>
      <c r="K254" s="96" t="b">
        <f>'d3'!E295='d7'!H254+'d7'!H255</f>
        <v>1</v>
      </c>
      <c r="L254" s="96" t="b">
        <f>'d3'!J295='d7'!I254+'d7'!I255</f>
        <v>1</v>
      </c>
      <c r="M254" s="96" t="b">
        <f>'d3'!K295='d7'!J254+'d7'!J255</f>
        <v>1</v>
      </c>
    </row>
    <row r="255" spans="1:13" ht="230.25" thickTop="1" thickBot="1" x14ac:dyDescent="0.25">
      <c r="A255" s="103" t="s">
        <v>546</v>
      </c>
      <c r="B255" s="103" t="s">
        <v>297</v>
      </c>
      <c r="C255" s="103" t="s">
        <v>283</v>
      </c>
      <c r="D255" s="103" t="s">
        <v>298</v>
      </c>
      <c r="E255" s="321" t="s">
        <v>1417</v>
      </c>
      <c r="F255" s="318" t="s">
        <v>1360</v>
      </c>
      <c r="G255" s="318">
        <f t="shared" si="31"/>
        <v>1987600</v>
      </c>
      <c r="H255" s="322">
        <v>1987600</v>
      </c>
      <c r="I255" s="460">
        <v>0</v>
      </c>
      <c r="J255" s="460">
        <v>0</v>
      </c>
      <c r="K255" s="139"/>
      <c r="L255" s="139"/>
      <c r="M255" s="139"/>
    </row>
    <row r="256" spans="1:13" ht="138.75" hidden="1" thickTop="1" thickBot="1" x14ac:dyDescent="0.25">
      <c r="A256" s="128"/>
      <c r="B256" s="128"/>
      <c r="C256" s="128"/>
      <c r="D256" s="128"/>
      <c r="E256" s="256" t="s">
        <v>876</v>
      </c>
      <c r="F256" s="196" t="s">
        <v>874</v>
      </c>
      <c r="G256" s="73"/>
      <c r="H256" s="259"/>
      <c r="I256" s="274"/>
      <c r="J256" s="274"/>
      <c r="K256" s="139"/>
      <c r="L256" s="139"/>
      <c r="M256" s="139"/>
    </row>
    <row r="257" spans="1:13" ht="230.25" thickTop="1" thickBot="1" x14ac:dyDescent="0.25">
      <c r="A257" s="103" t="s">
        <v>547</v>
      </c>
      <c r="B257" s="103">
        <v>6030</v>
      </c>
      <c r="C257" s="103" t="s">
        <v>283</v>
      </c>
      <c r="D257" s="103" t="s">
        <v>290</v>
      </c>
      <c r="E257" s="321" t="s">
        <v>1234</v>
      </c>
      <c r="F257" s="318" t="s">
        <v>1170</v>
      </c>
      <c r="G257" s="318">
        <f t="shared" si="31"/>
        <v>300124593</v>
      </c>
      <c r="H257" s="322">
        <f>((273808011-H258-650000-8450000)+25359960)+4000000-2000000+895178+1000000+100000+500000+12000000</f>
        <v>300124593</v>
      </c>
      <c r="I257" s="460">
        <v>0</v>
      </c>
      <c r="J257" s="460">
        <v>0</v>
      </c>
      <c r="K257" s="96" t="b">
        <f>H258+H257='d3'!E296</f>
        <v>1</v>
      </c>
      <c r="L257" s="96" t="b">
        <f>I258+I257='d3'!J296</f>
        <v>1</v>
      </c>
      <c r="M257" s="96" t="b">
        <f>J258+J257='d3'!K296</f>
        <v>1</v>
      </c>
    </row>
    <row r="258" spans="1:13" ht="276" thickTop="1" thickBot="1" x14ac:dyDescent="0.25">
      <c r="A258" s="103" t="s">
        <v>547</v>
      </c>
      <c r="B258" s="103">
        <v>6030</v>
      </c>
      <c r="C258" s="103" t="s">
        <v>283</v>
      </c>
      <c r="D258" s="103" t="s">
        <v>290</v>
      </c>
      <c r="E258" s="322" t="s">
        <v>1287</v>
      </c>
      <c r="F258" s="318" t="s">
        <v>1288</v>
      </c>
      <c r="G258" s="318">
        <f>H258+I258</f>
        <v>6438556</v>
      </c>
      <c r="H258" s="460">
        <v>6438556</v>
      </c>
      <c r="I258" s="460">
        <v>0</v>
      </c>
      <c r="J258" s="460">
        <v>0</v>
      </c>
      <c r="K258" s="139"/>
      <c r="L258" s="139"/>
      <c r="M258" s="139"/>
    </row>
    <row r="259" spans="1:13" ht="230.25" thickTop="1" thickBot="1" x14ac:dyDescent="0.25">
      <c r="A259" s="103" t="s">
        <v>1148</v>
      </c>
      <c r="B259" s="103" t="s">
        <v>1149</v>
      </c>
      <c r="C259" s="103" t="s">
        <v>1150</v>
      </c>
      <c r="D259" s="103" t="s">
        <v>1147</v>
      </c>
      <c r="E259" s="321" t="s">
        <v>1234</v>
      </c>
      <c r="F259" s="318" t="s">
        <v>1170</v>
      </c>
      <c r="G259" s="318">
        <f>H259+I259</f>
        <v>258800</v>
      </c>
      <c r="H259" s="460">
        <f>'d3'!E297</f>
        <v>258800</v>
      </c>
      <c r="I259" s="460">
        <f>'d3'!J297</f>
        <v>0</v>
      </c>
      <c r="J259" s="460">
        <f>'d3'!K297</f>
        <v>0</v>
      </c>
      <c r="K259" s="139"/>
      <c r="L259" s="139"/>
      <c r="M259" s="139"/>
    </row>
    <row r="260" spans="1:13" ht="230.25" thickTop="1" thickBot="1" x14ac:dyDescent="0.25">
      <c r="A260" s="103" t="s">
        <v>548</v>
      </c>
      <c r="B260" s="103" t="s">
        <v>305</v>
      </c>
      <c r="C260" s="103" t="s">
        <v>304</v>
      </c>
      <c r="D260" s="103" t="s">
        <v>469</v>
      </c>
      <c r="E260" s="321" t="s">
        <v>1234</v>
      </c>
      <c r="F260" s="318" t="s">
        <v>1170</v>
      </c>
      <c r="G260" s="318">
        <f t="shared" si="31"/>
        <v>1200000</v>
      </c>
      <c r="H260" s="322">
        <f>'d3'!E300</f>
        <v>0</v>
      </c>
      <c r="I260" s="460">
        <f>'d3'!J300</f>
        <v>1200000</v>
      </c>
      <c r="J260" s="460">
        <f>'d3'!K300</f>
        <v>1200000</v>
      </c>
      <c r="K260" s="139"/>
      <c r="L260" s="139"/>
      <c r="M260" s="139"/>
    </row>
    <row r="261" spans="1:13" ht="230.25" thickTop="1" thickBot="1" x14ac:dyDescent="0.25">
      <c r="A261" s="103" t="s">
        <v>549</v>
      </c>
      <c r="B261" s="103" t="s">
        <v>293</v>
      </c>
      <c r="C261" s="103" t="s">
        <v>295</v>
      </c>
      <c r="D261" s="887" t="s">
        <v>294</v>
      </c>
      <c r="E261" s="321" t="s">
        <v>1234</v>
      </c>
      <c r="F261" s="318" t="s">
        <v>1170</v>
      </c>
      <c r="G261" s="318">
        <f>H261+I261</f>
        <v>2935752</v>
      </c>
      <c r="H261" s="322">
        <f>'d3'!E303</f>
        <v>0</v>
      </c>
      <c r="I261" s="460">
        <f>'d3'!J303</f>
        <v>2935752</v>
      </c>
      <c r="J261" s="460">
        <f>'d3'!K303</f>
        <v>2935752</v>
      </c>
      <c r="K261" s="139"/>
      <c r="L261" s="139"/>
      <c r="M261" s="139"/>
    </row>
    <row r="262" spans="1:13" ht="138.75" hidden="1" customHeight="1" thickTop="1" thickBot="1" x14ac:dyDescent="0.25">
      <c r="A262" s="103" t="s">
        <v>549</v>
      </c>
      <c r="B262" s="103" t="s">
        <v>293</v>
      </c>
      <c r="C262" s="103" t="s">
        <v>295</v>
      </c>
      <c r="D262" s="901"/>
      <c r="E262" s="322" t="s">
        <v>875</v>
      </c>
      <c r="F262" s="322" t="s">
        <v>890</v>
      </c>
      <c r="G262" s="318">
        <f t="shared" si="31"/>
        <v>0</v>
      </c>
      <c r="H262" s="322"/>
      <c r="I262" s="273"/>
      <c r="J262" s="273"/>
      <c r="K262" s="139"/>
      <c r="L262" s="139"/>
      <c r="M262" s="139"/>
    </row>
    <row r="263" spans="1:13" ht="230.25" thickTop="1" thickBot="1" x14ac:dyDescent="0.25">
      <c r="A263" s="103" t="s">
        <v>550</v>
      </c>
      <c r="B263" s="103" t="s">
        <v>212</v>
      </c>
      <c r="C263" s="103" t="s">
        <v>213</v>
      </c>
      <c r="D263" s="103" t="s">
        <v>41</v>
      </c>
      <c r="E263" s="321" t="s">
        <v>1234</v>
      </c>
      <c r="F263" s="318" t="s">
        <v>1170</v>
      </c>
      <c r="G263" s="322">
        <f t="shared" si="31"/>
        <v>15563884</v>
      </c>
      <c r="H263" s="322">
        <f>'d3'!E305</f>
        <v>0</v>
      </c>
      <c r="I263" s="322">
        <f>'d3'!J305</f>
        <v>15563884</v>
      </c>
      <c r="J263" s="322">
        <f>'d3'!K305</f>
        <v>15563884</v>
      </c>
      <c r="K263" s="139"/>
      <c r="L263" s="139"/>
      <c r="M263" s="139"/>
    </row>
    <row r="264" spans="1:13" ht="230.25" hidden="1" thickTop="1" thickBot="1" x14ac:dyDescent="0.25">
      <c r="A264" s="128" t="s">
        <v>551</v>
      </c>
      <c r="B264" s="128" t="s">
        <v>197</v>
      </c>
      <c r="C264" s="128" t="s">
        <v>170</v>
      </c>
      <c r="D264" s="128" t="s">
        <v>34</v>
      </c>
      <c r="E264" s="255" t="s">
        <v>1169</v>
      </c>
      <c r="F264" s="196" t="s">
        <v>1170</v>
      </c>
      <c r="G264" s="256">
        <f t="shared" ref="G264:G266" si="34">H264+I264</f>
        <v>0</v>
      </c>
      <c r="H264" s="256">
        <v>0</v>
      </c>
      <c r="I264" s="256">
        <v>0</v>
      </c>
      <c r="J264" s="256">
        <v>0</v>
      </c>
      <c r="K264" s="254" t="s">
        <v>1362</v>
      </c>
      <c r="L264" s="254" t="s">
        <v>1361</v>
      </c>
      <c r="M264" s="139"/>
    </row>
    <row r="265" spans="1:13" ht="184.5" hidden="1" thickTop="1" thickBot="1" x14ac:dyDescent="0.25">
      <c r="A265" s="128" t="s">
        <v>551</v>
      </c>
      <c r="B265" s="128" t="s">
        <v>197</v>
      </c>
      <c r="C265" s="128" t="s">
        <v>170</v>
      </c>
      <c r="D265" s="128" t="s">
        <v>34</v>
      </c>
      <c r="E265" s="255" t="s">
        <v>1451</v>
      </c>
      <c r="F265" s="196" t="s">
        <v>1450</v>
      </c>
      <c r="G265" s="256">
        <f t="shared" si="34"/>
        <v>0</v>
      </c>
      <c r="H265" s="256">
        <v>0</v>
      </c>
      <c r="I265" s="256">
        <v>0</v>
      </c>
      <c r="J265" s="256">
        <v>0</v>
      </c>
      <c r="K265" s="254"/>
      <c r="L265" s="254"/>
      <c r="M265" s="139"/>
    </row>
    <row r="266" spans="1:13" ht="232.5" customHeight="1" thickTop="1" thickBot="1" x14ac:dyDescent="0.25">
      <c r="A266" s="103" t="s">
        <v>551</v>
      </c>
      <c r="B266" s="103" t="s">
        <v>197</v>
      </c>
      <c r="C266" s="103" t="s">
        <v>170</v>
      </c>
      <c r="D266" s="103" t="s">
        <v>34</v>
      </c>
      <c r="E266" s="321" t="s">
        <v>1581</v>
      </c>
      <c r="F266" s="318" t="s">
        <v>1452</v>
      </c>
      <c r="G266" s="322">
        <f t="shared" si="34"/>
        <v>3190264</v>
      </c>
      <c r="H266" s="322">
        <v>0</v>
      </c>
      <c r="I266" s="322">
        <f>(2790264)+1207578-807578</f>
        <v>3190264</v>
      </c>
      <c r="J266" s="322">
        <f>(2790264)+1207578-807578</f>
        <v>3190264</v>
      </c>
      <c r="K266" s="254"/>
      <c r="L266" s="254"/>
      <c r="M266" s="139"/>
    </row>
    <row r="267" spans="1:13" ht="184.5" hidden="1" thickTop="1" thickBot="1" x14ac:dyDescent="0.25">
      <c r="A267" s="128" t="s">
        <v>551</v>
      </c>
      <c r="B267" s="128" t="s">
        <v>197</v>
      </c>
      <c r="C267" s="128" t="s">
        <v>170</v>
      </c>
      <c r="D267" s="128" t="s">
        <v>34</v>
      </c>
      <c r="E267" s="255" t="s">
        <v>1413</v>
      </c>
      <c r="F267" s="196" t="s">
        <v>1353</v>
      </c>
      <c r="G267" s="256">
        <f t="shared" si="31"/>
        <v>0</v>
      </c>
      <c r="H267" s="256">
        <v>0</v>
      </c>
      <c r="I267" s="256">
        <v>0</v>
      </c>
      <c r="J267" s="256">
        <v>0</v>
      </c>
    </row>
    <row r="268" spans="1:13" ht="184.5" thickTop="1" thickBot="1" x14ac:dyDescent="0.25">
      <c r="A268" s="103" t="s">
        <v>551</v>
      </c>
      <c r="B268" s="103" t="s">
        <v>197</v>
      </c>
      <c r="C268" s="103" t="s">
        <v>170</v>
      </c>
      <c r="D268" s="103" t="s">
        <v>34</v>
      </c>
      <c r="E268" s="321" t="s">
        <v>1409</v>
      </c>
      <c r="F268" s="318" t="s">
        <v>1354</v>
      </c>
      <c r="G268" s="322">
        <f t="shared" si="31"/>
        <v>6732146</v>
      </c>
      <c r="H268" s="322">
        <v>0</v>
      </c>
      <c r="I268" s="322">
        <f>((0)+3501402)+663000+1744176+477161+346407</f>
        <v>6732146</v>
      </c>
      <c r="J268" s="322">
        <f>((0)+3501402)+663000+1744176+477161+346407</f>
        <v>6732146</v>
      </c>
      <c r="K268" s="139"/>
      <c r="L268" s="139"/>
      <c r="M268" s="139"/>
    </row>
    <row r="269" spans="1:13" ht="276" hidden="1" thickTop="1" thickBot="1" x14ac:dyDescent="0.25">
      <c r="A269" s="128" t="s">
        <v>551</v>
      </c>
      <c r="B269" s="128" t="s">
        <v>197</v>
      </c>
      <c r="C269" s="128" t="s">
        <v>170</v>
      </c>
      <c r="D269" s="128" t="s">
        <v>34</v>
      </c>
      <c r="E269" s="255" t="s">
        <v>1415</v>
      </c>
      <c r="F269" s="196" t="s">
        <v>1356</v>
      </c>
      <c r="G269" s="256">
        <f t="shared" si="31"/>
        <v>0</v>
      </c>
      <c r="H269" s="256">
        <v>0</v>
      </c>
      <c r="I269" s="256">
        <v>0</v>
      </c>
      <c r="J269" s="256">
        <v>0</v>
      </c>
      <c r="K269" s="139"/>
      <c r="L269" s="139"/>
      <c r="M269" s="139"/>
    </row>
    <row r="270" spans="1:13" ht="276" hidden="1" thickTop="1" thickBot="1" x14ac:dyDescent="0.25">
      <c r="A270" s="128" t="s">
        <v>551</v>
      </c>
      <c r="B270" s="128" t="s">
        <v>197</v>
      </c>
      <c r="C270" s="128" t="s">
        <v>170</v>
      </c>
      <c r="D270" s="128" t="s">
        <v>34</v>
      </c>
      <c r="E270" s="255" t="s">
        <v>1414</v>
      </c>
      <c r="F270" s="196" t="s">
        <v>1355</v>
      </c>
      <c r="G270" s="256">
        <f t="shared" si="31"/>
        <v>0</v>
      </c>
      <c r="H270" s="256">
        <v>0</v>
      </c>
      <c r="I270" s="256">
        <v>0</v>
      </c>
      <c r="J270" s="256">
        <v>0</v>
      </c>
      <c r="K270" s="139"/>
      <c r="L270" s="139"/>
      <c r="M270" s="139"/>
    </row>
    <row r="271" spans="1:13" ht="230.25" hidden="1" thickTop="1" thickBot="1" x14ac:dyDescent="0.25">
      <c r="A271" s="128" t="s">
        <v>551</v>
      </c>
      <c r="B271" s="128" t="s">
        <v>197</v>
      </c>
      <c r="C271" s="128" t="s">
        <v>170</v>
      </c>
      <c r="D271" s="128" t="s">
        <v>34</v>
      </c>
      <c r="E271" s="455" t="s">
        <v>1330</v>
      </c>
      <c r="F271" s="456"/>
      <c r="G271" s="256">
        <f t="shared" si="31"/>
        <v>0</v>
      </c>
      <c r="H271" s="256">
        <v>0</v>
      </c>
      <c r="I271" s="256">
        <f>1888075-1888075</f>
        <v>0</v>
      </c>
      <c r="J271" s="256">
        <f>1258075+630000-1888075</f>
        <v>0</v>
      </c>
      <c r="K271" s="139"/>
      <c r="L271" s="139"/>
      <c r="M271" s="139"/>
    </row>
    <row r="272" spans="1:13" ht="184.5" hidden="1" thickTop="1" thickBot="1" x14ac:dyDescent="0.25">
      <c r="A272" s="128" t="s">
        <v>551</v>
      </c>
      <c r="B272" s="128" t="s">
        <v>197</v>
      </c>
      <c r="C272" s="128" t="s">
        <v>170</v>
      </c>
      <c r="D272" s="128" t="s">
        <v>34</v>
      </c>
      <c r="E272" s="255" t="s">
        <v>1416</v>
      </c>
      <c r="F272" s="196" t="s">
        <v>1357</v>
      </c>
      <c r="G272" s="256">
        <f t="shared" si="31"/>
        <v>0</v>
      </c>
      <c r="H272" s="256">
        <v>0</v>
      </c>
      <c r="I272" s="256">
        <v>0</v>
      </c>
      <c r="J272" s="256">
        <v>0</v>
      </c>
      <c r="K272" s="139"/>
      <c r="L272" s="139"/>
      <c r="M272" s="139"/>
    </row>
    <row r="273" spans="1:13" ht="184.5" hidden="1" thickTop="1" thickBot="1" x14ac:dyDescent="0.25">
      <c r="A273" s="128" t="s">
        <v>551</v>
      </c>
      <c r="B273" s="128" t="s">
        <v>197</v>
      </c>
      <c r="C273" s="128" t="s">
        <v>170</v>
      </c>
      <c r="D273" s="128" t="s">
        <v>34</v>
      </c>
      <c r="E273" s="255" t="s">
        <v>1358</v>
      </c>
      <c r="F273" s="196" t="s">
        <v>1359</v>
      </c>
      <c r="G273" s="256">
        <f t="shared" si="31"/>
        <v>0</v>
      </c>
      <c r="H273" s="256">
        <v>0</v>
      </c>
      <c r="I273" s="256">
        <v>0</v>
      </c>
      <c r="J273" s="256">
        <v>0</v>
      </c>
      <c r="K273" s="139"/>
      <c r="L273" s="139"/>
      <c r="M273" s="139"/>
    </row>
    <row r="274" spans="1:13" ht="230.25" hidden="1" thickTop="1" thickBot="1" x14ac:dyDescent="0.25">
      <c r="A274" s="128" t="s">
        <v>551</v>
      </c>
      <c r="B274" s="128" t="s">
        <v>197</v>
      </c>
      <c r="C274" s="128" t="s">
        <v>170</v>
      </c>
      <c r="D274" s="128" t="s">
        <v>34</v>
      </c>
      <c r="E274" s="454" t="s">
        <v>1408</v>
      </c>
      <c r="F274" s="196" t="s">
        <v>1350</v>
      </c>
      <c r="G274" s="256">
        <f t="shared" si="31"/>
        <v>0</v>
      </c>
      <c r="H274" s="256">
        <v>0</v>
      </c>
      <c r="I274" s="256">
        <v>0</v>
      </c>
      <c r="J274" s="256">
        <v>0</v>
      </c>
      <c r="K274" s="139"/>
      <c r="L274" s="139"/>
      <c r="M274" s="139"/>
    </row>
    <row r="275" spans="1:13" ht="184.5" thickTop="1" thickBot="1" x14ac:dyDescent="0.25">
      <c r="A275" s="103" t="s">
        <v>551</v>
      </c>
      <c r="B275" s="103" t="s">
        <v>197</v>
      </c>
      <c r="C275" s="103" t="s">
        <v>170</v>
      </c>
      <c r="D275" s="103" t="s">
        <v>34</v>
      </c>
      <c r="E275" s="321" t="s">
        <v>1417</v>
      </c>
      <c r="F275" s="318" t="s">
        <v>1360</v>
      </c>
      <c r="G275" s="322">
        <f t="shared" si="31"/>
        <v>96120</v>
      </c>
      <c r="H275" s="322">
        <v>0</v>
      </c>
      <c r="I275" s="322">
        <v>96120</v>
      </c>
      <c r="J275" s="322">
        <v>96120</v>
      </c>
      <c r="K275" s="96" t="b">
        <f>'d3'!E306='d7'!H267+'d7'!H268+'d7'!H269+'d7'!H270+'d7'!H271+'d7'!H272+'d7'!H273+'d7'!H275+'d7'!H276+H264+H274+H265+H266</f>
        <v>1</v>
      </c>
      <c r="L275" s="96" t="b">
        <f>'d3'!J306='d7'!I267+'d7'!I268+'d7'!I269+'d7'!I270+'d7'!I271+'d7'!I272+'d7'!I273+'d7'!I275+'d7'!I276+I264+I274+I265+I266</f>
        <v>1</v>
      </c>
      <c r="M275" s="96" t="b">
        <f>'d3'!K306='d7'!J267+'d7'!J268+'d7'!J269+'d7'!J270+'d7'!J271+'d7'!J272+'d7'!J273+'d7'!J275+'d7'!J276+J264+J274+J265+J266</f>
        <v>1</v>
      </c>
    </row>
    <row r="276" spans="1:13" ht="184.5" hidden="1" thickTop="1" thickBot="1" x14ac:dyDescent="0.25">
      <c r="A276" s="128" t="s">
        <v>551</v>
      </c>
      <c r="B276" s="128" t="s">
        <v>197</v>
      </c>
      <c r="C276" s="128" t="s">
        <v>170</v>
      </c>
      <c r="D276" s="128" t="s">
        <v>34</v>
      </c>
      <c r="E276" s="455" t="s">
        <v>1331</v>
      </c>
      <c r="F276" s="456"/>
      <c r="G276" s="256">
        <f t="shared" si="31"/>
        <v>0</v>
      </c>
      <c r="H276" s="256">
        <v>0</v>
      </c>
      <c r="I276" s="256">
        <f>6007800-6007800</f>
        <v>0</v>
      </c>
      <c r="J276" s="256">
        <f>6007800-6007800</f>
        <v>0</v>
      </c>
      <c r="K276" s="139"/>
      <c r="L276" s="139"/>
      <c r="M276" s="139"/>
    </row>
    <row r="277" spans="1:13" ht="138.75" hidden="1" thickTop="1" thickBot="1" x14ac:dyDescent="0.25">
      <c r="A277" s="128" t="s">
        <v>551</v>
      </c>
      <c r="B277" s="128" t="s">
        <v>197</v>
      </c>
      <c r="C277" s="128" t="s">
        <v>170</v>
      </c>
      <c r="D277" s="128" t="s">
        <v>34</v>
      </c>
      <c r="E277" s="256" t="s">
        <v>876</v>
      </c>
      <c r="F277" s="196" t="s">
        <v>874</v>
      </c>
      <c r="G277" s="273">
        <f t="shared" si="31"/>
        <v>0</v>
      </c>
      <c r="H277" s="256">
        <v>0</v>
      </c>
      <c r="I277" s="273"/>
      <c r="J277" s="273"/>
      <c r="K277" s="139"/>
      <c r="L277" s="139"/>
      <c r="M277" s="139"/>
    </row>
    <row r="278" spans="1:13" ht="6" customHeight="1" thickTop="1" thickBot="1" x14ac:dyDescent="0.7">
      <c r="A278" s="797" t="s">
        <v>552</v>
      </c>
      <c r="B278" s="797" t="s">
        <v>338</v>
      </c>
      <c r="C278" s="797" t="s">
        <v>170</v>
      </c>
      <c r="D278" s="400" t="s">
        <v>440</v>
      </c>
      <c r="E278" s="797" t="s">
        <v>1161</v>
      </c>
      <c r="F278" s="797" t="s">
        <v>1162</v>
      </c>
      <c r="G278" s="781">
        <f t="shared" si="31"/>
        <v>0</v>
      </c>
      <c r="H278" s="781">
        <f>'d3'!E308</f>
        <v>0</v>
      </c>
      <c r="I278" s="781">
        <f>'d3'!J308</f>
        <v>0</v>
      </c>
      <c r="J278" s="781">
        <f>'d3'!K308</f>
        <v>0</v>
      </c>
      <c r="K278" s="139"/>
      <c r="L278" s="139"/>
      <c r="M278" s="139"/>
    </row>
    <row r="279" spans="1:13" ht="184.5" hidden="1" thickTop="1" thickBot="1" x14ac:dyDescent="0.25">
      <c r="A279" s="805"/>
      <c r="B279" s="805"/>
      <c r="C279" s="805"/>
      <c r="D279" s="401" t="s">
        <v>441</v>
      </c>
      <c r="E279" s="805" t="s">
        <v>1161</v>
      </c>
      <c r="F279" s="805" t="s">
        <v>1162</v>
      </c>
      <c r="G279" s="805">
        <f t="shared" si="31"/>
        <v>0</v>
      </c>
      <c r="H279" s="805"/>
      <c r="I279" s="805"/>
      <c r="J279" s="805"/>
      <c r="K279" s="139"/>
      <c r="L279" s="139"/>
      <c r="M279" s="139"/>
    </row>
    <row r="280" spans="1:13" ht="230.25" hidden="1" thickTop="1" thickBot="1" x14ac:dyDescent="0.25">
      <c r="A280" s="128" t="s">
        <v>1183</v>
      </c>
      <c r="B280" s="128" t="s">
        <v>257</v>
      </c>
      <c r="C280" s="128" t="s">
        <v>170</v>
      </c>
      <c r="D280" s="128" t="s">
        <v>255</v>
      </c>
      <c r="E280" s="255" t="s">
        <v>1234</v>
      </c>
      <c r="F280" s="196" t="s">
        <v>1170</v>
      </c>
      <c r="G280" s="273">
        <f t="shared" ref="G280" si="35">H280+I280</f>
        <v>0</v>
      </c>
      <c r="H280" s="256"/>
      <c r="I280" s="273"/>
      <c r="J280" s="273"/>
      <c r="K280" s="139"/>
      <c r="L280" s="139"/>
      <c r="M280" s="139"/>
    </row>
    <row r="281" spans="1:13" ht="409.6" thickTop="1" thickBot="1" x14ac:dyDescent="0.25">
      <c r="A281" s="103" t="s">
        <v>553</v>
      </c>
      <c r="B281" s="103" t="s">
        <v>518</v>
      </c>
      <c r="C281" s="103" t="s">
        <v>251</v>
      </c>
      <c r="D281" s="470" t="s">
        <v>519</v>
      </c>
      <c r="E281" s="322" t="s">
        <v>1216</v>
      </c>
      <c r="F281" s="318" t="s">
        <v>859</v>
      </c>
      <c r="G281" s="318">
        <f t="shared" si="31"/>
        <v>2000000</v>
      </c>
      <c r="H281" s="322">
        <f>'d3'!E313</f>
        <v>2000000</v>
      </c>
      <c r="I281" s="460">
        <f>'d3'!J313</f>
        <v>0</v>
      </c>
      <c r="J281" s="460">
        <f>'d3'!K313</f>
        <v>0</v>
      </c>
      <c r="K281" s="139"/>
      <c r="L281" s="139"/>
      <c r="M281" s="139"/>
    </row>
    <row r="282" spans="1:13" ht="409.6" thickTop="1" thickBot="1" x14ac:dyDescent="0.25">
      <c r="A282" s="103" t="s">
        <v>554</v>
      </c>
      <c r="B282" s="103" t="s">
        <v>250</v>
      </c>
      <c r="C282" s="103" t="s">
        <v>251</v>
      </c>
      <c r="D282" s="103" t="s">
        <v>249</v>
      </c>
      <c r="E282" s="322" t="s">
        <v>1216</v>
      </c>
      <c r="F282" s="318" t="s">
        <v>859</v>
      </c>
      <c r="G282" s="318">
        <f t="shared" si="31"/>
        <v>2515145</v>
      </c>
      <c r="H282" s="322">
        <f>'d3'!E314</f>
        <v>2515145</v>
      </c>
      <c r="I282" s="460">
        <f>'d3'!J314</f>
        <v>0</v>
      </c>
      <c r="J282" s="460">
        <f>'d3'!K314</f>
        <v>0</v>
      </c>
      <c r="K282" s="139"/>
      <c r="L282" s="139"/>
      <c r="M282" s="139"/>
    </row>
    <row r="283" spans="1:13" ht="409.6" hidden="1" thickTop="1" thickBot="1" x14ac:dyDescent="0.25">
      <c r="A283" s="41" t="s">
        <v>555</v>
      </c>
      <c r="B283" s="41" t="s">
        <v>556</v>
      </c>
      <c r="C283" s="41" t="s">
        <v>251</v>
      </c>
      <c r="D283" s="41" t="s">
        <v>557</v>
      </c>
      <c r="E283" s="259" t="s">
        <v>858</v>
      </c>
      <c r="F283" s="73" t="s">
        <v>859</v>
      </c>
      <c r="G283" s="73">
        <f t="shared" si="31"/>
        <v>0</v>
      </c>
      <c r="H283" s="259">
        <f>'d3'!E315</f>
        <v>0</v>
      </c>
      <c r="I283" s="274">
        <f>'d3'!J315</f>
        <v>0</v>
      </c>
      <c r="J283" s="274">
        <f>'d3'!K315</f>
        <v>0</v>
      </c>
      <c r="K283" s="139"/>
      <c r="L283" s="139"/>
      <c r="M283" s="139"/>
    </row>
    <row r="284" spans="1:13" ht="184.5" hidden="1" thickTop="1" thickBot="1" x14ac:dyDescent="0.25">
      <c r="A284" s="128" t="s">
        <v>1485</v>
      </c>
      <c r="B284" s="128" t="s">
        <v>363</v>
      </c>
      <c r="C284" s="128" t="s">
        <v>43</v>
      </c>
      <c r="D284" s="128" t="s">
        <v>364</v>
      </c>
      <c r="E284" s="255" t="s">
        <v>1282</v>
      </c>
      <c r="F284" s="196" t="s">
        <v>1283</v>
      </c>
      <c r="G284" s="196">
        <f t="shared" si="31"/>
        <v>0</v>
      </c>
      <c r="H284" s="256">
        <v>0</v>
      </c>
      <c r="I284" s="273">
        <v>0</v>
      </c>
      <c r="J284" s="273">
        <v>0</v>
      </c>
      <c r="K284" s="139"/>
      <c r="L284" s="139"/>
      <c r="M284" s="139"/>
    </row>
    <row r="285" spans="1:13" ht="170.1" customHeight="1" thickTop="1" thickBot="1" x14ac:dyDescent="0.25">
      <c r="A285" s="661" t="s">
        <v>25</v>
      </c>
      <c r="B285" s="661"/>
      <c r="C285" s="661"/>
      <c r="D285" s="662" t="s">
        <v>891</v>
      </c>
      <c r="E285" s="661"/>
      <c r="F285" s="661"/>
      <c r="G285" s="664">
        <f>G286</f>
        <v>64204457.939999998</v>
      </c>
      <c r="H285" s="664">
        <f>H286</f>
        <v>0</v>
      </c>
      <c r="I285" s="664">
        <f>I286</f>
        <v>64204457.939999998</v>
      </c>
      <c r="J285" s="664">
        <f>J286</f>
        <v>64204457.939999998</v>
      </c>
      <c r="K285" s="139"/>
      <c r="L285" s="139"/>
      <c r="M285" s="139"/>
    </row>
    <row r="286" spans="1:13" ht="170.1" customHeight="1" thickTop="1" thickBot="1" x14ac:dyDescent="0.25">
      <c r="A286" s="658" t="s">
        <v>26</v>
      </c>
      <c r="B286" s="658"/>
      <c r="C286" s="658"/>
      <c r="D286" s="659" t="s">
        <v>892</v>
      </c>
      <c r="E286" s="660"/>
      <c r="F286" s="660"/>
      <c r="G286" s="660">
        <f>SUM(G287:G305)</f>
        <v>64204457.939999998</v>
      </c>
      <c r="H286" s="660">
        <f>SUM(H287:H305)</f>
        <v>0</v>
      </c>
      <c r="I286" s="660">
        <f>SUM(I287:I305)</f>
        <v>64204457.939999998</v>
      </c>
      <c r="J286" s="660">
        <f>SUM(J287:J305)</f>
        <v>64204457.939999998</v>
      </c>
      <c r="K286" s="96" t="b">
        <f>H286='d3'!E320-'d3'!E322+H287</f>
        <v>1</v>
      </c>
      <c r="L286" s="465" t="b">
        <f>I286='d3'!J320+I287</f>
        <v>1</v>
      </c>
      <c r="M286" s="465" t="b">
        <f>J286='d3'!K320+J287</f>
        <v>1</v>
      </c>
    </row>
    <row r="287" spans="1:13" ht="184.5" hidden="1" thickTop="1" thickBot="1" x14ac:dyDescent="0.25">
      <c r="A287" s="128" t="s">
        <v>417</v>
      </c>
      <c r="B287" s="128" t="s">
        <v>236</v>
      </c>
      <c r="C287" s="128" t="s">
        <v>234</v>
      </c>
      <c r="D287" s="128" t="s">
        <v>235</v>
      </c>
      <c r="E287" s="255" t="s">
        <v>1037</v>
      </c>
      <c r="F287" s="196" t="s">
        <v>857</v>
      </c>
      <c r="G287" s="196">
        <f t="shared" ref="G287" si="36">H287+I287</f>
        <v>0</v>
      </c>
      <c r="H287" s="196">
        <v>0</v>
      </c>
      <c r="I287" s="196">
        <v>0</v>
      </c>
      <c r="J287" s="196">
        <v>0</v>
      </c>
      <c r="K287" s="257"/>
      <c r="L287" s="257"/>
      <c r="M287" s="257"/>
    </row>
    <row r="288" spans="1:13" ht="367.5" hidden="1" thickTop="1" thickBot="1" x14ac:dyDescent="0.25">
      <c r="A288" s="128" t="s">
        <v>630</v>
      </c>
      <c r="B288" s="128" t="s">
        <v>362</v>
      </c>
      <c r="C288" s="128" t="s">
        <v>625</v>
      </c>
      <c r="D288" s="128" t="s">
        <v>626</v>
      </c>
      <c r="E288" s="255" t="s">
        <v>1297</v>
      </c>
      <c r="F288" s="196" t="s">
        <v>1298</v>
      </c>
      <c r="G288" s="196">
        <f t="shared" ref="G288:G290" si="37">H288+I288</f>
        <v>0</v>
      </c>
      <c r="H288" s="256">
        <f>'d3'!E323</f>
        <v>0</v>
      </c>
      <c r="I288" s="273">
        <v>0</v>
      </c>
      <c r="J288" s="273">
        <v>0</v>
      </c>
      <c r="K288" s="257"/>
      <c r="L288" s="257"/>
      <c r="M288" s="257"/>
    </row>
    <row r="289" spans="1:13" ht="184.5" hidden="1" thickTop="1" thickBot="1" x14ac:dyDescent="0.25">
      <c r="A289" s="128" t="s">
        <v>928</v>
      </c>
      <c r="B289" s="128" t="s">
        <v>43</v>
      </c>
      <c r="C289" s="128" t="s">
        <v>42</v>
      </c>
      <c r="D289" s="128" t="s">
        <v>248</v>
      </c>
      <c r="E289" s="255" t="s">
        <v>1144</v>
      </c>
      <c r="F289" s="196"/>
      <c r="G289" s="196">
        <f t="shared" si="37"/>
        <v>0</v>
      </c>
      <c r="H289" s="256">
        <f>'d3'!E324</f>
        <v>0</v>
      </c>
      <c r="I289" s="273">
        <f>'d3'!J324</f>
        <v>0</v>
      </c>
      <c r="J289" s="273">
        <f>'d3'!K324</f>
        <v>0</v>
      </c>
      <c r="K289" s="257"/>
      <c r="L289" s="257"/>
      <c r="M289" s="257"/>
    </row>
    <row r="290" spans="1:13" ht="184.5" thickTop="1" thickBot="1" x14ac:dyDescent="0.25">
      <c r="A290" s="103" t="s">
        <v>1236</v>
      </c>
      <c r="B290" s="103" t="s">
        <v>1200</v>
      </c>
      <c r="C290" s="103" t="s">
        <v>206</v>
      </c>
      <c r="D290" s="470" t="s">
        <v>1201</v>
      </c>
      <c r="E290" s="321" t="s">
        <v>1516</v>
      </c>
      <c r="F290" s="318" t="s">
        <v>1542</v>
      </c>
      <c r="G290" s="318">
        <f t="shared" si="37"/>
        <v>8052064</v>
      </c>
      <c r="H290" s="322">
        <f>'d3'!E326</f>
        <v>0</v>
      </c>
      <c r="I290" s="460">
        <f>'d3'!J326</f>
        <v>8052064</v>
      </c>
      <c r="J290" s="460">
        <f>'d3'!K326</f>
        <v>8052064</v>
      </c>
      <c r="K290" s="257"/>
      <c r="L290" s="257"/>
      <c r="M290" s="257"/>
    </row>
    <row r="291" spans="1:13" ht="321.75" hidden="1" thickTop="1" thickBot="1" x14ac:dyDescent="0.25">
      <c r="A291" s="128" t="s">
        <v>433</v>
      </c>
      <c r="B291" s="128" t="s">
        <v>434</v>
      </c>
      <c r="C291" s="128" t="s">
        <v>195</v>
      </c>
      <c r="D291" s="128" t="s">
        <v>1178</v>
      </c>
      <c r="E291" s="255" t="s">
        <v>1282</v>
      </c>
      <c r="F291" s="196" t="s">
        <v>1283</v>
      </c>
      <c r="G291" s="196">
        <f>H291+I291</f>
        <v>0</v>
      </c>
      <c r="H291" s="196">
        <f>'d3'!E329</f>
        <v>0</v>
      </c>
      <c r="I291" s="196">
        <f>'d3'!J329</f>
        <v>0</v>
      </c>
      <c r="J291" s="196">
        <f>'d3'!K329</f>
        <v>0</v>
      </c>
      <c r="K291" s="139"/>
      <c r="L291" s="139"/>
      <c r="M291" s="139"/>
    </row>
    <row r="292" spans="1:13" ht="184.5" hidden="1" thickTop="1" thickBot="1" x14ac:dyDescent="0.25">
      <c r="A292" s="128" t="s">
        <v>927</v>
      </c>
      <c r="B292" s="128" t="s">
        <v>305</v>
      </c>
      <c r="C292" s="128" t="s">
        <v>304</v>
      </c>
      <c r="D292" s="128" t="s">
        <v>1495</v>
      </c>
      <c r="E292" s="255" t="s">
        <v>1282</v>
      </c>
      <c r="F292" s="196" t="s">
        <v>1283</v>
      </c>
      <c r="G292" s="196">
        <f t="shared" ref="G292:G305" si="38">H292+I292</f>
        <v>0</v>
      </c>
      <c r="H292" s="196">
        <f>'d3'!E332</f>
        <v>0</v>
      </c>
      <c r="I292" s="196">
        <f>'d3'!J332</f>
        <v>0</v>
      </c>
      <c r="J292" s="196">
        <f>'d3'!K332</f>
        <v>0</v>
      </c>
      <c r="K292" s="139"/>
      <c r="L292" s="139"/>
      <c r="M292" s="139"/>
    </row>
    <row r="293" spans="1:13" ht="184.5" hidden="1" thickTop="1" thickBot="1" x14ac:dyDescent="0.25">
      <c r="A293" s="128" t="s">
        <v>310</v>
      </c>
      <c r="B293" s="128" t="s">
        <v>311</v>
      </c>
      <c r="C293" s="128" t="s">
        <v>304</v>
      </c>
      <c r="D293" s="128" t="s">
        <v>1492</v>
      </c>
      <c r="E293" s="255" t="s">
        <v>1282</v>
      </c>
      <c r="F293" s="196" t="s">
        <v>1283</v>
      </c>
      <c r="G293" s="196">
        <f t="shared" si="38"/>
        <v>0</v>
      </c>
      <c r="H293" s="196"/>
      <c r="I293" s="196"/>
      <c r="J293" s="196"/>
      <c r="K293" s="139"/>
      <c r="L293" s="139"/>
      <c r="M293" s="139"/>
    </row>
    <row r="294" spans="1:13" ht="409.6" thickTop="1" thickBot="1" x14ac:dyDescent="0.25">
      <c r="A294" s="103" t="s">
        <v>310</v>
      </c>
      <c r="B294" s="103" t="s">
        <v>311</v>
      </c>
      <c r="C294" s="103" t="s">
        <v>304</v>
      </c>
      <c r="D294" s="103" t="s">
        <v>1504</v>
      </c>
      <c r="E294" s="322" t="s">
        <v>1216</v>
      </c>
      <c r="F294" s="318" t="s">
        <v>859</v>
      </c>
      <c r="G294" s="318">
        <f t="shared" si="38"/>
        <v>49425815.939999998</v>
      </c>
      <c r="H294" s="318">
        <v>0</v>
      </c>
      <c r="I294" s="318">
        <f>((13000000)+27425815.94)+10000000-1000000</f>
        <v>49425815.939999998</v>
      </c>
      <c r="J294" s="318">
        <f>((13000000)+27425815.94)+10000000-1000000</f>
        <v>49425815.939999998</v>
      </c>
      <c r="K294" s="139"/>
      <c r="L294" s="139"/>
      <c r="M294" s="139"/>
    </row>
    <row r="295" spans="1:13" ht="184.5" hidden="1" thickTop="1" thickBot="1" x14ac:dyDescent="0.25">
      <c r="A295" s="128" t="s">
        <v>310</v>
      </c>
      <c r="B295" s="128" t="s">
        <v>311</v>
      </c>
      <c r="C295" s="128" t="s">
        <v>304</v>
      </c>
      <c r="D295" s="128" t="s">
        <v>1492</v>
      </c>
      <c r="E295" s="255" t="s">
        <v>1398</v>
      </c>
      <c r="F295" s="196" t="s">
        <v>1168</v>
      </c>
      <c r="G295" s="196">
        <f t="shared" si="38"/>
        <v>0</v>
      </c>
      <c r="H295" s="196">
        <v>0</v>
      </c>
      <c r="I295" s="196">
        <v>0</v>
      </c>
      <c r="J295" s="196">
        <v>0</v>
      </c>
      <c r="K295" s="139"/>
      <c r="L295" s="139"/>
      <c r="M295" s="139"/>
    </row>
    <row r="296" spans="1:13" ht="184.5" thickTop="1" thickBot="1" x14ac:dyDescent="0.25">
      <c r="A296" s="103" t="s">
        <v>516</v>
      </c>
      <c r="B296" s="103" t="s">
        <v>517</v>
      </c>
      <c r="C296" s="103" t="s">
        <v>304</v>
      </c>
      <c r="D296" s="103" t="s">
        <v>1509</v>
      </c>
      <c r="E296" s="321" t="s">
        <v>1516</v>
      </c>
      <c r="F296" s="318" t="s">
        <v>1542</v>
      </c>
      <c r="G296" s="318">
        <f t="shared" si="38"/>
        <v>1000000</v>
      </c>
      <c r="H296" s="318">
        <f>'d3'!E335</f>
        <v>0</v>
      </c>
      <c r="I296" s="318">
        <f>'d3'!J335</f>
        <v>1000000</v>
      </c>
      <c r="J296" s="318">
        <f>I296</f>
        <v>1000000</v>
      </c>
      <c r="K296" s="139"/>
      <c r="L296" s="139"/>
      <c r="M296" s="139"/>
    </row>
    <row r="297" spans="1:13" ht="184.5" hidden="1" thickTop="1" thickBot="1" x14ac:dyDescent="0.25">
      <c r="A297" s="128" t="s">
        <v>312</v>
      </c>
      <c r="B297" s="128" t="s">
        <v>313</v>
      </c>
      <c r="C297" s="128" t="s">
        <v>304</v>
      </c>
      <c r="D297" s="128" t="s">
        <v>1237</v>
      </c>
      <c r="E297" s="255" t="s">
        <v>1161</v>
      </c>
      <c r="F297" s="196" t="s">
        <v>1162</v>
      </c>
      <c r="G297" s="196">
        <f t="shared" si="38"/>
        <v>0</v>
      </c>
      <c r="H297" s="196">
        <f>'d3'!E336</f>
        <v>0</v>
      </c>
      <c r="I297" s="196">
        <f>'d3'!J336</f>
        <v>0</v>
      </c>
      <c r="J297" s="196">
        <f>I297</f>
        <v>0</v>
      </c>
      <c r="K297" s="139"/>
      <c r="L297" s="139"/>
      <c r="M297" s="139"/>
    </row>
    <row r="298" spans="1:13" ht="184.5" hidden="1" thickTop="1" thickBot="1" x14ac:dyDescent="0.25">
      <c r="A298" s="128" t="s">
        <v>314</v>
      </c>
      <c r="B298" s="128" t="s">
        <v>315</v>
      </c>
      <c r="C298" s="128" t="s">
        <v>304</v>
      </c>
      <c r="D298" s="128" t="s">
        <v>1496</v>
      </c>
      <c r="E298" s="255" t="s">
        <v>1282</v>
      </c>
      <c r="F298" s="196" t="s">
        <v>1283</v>
      </c>
      <c r="G298" s="196">
        <f t="shared" si="38"/>
        <v>0</v>
      </c>
      <c r="H298" s="196">
        <v>0</v>
      </c>
      <c r="I298" s="196">
        <v>0</v>
      </c>
      <c r="J298" s="196">
        <v>0</v>
      </c>
      <c r="K298" s="139"/>
      <c r="L298" s="139"/>
      <c r="M298" s="139"/>
    </row>
    <row r="299" spans="1:13" ht="184.5" hidden="1" thickTop="1" thickBot="1" x14ac:dyDescent="0.25">
      <c r="A299" s="128" t="s">
        <v>314</v>
      </c>
      <c r="B299" s="128" t="s">
        <v>315</v>
      </c>
      <c r="C299" s="128" t="s">
        <v>304</v>
      </c>
      <c r="D299" s="128" t="s">
        <v>1496</v>
      </c>
      <c r="E299" s="255" t="s">
        <v>1443</v>
      </c>
      <c r="F299" s="196" t="s">
        <v>1444</v>
      </c>
      <c r="G299" s="196">
        <f t="shared" si="38"/>
        <v>0</v>
      </c>
      <c r="H299" s="196">
        <v>0</v>
      </c>
      <c r="I299" s="196">
        <v>0</v>
      </c>
      <c r="J299" s="196">
        <v>0</v>
      </c>
      <c r="K299" s="139"/>
      <c r="L299" s="139"/>
      <c r="M299" s="139"/>
    </row>
    <row r="300" spans="1:13" ht="409.6" hidden="1" thickTop="1" thickBot="1" x14ac:dyDescent="0.25">
      <c r="A300" s="128" t="s">
        <v>314</v>
      </c>
      <c r="B300" s="128" t="s">
        <v>315</v>
      </c>
      <c r="C300" s="128" t="s">
        <v>304</v>
      </c>
      <c r="D300" s="128" t="s">
        <v>1496</v>
      </c>
      <c r="E300" s="256" t="s">
        <v>1216</v>
      </c>
      <c r="F300" s="196" t="s">
        <v>859</v>
      </c>
      <c r="G300" s="196">
        <f t="shared" si="38"/>
        <v>0</v>
      </c>
      <c r="H300" s="196">
        <v>0</v>
      </c>
      <c r="I300" s="196">
        <v>0</v>
      </c>
      <c r="J300" s="196">
        <v>0</v>
      </c>
      <c r="K300" s="139"/>
      <c r="L300" s="139"/>
      <c r="M300" s="139"/>
    </row>
    <row r="301" spans="1:13" ht="138.75" thickTop="1" thickBot="1" x14ac:dyDescent="0.25">
      <c r="A301" s="103" t="s">
        <v>314</v>
      </c>
      <c r="B301" s="103" t="s">
        <v>315</v>
      </c>
      <c r="C301" s="103" t="s">
        <v>304</v>
      </c>
      <c r="D301" s="103" t="s">
        <v>1505</v>
      </c>
      <c r="E301" s="321" t="s">
        <v>1399</v>
      </c>
      <c r="F301" s="330" t="s">
        <v>425</v>
      </c>
      <c r="G301" s="318">
        <f t="shared" si="38"/>
        <v>5726578</v>
      </c>
      <c r="H301" s="318">
        <v>0</v>
      </c>
      <c r="I301" s="318">
        <f>((3000000+100000)+26578)+2600000</f>
        <v>5726578</v>
      </c>
      <c r="J301" s="318">
        <f>((3000000+100000)+26578)+2600000</f>
        <v>5726578</v>
      </c>
      <c r="K301" s="139"/>
      <c r="L301" s="139"/>
      <c r="M301" s="139"/>
    </row>
    <row r="302" spans="1:13" ht="184.5" hidden="1" thickTop="1" thickBot="1" x14ac:dyDescent="0.25">
      <c r="A302" s="128" t="s">
        <v>437</v>
      </c>
      <c r="B302" s="128" t="s">
        <v>350</v>
      </c>
      <c r="C302" s="128" t="s">
        <v>170</v>
      </c>
      <c r="D302" s="128" t="s">
        <v>262</v>
      </c>
      <c r="E302" s="255" t="s">
        <v>1144</v>
      </c>
      <c r="F302" s="196"/>
      <c r="G302" s="196">
        <f t="shared" si="38"/>
        <v>0</v>
      </c>
      <c r="H302" s="196">
        <f>'d3'!E338</f>
        <v>0</v>
      </c>
      <c r="I302" s="196">
        <f>'d3'!J338</f>
        <v>0</v>
      </c>
      <c r="J302" s="196">
        <f>'d3'!K338</f>
        <v>0</v>
      </c>
      <c r="K302" s="139"/>
      <c r="L302" s="139"/>
      <c r="M302" s="139"/>
    </row>
    <row r="303" spans="1:13" ht="367.5" hidden="1" thickTop="1" thickBot="1" x14ac:dyDescent="0.7">
      <c r="A303" s="797" t="s">
        <v>990</v>
      </c>
      <c r="B303" s="797" t="s">
        <v>338</v>
      </c>
      <c r="C303" s="797" t="s">
        <v>170</v>
      </c>
      <c r="D303" s="155" t="s">
        <v>440</v>
      </c>
      <c r="E303" s="797" t="s">
        <v>1144</v>
      </c>
      <c r="F303" s="797"/>
      <c r="G303" s="196">
        <f t="shared" si="38"/>
        <v>0</v>
      </c>
      <c r="H303" s="781">
        <f>'d3'!E341</f>
        <v>0</v>
      </c>
      <c r="I303" s="781">
        <f>'d3'!J341</f>
        <v>0</v>
      </c>
      <c r="J303" s="781">
        <f>'d3'!K341</f>
        <v>0</v>
      </c>
      <c r="K303" s="139"/>
      <c r="L303" s="139"/>
      <c r="M303" s="139"/>
    </row>
    <row r="304" spans="1:13" ht="184.5" hidden="1" thickTop="1" thickBot="1" x14ac:dyDescent="0.25">
      <c r="A304" s="797"/>
      <c r="B304" s="797"/>
      <c r="C304" s="797"/>
      <c r="D304" s="156" t="s">
        <v>441</v>
      </c>
      <c r="E304" s="797"/>
      <c r="F304" s="797"/>
      <c r="G304" s="196">
        <f t="shared" si="38"/>
        <v>0</v>
      </c>
      <c r="H304" s="805"/>
      <c r="I304" s="805"/>
      <c r="J304" s="805"/>
      <c r="K304" s="139"/>
      <c r="L304" s="139"/>
      <c r="M304" s="139"/>
    </row>
    <row r="305" spans="1:13" ht="184.5" hidden="1" thickTop="1" thickBot="1" x14ac:dyDescent="0.25">
      <c r="A305" s="128" t="s">
        <v>1193</v>
      </c>
      <c r="B305" s="128" t="s">
        <v>257</v>
      </c>
      <c r="C305" s="128" t="s">
        <v>170</v>
      </c>
      <c r="D305" s="156" t="s">
        <v>255</v>
      </c>
      <c r="E305" s="255" t="s">
        <v>1161</v>
      </c>
      <c r="F305" s="196" t="s">
        <v>1162</v>
      </c>
      <c r="G305" s="196">
        <f t="shared" si="38"/>
        <v>0</v>
      </c>
      <c r="H305" s="196"/>
      <c r="I305" s="196">
        <v>0</v>
      </c>
      <c r="J305" s="196">
        <v>0</v>
      </c>
      <c r="K305" s="139"/>
      <c r="L305" s="139"/>
      <c r="M305" s="139"/>
    </row>
    <row r="306" spans="1:13" ht="170.1" customHeight="1" thickTop="1" thickBot="1" x14ac:dyDescent="0.25">
      <c r="A306" s="661" t="s">
        <v>160</v>
      </c>
      <c r="B306" s="661"/>
      <c r="C306" s="661"/>
      <c r="D306" s="662" t="s">
        <v>893</v>
      </c>
      <c r="E306" s="661"/>
      <c r="F306" s="661"/>
      <c r="G306" s="664">
        <f>G307</f>
        <v>99900</v>
      </c>
      <c r="H306" s="664">
        <f t="shared" ref="H306:J306" si="39">H307</f>
        <v>99900</v>
      </c>
      <c r="I306" s="664">
        <f t="shared" si="39"/>
        <v>0</v>
      </c>
      <c r="J306" s="664">
        <f t="shared" si="39"/>
        <v>0</v>
      </c>
      <c r="K306" s="465" t="b">
        <f>H306='d3'!E345-'d3'!E347+H308</f>
        <v>1</v>
      </c>
      <c r="L306" s="465" t="b">
        <f>I306='d3'!J345-'d3'!J347+'d7'!I308</f>
        <v>1</v>
      </c>
      <c r="M306" s="465" t="b">
        <f>J306='d3'!K345-'d3'!K347+'d7'!J308</f>
        <v>1</v>
      </c>
    </row>
    <row r="307" spans="1:13" ht="170.1" customHeight="1" thickTop="1" thickBot="1" x14ac:dyDescent="0.25">
      <c r="A307" s="658" t="s">
        <v>161</v>
      </c>
      <c r="B307" s="658"/>
      <c r="C307" s="658"/>
      <c r="D307" s="659" t="s">
        <v>898</v>
      </c>
      <c r="E307" s="660"/>
      <c r="F307" s="660"/>
      <c r="G307" s="660">
        <f>SUM(G308:G311)</f>
        <v>99900</v>
      </c>
      <c r="H307" s="660">
        <f>SUM(H308:H311)</f>
        <v>99900</v>
      </c>
      <c r="I307" s="660">
        <f>SUM(I308:I311)</f>
        <v>0</v>
      </c>
      <c r="J307" s="660">
        <f>SUM(J308:J311)</f>
        <v>0</v>
      </c>
      <c r="K307" s="139"/>
      <c r="L307" s="139"/>
      <c r="M307" s="139"/>
    </row>
    <row r="308" spans="1:13" ht="184.5" hidden="1" thickTop="1" thickBot="1" x14ac:dyDescent="0.25">
      <c r="A308" s="128" t="s">
        <v>419</v>
      </c>
      <c r="B308" s="128" t="s">
        <v>236</v>
      </c>
      <c r="C308" s="128" t="s">
        <v>234</v>
      </c>
      <c r="D308" s="128" t="s">
        <v>235</v>
      </c>
      <c r="E308" s="255" t="s">
        <v>1037</v>
      </c>
      <c r="F308" s="196" t="s">
        <v>857</v>
      </c>
      <c r="G308" s="196">
        <f>H308+I308</f>
        <v>0</v>
      </c>
      <c r="H308" s="196">
        <v>0</v>
      </c>
      <c r="I308" s="196">
        <v>0</v>
      </c>
      <c r="J308" s="196">
        <v>0</v>
      </c>
      <c r="K308" s="139"/>
      <c r="L308" s="139"/>
      <c r="M308" s="139"/>
    </row>
    <row r="309" spans="1:13" ht="367.5" hidden="1" thickTop="1" thickBot="1" x14ac:dyDescent="0.25">
      <c r="A309" s="128" t="s">
        <v>631</v>
      </c>
      <c r="B309" s="128" t="s">
        <v>362</v>
      </c>
      <c r="C309" s="128" t="s">
        <v>625</v>
      </c>
      <c r="D309" s="128" t="s">
        <v>626</v>
      </c>
      <c r="E309" s="255" t="s">
        <v>1297</v>
      </c>
      <c r="F309" s="196" t="s">
        <v>1298</v>
      </c>
      <c r="G309" s="196">
        <f t="shared" ref="G309:G311" si="40">H309+I309</f>
        <v>0</v>
      </c>
      <c r="H309" s="256">
        <f>'d3'!E348</f>
        <v>0</v>
      </c>
      <c r="I309" s="273">
        <v>0</v>
      </c>
      <c r="J309" s="273">
        <v>0</v>
      </c>
      <c r="K309" s="139"/>
      <c r="L309" s="139"/>
      <c r="M309" s="139"/>
    </row>
    <row r="310" spans="1:13" ht="184.5" thickTop="1" thickBot="1" x14ac:dyDescent="0.25">
      <c r="A310" s="103" t="s">
        <v>1260</v>
      </c>
      <c r="B310" s="103" t="s">
        <v>43</v>
      </c>
      <c r="C310" s="103" t="s">
        <v>42</v>
      </c>
      <c r="D310" s="103" t="s">
        <v>248</v>
      </c>
      <c r="E310" s="321" t="s">
        <v>1516</v>
      </c>
      <c r="F310" s="318" t="s">
        <v>1542</v>
      </c>
      <c r="G310" s="318">
        <f t="shared" si="40"/>
        <v>99900</v>
      </c>
      <c r="H310" s="322">
        <f>'d3'!E349</f>
        <v>99900</v>
      </c>
      <c r="I310" s="460">
        <f>'d3'!J349</f>
        <v>0</v>
      </c>
      <c r="J310" s="460">
        <f>'d3'!K349</f>
        <v>0</v>
      </c>
      <c r="K310" s="139"/>
      <c r="L310" s="139"/>
      <c r="M310" s="139"/>
    </row>
    <row r="311" spans="1:13" ht="184.5" hidden="1" thickTop="1" thickBot="1" x14ac:dyDescent="0.25">
      <c r="A311" s="128" t="s">
        <v>911</v>
      </c>
      <c r="B311" s="128" t="s">
        <v>912</v>
      </c>
      <c r="C311" s="128" t="s">
        <v>304</v>
      </c>
      <c r="D311" s="128" t="s">
        <v>913</v>
      </c>
      <c r="E311" s="255" t="s">
        <v>1282</v>
      </c>
      <c r="F311" s="196" t="s">
        <v>1283</v>
      </c>
      <c r="G311" s="196">
        <f t="shared" si="40"/>
        <v>0</v>
      </c>
      <c r="H311" s="256">
        <f>'d3'!E352</f>
        <v>0</v>
      </c>
      <c r="I311" s="273">
        <f>'d3'!J352</f>
        <v>0</v>
      </c>
      <c r="J311" s="273">
        <f>'d3'!K352</f>
        <v>0</v>
      </c>
      <c r="K311" s="139"/>
      <c r="L311" s="139"/>
      <c r="M311" s="139"/>
    </row>
    <row r="312" spans="1:13" ht="170.1" customHeight="1" thickTop="1" thickBot="1" x14ac:dyDescent="0.25">
      <c r="A312" s="661" t="s">
        <v>444</v>
      </c>
      <c r="B312" s="661"/>
      <c r="C312" s="661"/>
      <c r="D312" s="662" t="s">
        <v>446</v>
      </c>
      <c r="E312" s="661"/>
      <c r="F312" s="661"/>
      <c r="G312" s="664">
        <f>G313</f>
        <v>161006047</v>
      </c>
      <c r="H312" s="664">
        <f t="shared" ref="H312:J312" si="41">H313</f>
        <v>160849547</v>
      </c>
      <c r="I312" s="664">
        <f t="shared" si="41"/>
        <v>156500</v>
      </c>
      <c r="J312" s="664">
        <f t="shared" si="41"/>
        <v>156500</v>
      </c>
      <c r="K312" s="139"/>
      <c r="L312" s="139"/>
      <c r="M312" s="139"/>
    </row>
    <row r="313" spans="1:13" ht="170.1" customHeight="1" thickTop="1" thickBot="1" x14ac:dyDescent="0.25">
      <c r="A313" s="658" t="s">
        <v>445</v>
      </c>
      <c r="B313" s="658"/>
      <c r="C313" s="658"/>
      <c r="D313" s="659" t="s">
        <v>447</v>
      </c>
      <c r="E313" s="660"/>
      <c r="F313" s="660"/>
      <c r="G313" s="660">
        <f>SUM(G314:G323)</f>
        <v>161006047</v>
      </c>
      <c r="H313" s="660">
        <f t="shared" ref="H313" si="42">SUM(H314:H323)</f>
        <v>160849547</v>
      </c>
      <c r="I313" s="660">
        <f>SUM(I314:I323)</f>
        <v>156500</v>
      </c>
      <c r="J313" s="660">
        <f>SUM(J314:J323)</f>
        <v>156500</v>
      </c>
      <c r="K313" s="96" t="b">
        <f>H313='d3'!E354-'d3'!E356+'d7'!H314</f>
        <v>1</v>
      </c>
      <c r="L313" s="465" t="b">
        <f>I313='d3'!J354-'d3'!J356+'d7'!I314</f>
        <v>1</v>
      </c>
      <c r="M313" s="465" t="b">
        <f>J313='d3'!K354-'d3'!K356+'d7'!J314</f>
        <v>1</v>
      </c>
    </row>
    <row r="314" spans="1:13" ht="184.5" hidden="1" thickTop="1" thickBot="1" x14ac:dyDescent="0.25">
      <c r="A314" s="128" t="s">
        <v>448</v>
      </c>
      <c r="B314" s="128" t="s">
        <v>236</v>
      </c>
      <c r="C314" s="128" t="s">
        <v>234</v>
      </c>
      <c r="D314" s="128" t="s">
        <v>235</v>
      </c>
      <c r="E314" s="255" t="s">
        <v>1037</v>
      </c>
      <c r="F314" s="196" t="s">
        <v>857</v>
      </c>
      <c r="G314" s="196">
        <f>H314+I314</f>
        <v>0</v>
      </c>
      <c r="H314" s="256">
        <v>0</v>
      </c>
      <c r="I314" s="196">
        <v>0</v>
      </c>
      <c r="J314" s="196">
        <v>0</v>
      </c>
      <c r="K314" s="139"/>
      <c r="L314" s="139"/>
      <c r="M314" s="139"/>
    </row>
    <row r="315" spans="1:13" ht="367.5" hidden="1" thickTop="1" thickBot="1" x14ac:dyDescent="0.25">
      <c r="A315" s="128" t="s">
        <v>632</v>
      </c>
      <c r="B315" s="128" t="s">
        <v>362</v>
      </c>
      <c r="C315" s="128" t="s">
        <v>625</v>
      </c>
      <c r="D315" s="128" t="s">
        <v>626</v>
      </c>
      <c r="E315" s="255" t="s">
        <v>1297</v>
      </c>
      <c r="F315" s="196" t="s">
        <v>1298</v>
      </c>
      <c r="G315" s="196">
        <f t="shared" ref="G315:G317" si="43">H315+I315</f>
        <v>0</v>
      </c>
      <c r="H315" s="256">
        <f>'d3'!E357</f>
        <v>0</v>
      </c>
      <c r="I315" s="273">
        <f>'d3'!J357</f>
        <v>0</v>
      </c>
      <c r="J315" s="273">
        <f>'d3'!K357</f>
        <v>0</v>
      </c>
      <c r="K315" s="139"/>
      <c r="L315" s="139"/>
      <c r="M315" s="139"/>
    </row>
    <row r="316" spans="1:13" ht="138.75" thickTop="1" thickBot="1" x14ac:dyDescent="0.25">
      <c r="A316" s="103" t="s">
        <v>467</v>
      </c>
      <c r="B316" s="103" t="s">
        <v>412</v>
      </c>
      <c r="C316" s="103" t="s">
        <v>413</v>
      </c>
      <c r="D316" s="103" t="s">
        <v>414</v>
      </c>
      <c r="E316" s="103" t="s">
        <v>1517</v>
      </c>
      <c r="F316" s="318" t="s">
        <v>1543</v>
      </c>
      <c r="G316" s="318">
        <f t="shared" si="43"/>
        <v>300000</v>
      </c>
      <c r="H316" s="322">
        <f>'d3'!E361</f>
        <v>300000</v>
      </c>
      <c r="I316" s="460">
        <f>'d3'!J361</f>
        <v>0</v>
      </c>
      <c r="J316" s="460">
        <f>'d3'!K361</f>
        <v>0</v>
      </c>
      <c r="K316" s="139"/>
      <c r="L316" s="139"/>
      <c r="M316" s="139"/>
    </row>
    <row r="317" spans="1:13" ht="184.5" thickTop="1" thickBot="1" x14ac:dyDescent="0.25">
      <c r="A317" s="103" t="s">
        <v>468</v>
      </c>
      <c r="B317" s="103" t="s">
        <v>291</v>
      </c>
      <c r="C317" s="103" t="s">
        <v>1367</v>
      </c>
      <c r="D317" s="103" t="s">
        <v>292</v>
      </c>
      <c r="E317" s="321" t="s">
        <v>1266</v>
      </c>
      <c r="F317" s="318" t="s">
        <v>935</v>
      </c>
      <c r="G317" s="318">
        <f t="shared" si="43"/>
        <v>158360533</v>
      </c>
      <c r="H317" s="322">
        <f>'d3'!E363</f>
        <v>158360533</v>
      </c>
      <c r="I317" s="460">
        <f>'d3'!J363</f>
        <v>0</v>
      </c>
      <c r="J317" s="460">
        <f>'d3'!K363</f>
        <v>0</v>
      </c>
      <c r="K317" s="139"/>
      <c r="L317" s="139"/>
      <c r="M317" s="139"/>
    </row>
    <row r="318" spans="1:13" ht="230.25" hidden="1" thickTop="1" thickBot="1" x14ac:dyDescent="0.25">
      <c r="A318" s="789" t="s">
        <v>1097</v>
      </c>
      <c r="B318" s="789" t="s">
        <v>1098</v>
      </c>
      <c r="C318" s="789" t="s">
        <v>295</v>
      </c>
      <c r="D318" s="789" t="s">
        <v>1096</v>
      </c>
      <c r="E318" s="255" t="s">
        <v>1016</v>
      </c>
      <c r="F318" s="196" t="s">
        <v>489</v>
      </c>
      <c r="G318" s="898">
        <f>H318+I318</f>
        <v>0</v>
      </c>
      <c r="H318" s="911"/>
      <c r="I318" s="912">
        <v>0</v>
      </c>
      <c r="J318" s="912">
        <v>0</v>
      </c>
      <c r="K318" s="139"/>
      <c r="L318" s="139"/>
      <c r="M318" s="139"/>
    </row>
    <row r="319" spans="1:13" ht="184.5" hidden="1" thickTop="1" thickBot="1" x14ac:dyDescent="0.25">
      <c r="A319" s="780"/>
      <c r="B319" s="780" t="s">
        <v>1098</v>
      </c>
      <c r="C319" s="780"/>
      <c r="D319" s="780"/>
      <c r="E319" s="255" t="s">
        <v>1161</v>
      </c>
      <c r="F319" s="196" t="s">
        <v>1162</v>
      </c>
      <c r="G319" s="780"/>
      <c r="H319" s="780"/>
      <c r="I319" s="780"/>
      <c r="J319" s="780"/>
      <c r="K319" s="139"/>
      <c r="L319" s="139"/>
      <c r="M319" s="139"/>
    </row>
    <row r="320" spans="1:13" ht="230.25" hidden="1" thickTop="1" thickBot="1" x14ac:dyDescent="0.25">
      <c r="A320" s="128" t="s">
        <v>1174</v>
      </c>
      <c r="B320" s="128" t="s">
        <v>197</v>
      </c>
      <c r="C320" s="128" t="s">
        <v>170</v>
      </c>
      <c r="D320" s="128" t="s">
        <v>1175</v>
      </c>
      <c r="E320" s="255" t="s">
        <v>1421</v>
      </c>
      <c r="F320" s="196" t="s">
        <v>489</v>
      </c>
      <c r="G320" s="196">
        <f t="shared" ref="G320:G321" si="44">H320+I320</f>
        <v>0</v>
      </c>
      <c r="H320" s="256">
        <f>'d3'!E366-H321</f>
        <v>0</v>
      </c>
      <c r="I320" s="273">
        <v>0</v>
      </c>
      <c r="J320" s="273">
        <v>0</v>
      </c>
      <c r="K320" s="254" t="b">
        <f>H320+H321='d3'!E366</f>
        <v>1</v>
      </c>
      <c r="L320" s="261" t="b">
        <f>I320+I321='d3'!J366</f>
        <v>1</v>
      </c>
      <c r="M320" s="261" t="b">
        <f>J320+J321='d3'!K366</f>
        <v>1</v>
      </c>
    </row>
    <row r="321" spans="1:13" ht="184.5" thickTop="1" thickBot="1" x14ac:dyDescent="0.25">
      <c r="A321" s="103" t="s">
        <v>1174</v>
      </c>
      <c r="B321" s="103" t="s">
        <v>197</v>
      </c>
      <c r="C321" s="103" t="s">
        <v>170</v>
      </c>
      <c r="D321" s="103" t="s">
        <v>1175</v>
      </c>
      <c r="E321" s="321" t="s">
        <v>1613</v>
      </c>
      <c r="F321" s="318" t="s">
        <v>935</v>
      </c>
      <c r="G321" s="318">
        <f t="shared" si="44"/>
        <v>156500</v>
      </c>
      <c r="H321" s="322">
        <v>0</v>
      </c>
      <c r="I321" s="460">
        <f>(0)+116000+40500</f>
        <v>156500</v>
      </c>
      <c r="J321" s="460">
        <f>(0)+116000+40500</f>
        <v>156500</v>
      </c>
      <c r="K321" s="139"/>
      <c r="L321" s="139"/>
      <c r="M321" s="139"/>
    </row>
    <row r="322" spans="1:13" ht="138.75" thickTop="1" thickBot="1" x14ac:dyDescent="0.25">
      <c r="A322" s="103" t="s">
        <v>1221</v>
      </c>
      <c r="B322" s="103" t="s">
        <v>1222</v>
      </c>
      <c r="C322" s="103" t="s">
        <v>1188</v>
      </c>
      <c r="D322" s="103" t="s">
        <v>1223</v>
      </c>
      <c r="E322" s="103" t="s">
        <v>1517</v>
      </c>
      <c r="F322" s="318" t="s">
        <v>1543</v>
      </c>
      <c r="G322" s="318">
        <f>H322+I322</f>
        <v>2189014</v>
      </c>
      <c r="H322" s="322">
        <f>'d3'!E369</f>
        <v>2189014</v>
      </c>
      <c r="I322" s="460">
        <f>'d3'!J369</f>
        <v>0</v>
      </c>
      <c r="J322" s="460">
        <f>'d3'!K369</f>
        <v>0</v>
      </c>
      <c r="K322" s="139"/>
      <c r="L322" s="139"/>
      <c r="M322" s="139"/>
    </row>
    <row r="323" spans="1:13" ht="184.5" hidden="1" thickTop="1" thickBot="1" x14ac:dyDescent="0.25">
      <c r="A323" s="128" t="s">
        <v>1335</v>
      </c>
      <c r="B323" s="128" t="s">
        <v>514</v>
      </c>
      <c r="C323" s="128" t="s">
        <v>43</v>
      </c>
      <c r="D323" s="128" t="s">
        <v>515</v>
      </c>
      <c r="E323" s="128" t="s">
        <v>1363</v>
      </c>
      <c r="F323" s="196" t="s">
        <v>1364</v>
      </c>
      <c r="G323" s="196">
        <f>H323+I323</f>
        <v>0</v>
      </c>
      <c r="H323" s="256">
        <v>0</v>
      </c>
      <c r="I323" s="273">
        <v>0</v>
      </c>
      <c r="J323" s="273">
        <v>0</v>
      </c>
      <c r="K323" s="139"/>
      <c r="L323" s="139"/>
      <c r="M323" s="139"/>
    </row>
    <row r="324" spans="1:13" ht="170.1" customHeight="1" thickTop="1" thickBot="1" x14ac:dyDescent="0.25">
      <c r="A324" s="661" t="s">
        <v>166</v>
      </c>
      <c r="B324" s="661"/>
      <c r="C324" s="661"/>
      <c r="D324" s="662" t="s">
        <v>354</v>
      </c>
      <c r="E324" s="661"/>
      <c r="F324" s="661"/>
      <c r="G324" s="664">
        <f>G325</f>
        <v>14690800</v>
      </c>
      <c r="H324" s="664">
        <f t="shared" ref="H324:J324" si="45">H325</f>
        <v>10220842</v>
      </c>
      <c r="I324" s="664">
        <f t="shared" si="45"/>
        <v>4469958</v>
      </c>
      <c r="J324" s="664">
        <f t="shared" si="45"/>
        <v>4469958</v>
      </c>
      <c r="K324" s="96" t="b">
        <f>H324='d3'!E372</f>
        <v>1</v>
      </c>
      <c r="L324" s="465" t="b">
        <f>I324='d3'!J372</f>
        <v>1</v>
      </c>
      <c r="M324" s="465" t="b">
        <f>J324='d3'!K372</f>
        <v>1</v>
      </c>
    </row>
    <row r="325" spans="1:13" ht="170.1" customHeight="1" thickTop="1" thickBot="1" x14ac:dyDescent="0.25">
      <c r="A325" s="658" t="s">
        <v>167</v>
      </c>
      <c r="B325" s="658"/>
      <c r="C325" s="658"/>
      <c r="D325" s="659" t="s">
        <v>355</v>
      </c>
      <c r="E325" s="660"/>
      <c r="F325" s="660"/>
      <c r="G325" s="660">
        <f>SUM(G326:G339)</f>
        <v>14690800</v>
      </c>
      <c r="H325" s="660">
        <f>SUM(H326:H339)</f>
        <v>10220842</v>
      </c>
      <c r="I325" s="660">
        <f>SUM(I326:I339)</f>
        <v>4469958</v>
      </c>
      <c r="J325" s="660">
        <f>SUM(J326:J339)</f>
        <v>4469958</v>
      </c>
      <c r="K325" s="139"/>
      <c r="L325" s="139"/>
      <c r="M325" s="139"/>
    </row>
    <row r="326" spans="1:13" ht="184.5" thickTop="1" thickBot="1" x14ac:dyDescent="0.25">
      <c r="A326" s="103" t="s">
        <v>1309</v>
      </c>
      <c r="B326" s="103" t="s">
        <v>1200</v>
      </c>
      <c r="C326" s="103" t="s">
        <v>206</v>
      </c>
      <c r="D326" s="470" t="s">
        <v>1201</v>
      </c>
      <c r="E326" s="318" t="s">
        <v>1156</v>
      </c>
      <c r="F326" s="318" t="s">
        <v>1304</v>
      </c>
      <c r="G326" s="322">
        <f t="shared" ref="G326:G331" si="46">H326+I326</f>
        <v>499000</v>
      </c>
      <c r="H326" s="318">
        <f>'d3'!E375</f>
        <v>376502</v>
      </c>
      <c r="I326" s="318">
        <f>'d3'!J375</f>
        <v>122498</v>
      </c>
      <c r="J326" s="318">
        <f>'d3'!K375</f>
        <v>122498</v>
      </c>
      <c r="K326" s="139"/>
      <c r="L326" s="139"/>
      <c r="M326" s="139"/>
    </row>
    <row r="327" spans="1:13" ht="184.5" thickTop="1" thickBot="1" x14ac:dyDescent="0.25">
      <c r="A327" s="103" t="s">
        <v>1621</v>
      </c>
      <c r="B327" s="103" t="s">
        <v>330</v>
      </c>
      <c r="C327" s="103" t="s">
        <v>191</v>
      </c>
      <c r="D327" s="470" t="s">
        <v>332</v>
      </c>
      <c r="E327" s="318" t="s">
        <v>1156</v>
      </c>
      <c r="F327" s="318" t="s">
        <v>1304</v>
      </c>
      <c r="G327" s="322">
        <f t="shared" si="46"/>
        <v>851800</v>
      </c>
      <c r="H327" s="318">
        <f>'d3'!F376</f>
        <v>628300</v>
      </c>
      <c r="I327" s="318">
        <f>'d3'!J376</f>
        <v>223500</v>
      </c>
      <c r="J327" s="318">
        <f>'d3'!K376</f>
        <v>223500</v>
      </c>
      <c r="K327" s="139"/>
      <c r="L327" s="139"/>
      <c r="M327" s="139"/>
    </row>
    <row r="328" spans="1:13" ht="184.5" thickTop="1" thickBot="1" x14ac:dyDescent="0.25">
      <c r="A328" s="103" t="s">
        <v>1012</v>
      </c>
      <c r="B328" s="103" t="s">
        <v>350</v>
      </c>
      <c r="C328" s="103" t="s">
        <v>170</v>
      </c>
      <c r="D328" s="103" t="s">
        <v>262</v>
      </c>
      <c r="E328" s="321" t="s">
        <v>1516</v>
      </c>
      <c r="F328" s="318" t="s">
        <v>1542</v>
      </c>
      <c r="G328" s="322">
        <f t="shared" si="46"/>
        <v>50000</v>
      </c>
      <c r="H328" s="318">
        <v>50000</v>
      </c>
      <c r="I328" s="318">
        <v>0</v>
      </c>
      <c r="J328" s="318">
        <v>0</v>
      </c>
      <c r="K328" s="96" t="b">
        <f>H328+H329='d3'!E379</f>
        <v>1</v>
      </c>
      <c r="L328" s="465" t="b">
        <f>I328+I329='d3'!J379</f>
        <v>1</v>
      </c>
      <c r="M328" s="465" t="b">
        <f>J328+J329='d3'!K379</f>
        <v>1</v>
      </c>
    </row>
    <row r="329" spans="1:13" ht="230.25" thickTop="1" thickBot="1" x14ac:dyDescent="0.25">
      <c r="A329" s="103" t="s">
        <v>1012</v>
      </c>
      <c r="B329" s="103" t="s">
        <v>350</v>
      </c>
      <c r="C329" s="103" t="s">
        <v>170</v>
      </c>
      <c r="D329" s="103" t="s">
        <v>262</v>
      </c>
      <c r="E329" s="321" t="s">
        <v>1619</v>
      </c>
      <c r="F329" s="318" t="s">
        <v>1620</v>
      </c>
      <c r="G329" s="322">
        <f t="shared" si="46"/>
        <v>4000000</v>
      </c>
      <c r="H329" s="318">
        <v>0</v>
      </c>
      <c r="I329" s="318">
        <f>(0)+5000000-1000000</f>
        <v>4000000</v>
      </c>
      <c r="J329" s="318">
        <f>(0)+5000000-1000000</f>
        <v>4000000</v>
      </c>
      <c r="K329" s="96"/>
      <c r="L329" s="465"/>
      <c r="M329" s="465"/>
    </row>
    <row r="330" spans="1:13" ht="184.5" thickTop="1" thickBot="1" x14ac:dyDescent="0.25">
      <c r="A330" s="103" t="s">
        <v>260</v>
      </c>
      <c r="B330" s="103" t="s">
        <v>261</v>
      </c>
      <c r="C330" s="103" t="s">
        <v>259</v>
      </c>
      <c r="D330" s="103" t="s">
        <v>258</v>
      </c>
      <c r="E330" s="321" t="s">
        <v>1559</v>
      </c>
      <c r="F330" s="318" t="s">
        <v>1590</v>
      </c>
      <c r="G330" s="322">
        <f t="shared" si="46"/>
        <v>6000000</v>
      </c>
      <c r="H330" s="318">
        <f>(0)+6000000</f>
        <v>6000000</v>
      </c>
      <c r="I330" s="318">
        <v>0</v>
      </c>
      <c r="J330" s="318">
        <v>0</v>
      </c>
      <c r="K330" s="96"/>
      <c r="L330" s="465"/>
      <c r="M330" s="465"/>
    </row>
    <row r="331" spans="1:13" ht="184.5" thickTop="1" thickBot="1" x14ac:dyDescent="0.25">
      <c r="A331" s="103" t="s">
        <v>260</v>
      </c>
      <c r="B331" s="103" t="s">
        <v>261</v>
      </c>
      <c r="C331" s="103" t="s">
        <v>259</v>
      </c>
      <c r="D331" s="103" t="s">
        <v>258</v>
      </c>
      <c r="E331" s="321" t="s">
        <v>1299</v>
      </c>
      <c r="F331" s="318" t="s">
        <v>1163</v>
      </c>
      <c r="G331" s="322">
        <f t="shared" si="46"/>
        <v>2195000</v>
      </c>
      <c r="H331" s="318">
        <f>(1995000)+200000</f>
        <v>2195000</v>
      </c>
      <c r="I331" s="318">
        <v>0</v>
      </c>
      <c r="J331" s="318">
        <v>0</v>
      </c>
      <c r="K331" s="96" t="b">
        <f>H331+H332+H330='d3'!E381</f>
        <v>1</v>
      </c>
      <c r="L331" s="465" t="b">
        <f>I331+I332+I330='d3'!J381</f>
        <v>1</v>
      </c>
      <c r="M331" s="465" t="b">
        <f>J331+J332+J330='d3'!K381</f>
        <v>1</v>
      </c>
    </row>
    <row r="332" spans="1:13" ht="138.75" thickTop="1" thickBot="1" x14ac:dyDescent="0.25">
      <c r="A332" s="103" t="s">
        <v>260</v>
      </c>
      <c r="B332" s="103" t="s">
        <v>261</v>
      </c>
      <c r="C332" s="103" t="s">
        <v>259</v>
      </c>
      <c r="D332" s="103" t="s">
        <v>258</v>
      </c>
      <c r="E332" s="321" t="s">
        <v>1399</v>
      </c>
      <c r="F332" s="330" t="s">
        <v>425</v>
      </c>
      <c r="G332" s="322">
        <f t="shared" ref="G332:G339" si="47">H332+I332</f>
        <v>50000</v>
      </c>
      <c r="H332" s="318">
        <f>(100000)-50000</f>
        <v>50000</v>
      </c>
      <c r="I332" s="318">
        <v>0</v>
      </c>
      <c r="J332" s="318">
        <v>0</v>
      </c>
      <c r="K332" s="139"/>
      <c r="L332" s="139"/>
      <c r="M332" s="261"/>
    </row>
    <row r="333" spans="1:13" ht="276" thickTop="1" thickBot="1" x14ac:dyDescent="0.25">
      <c r="A333" s="103" t="s">
        <v>252</v>
      </c>
      <c r="B333" s="103" t="s">
        <v>254</v>
      </c>
      <c r="C333" s="103" t="s">
        <v>213</v>
      </c>
      <c r="D333" s="103" t="s">
        <v>253</v>
      </c>
      <c r="E333" s="318" t="s">
        <v>1272</v>
      </c>
      <c r="F333" s="318" t="s">
        <v>862</v>
      </c>
      <c r="G333" s="322">
        <f t="shared" si="47"/>
        <v>505000</v>
      </c>
      <c r="H333" s="318">
        <v>505000</v>
      </c>
      <c r="I333" s="318">
        <v>0</v>
      </c>
      <c r="J333" s="318">
        <v>0</v>
      </c>
      <c r="K333" s="96" t="b">
        <f>H333='d3'!E382</f>
        <v>1</v>
      </c>
      <c r="L333" s="465" t="b">
        <f>I333='d3'!J382</f>
        <v>1</v>
      </c>
      <c r="M333" s="465" t="b">
        <f>J333='d3'!K382</f>
        <v>1</v>
      </c>
    </row>
    <row r="334" spans="1:13" ht="184.5" hidden="1" thickTop="1" thickBot="1" x14ac:dyDescent="0.25">
      <c r="A334" s="103" t="s">
        <v>1303</v>
      </c>
      <c r="B334" s="103" t="s">
        <v>212</v>
      </c>
      <c r="C334" s="103" t="s">
        <v>213</v>
      </c>
      <c r="D334" s="103" t="s">
        <v>41</v>
      </c>
      <c r="E334" s="318" t="s">
        <v>1156</v>
      </c>
      <c r="F334" s="318" t="s">
        <v>1304</v>
      </c>
      <c r="G334" s="322">
        <f t="shared" si="47"/>
        <v>0</v>
      </c>
      <c r="H334" s="318">
        <f>'d3'!E383</f>
        <v>0</v>
      </c>
      <c r="I334" s="318">
        <f>'d3'!J383</f>
        <v>0</v>
      </c>
      <c r="J334" s="318">
        <f>'d3'!K383</f>
        <v>0</v>
      </c>
      <c r="K334" s="254"/>
      <c r="L334" s="261"/>
      <c r="M334" s="261"/>
    </row>
    <row r="335" spans="1:13" ht="184.5" hidden="1" thickTop="1" thickBot="1" x14ac:dyDescent="0.25">
      <c r="A335" s="128" t="s">
        <v>256</v>
      </c>
      <c r="B335" s="128" t="s">
        <v>257</v>
      </c>
      <c r="C335" s="128" t="s">
        <v>170</v>
      </c>
      <c r="D335" s="128" t="s">
        <v>255</v>
      </c>
      <c r="E335" s="196" t="s">
        <v>1156</v>
      </c>
      <c r="F335" s="196" t="s">
        <v>588</v>
      </c>
      <c r="G335" s="256">
        <f t="shared" si="47"/>
        <v>0</v>
      </c>
      <c r="H335" s="196"/>
      <c r="I335" s="196"/>
      <c r="J335" s="196"/>
    </row>
    <row r="336" spans="1:13" ht="230.25" hidden="1" thickTop="1" thickBot="1" x14ac:dyDescent="0.25">
      <c r="A336" s="41" t="s">
        <v>256</v>
      </c>
      <c r="B336" s="41" t="s">
        <v>257</v>
      </c>
      <c r="C336" s="41" t="s">
        <v>170</v>
      </c>
      <c r="D336" s="41" t="s">
        <v>255</v>
      </c>
      <c r="E336" s="258" t="s">
        <v>954</v>
      </c>
      <c r="F336" s="73" t="s">
        <v>955</v>
      </c>
      <c r="G336" s="259">
        <f t="shared" si="47"/>
        <v>0</v>
      </c>
      <c r="H336" s="73">
        <v>0</v>
      </c>
      <c r="I336" s="73">
        <v>0</v>
      </c>
      <c r="J336" s="73">
        <v>0</v>
      </c>
      <c r="K336" s="254"/>
      <c r="L336" s="261"/>
      <c r="M336" s="262"/>
    </row>
    <row r="337" spans="1:14" ht="230.25" hidden="1" thickTop="1" thickBot="1" x14ac:dyDescent="0.25">
      <c r="A337" s="128" t="s">
        <v>256</v>
      </c>
      <c r="B337" s="128" t="s">
        <v>257</v>
      </c>
      <c r="C337" s="128" t="s">
        <v>170</v>
      </c>
      <c r="D337" s="128" t="s">
        <v>255</v>
      </c>
      <c r="E337" s="255" t="s">
        <v>1365</v>
      </c>
      <c r="F337" s="151" t="s">
        <v>1366</v>
      </c>
      <c r="G337" s="256">
        <f t="shared" si="47"/>
        <v>0</v>
      </c>
      <c r="H337" s="196">
        <v>0</v>
      </c>
      <c r="I337" s="196">
        <v>0</v>
      </c>
      <c r="J337" s="196">
        <v>0</v>
      </c>
      <c r="K337" s="254" t="b">
        <f>'d3'!E385=H335+H336+H337</f>
        <v>1</v>
      </c>
      <c r="L337" s="261" t="b">
        <f>'d3'!J385=I335+I336+I337</f>
        <v>1</v>
      </c>
      <c r="M337" s="261" t="b">
        <f>'d3'!K385=J335+J336+J337</f>
        <v>1</v>
      </c>
    </row>
    <row r="338" spans="1:14" ht="184.5" thickTop="1" thickBot="1" x14ac:dyDescent="0.25">
      <c r="A338" s="103" t="s">
        <v>1307</v>
      </c>
      <c r="B338" s="103" t="s">
        <v>1190</v>
      </c>
      <c r="C338" s="103" t="s">
        <v>1188</v>
      </c>
      <c r="D338" s="103" t="s">
        <v>1187</v>
      </c>
      <c r="E338" s="318" t="s">
        <v>1156</v>
      </c>
      <c r="F338" s="318" t="s">
        <v>1304</v>
      </c>
      <c r="G338" s="322">
        <f t="shared" ref="G338" si="48">H338+I338</f>
        <v>540000</v>
      </c>
      <c r="H338" s="318">
        <f>'d3'!E388</f>
        <v>416040</v>
      </c>
      <c r="I338" s="318">
        <f>'d3'!J388</f>
        <v>123960</v>
      </c>
      <c r="J338" s="318">
        <f>'d3'!K388</f>
        <v>123960</v>
      </c>
      <c r="K338" s="254"/>
      <c r="L338" s="261"/>
      <c r="M338" s="262"/>
    </row>
    <row r="339" spans="1:14" ht="184.5" hidden="1" thickTop="1" thickBot="1" x14ac:dyDescent="0.25">
      <c r="A339" s="128" t="s">
        <v>908</v>
      </c>
      <c r="B339" s="128" t="s">
        <v>363</v>
      </c>
      <c r="C339" s="128" t="s">
        <v>43</v>
      </c>
      <c r="D339" s="128" t="s">
        <v>364</v>
      </c>
      <c r="E339" s="255" t="s">
        <v>1282</v>
      </c>
      <c r="F339" s="196" t="s">
        <v>1283</v>
      </c>
      <c r="G339" s="256">
        <f t="shared" si="47"/>
        <v>0</v>
      </c>
      <c r="H339" s="196">
        <f>'d3'!E391</f>
        <v>0</v>
      </c>
      <c r="I339" s="196">
        <f>'d3'!J391</f>
        <v>0</v>
      </c>
      <c r="J339" s="196">
        <f>'d3'!K391</f>
        <v>0</v>
      </c>
      <c r="K339" s="254"/>
      <c r="L339" s="261"/>
      <c r="M339" s="262"/>
    </row>
    <row r="340" spans="1:14" ht="200.1" customHeight="1" thickTop="1" thickBot="1" x14ac:dyDescent="0.25">
      <c r="A340" s="661" t="s">
        <v>164</v>
      </c>
      <c r="B340" s="661"/>
      <c r="C340" s="661"/>
      <c r="D340" s="662" t="s">
        <v>888</v>
      </c>
      <c r="E340" s="661"/>
      <c r="F340" s="661"/>
      <c r="G340" s="664">
        <f>G341</f>
        <v>1200000</v>
      </c>
      <c r="H340" s="664">
        <f t="shared" ref="H340:J340" si="49">H341</f>
        <v>0</v>
      </c>
      <c r="I340" s="664">
        <f t="shared" si="49"/>
        <v>1200000</v>
      </c>
      <c r="J340" s="664">
        <f t="shared" si="49"/>
        <v>0</v>
      </c>
      <c r="K340" s="96" t="b">
        <f>H340='d3'!E393-'d3'!E395+H342</f>
        <v>1</v>
      </c>
      <c r="L340" s="465" t="b">
        <f>I340='d3'!J393-'d3'!J395+'d7'!I342</f>
        <v>1</v>
      </c>
      <c r="M340" s="465" t="b">
        <f>J340='d3'!K393-'d3'!K395+'d7'!J342</f>
        <v>1</v>
      </c>
    </row>
    <row r="341" spans="1:14" ht="200.1" customHeight="1" thickTop="1" thickBot="1" x14ac:dyDescent="0.25">
      <c r="A341" s="658" t="s">
        <v>165</v>
      </c>
      <c r="B341" s="658"/>
      <c r="C341" s="658"/>
      <c r="D341" s="659" t="s">
        <v>889</v>
      </c>
      <c r="E341" s="660"/>
      <c r="F341" s="660"/>
      <c r="G341" s="660">
        <f>SUM(G342:G346)</f>
        <v>1200000</v>
      </c>
      <c r="H341" s="660">
        <f>SUM(H342:H346)</f>
        <v>0</v>
      </c>
      <c r="I341" s="660">
        <f>SUM(I342:I346)</f>
        <v>1200000</v>
      </c>
      <c r="J341" s="660">
        <f>SUM(J342:J346)</f>
        <v>0</v>
      </c>
      <c r="K341" s="139"/>
      <c r="L341" s="139"/>
      <c r="M341" s="139"/>
    </row>
    <row r="342" spans="1:14" ht="184.5" hidden="1" thickTop="1" thickBot="1" x14ac:dyDescent="0.25">
      <c r="A342" s="128" t="s">
        <v>422</v>
      </c>
      <c r="B342" s="128" t="s">
        <v>236</v>
      </c>
      <c r="C342" s="128" t="s">
        <v>234</v>
      </c>
      <c r="D342" s="128" t="s">
        <v>235</v>
      </c>
      <c r="E342" s="255" t="s">
        <v>1037</v>
      </c>
      <c r="F342" s="196" t="s">
        <v>857</v>
      </c>
      <c r="G342" s="196">
        <f>H342+I342</f>
        <v>0</v>
      </c>
      <c r="H342" s="256"/>
      <c r="I342" s="196"/>
      <c r="J342" s="196"/>
      <c r="K342" s="139"/>
      <c r="L342" s="139"/>
      <c r="M342" s="139"/>
    </row>
    <row r="343" spans="1:14" ht="391.7" hidden="1" customHeight="1" thickTop="1" thickBot="1" x14ac:dyDescent="0.25">
      <c r="A343" s="128" t="s">
        <v>633</v>
      </c>
      <c r="B343" s="128" t="s">
        <v>362</v>
      </c>
      <c r="C343" s="128" t="s">
        <v>625</v>
      </c>
      <c r="D343" s="128" t="s">
        <v>626</v>
      </c>
      <c r="E343" s="265" t="s">
        <v>884</v>
      </c>
      <c r="F343" s="266" t="s">
        <v>885</v>
      </c>
      <c r="G343" s="196">
        <f t="shared" ref="G343" si="50">H343+I343</f>
        <v>0</v>
      </c>
      <c r="H343" s="256">
        <f>'d3'!E396</f>
        <v>0</v>
      </c>
      <c r="I343" s="273"/>
      <c r="J343" s="273"/>
      <c r="K343" s="139"/>
      <c r="L343" s="139"/>
      <c r="M343" s="139"/>
    </row>
    <row r="344" spans="1:14" ht="184.5" thickTop="1" thickBot="1" x14ac:dyDescent="0.25">
      <c r="A344" s="103" t="s">
        <v>1127</v>
      </c>
      <c r="B344" s="103" t="s">
        <v>1128</v>
      </c>
      <c r="C344" s="103" t="s">
        <v>51</v>
      </c>
      <c r="D344" s="103" t="s">
        <v>1129</v>
      </c>
      <c r="E344" s="321" t="s">
        <v>1207</v>
      </c>
      <c r="F344" s="318" t="s">
        <v>953</v>
      </c>
      <c r="G344" s="322">
        <f t="shared" ref="G344:G346" si="51">H344+I344</f>
        <v>1200000</v>
      </c>
      <c r="H344" s="318">
        <f>'d3'!E399</f>
        <v>0</v>
      </c>
      <c r="I344" s="318">
        <v>1200000</v>
      </c>
      <c r="J344" s="318">
        <f>'d3'!K399</f>
        <v>0</v>
      </c>
      <c r="K344" s="96" t="b">
        <f>H344+H345='d3'!E399</f>
        <v>1</v>
      </c>
      <c r="L344" s="96" t="b">
        <f>I344+I345='d3'!J399</f>
        <v>1</v>
      </c>
      <c r="M344" s="96" t="b">
        <f>J344+J345='d3'!K399</f>
        <v>1</v>
      </c>
    </row>
    <row r="345" spans="1:14" ht="230.25" hidden="1" thickTop="1" thickBot="1" x14ac:dyDescent="0.25">
      <c r="A345" s="128" t="s">
        <v>1127</v>
      </c>
      <c r="B345" s="128" t="s">
        <v>1128</v>
      </c>
      <c r="C345" s="128" t="s">
        <v>51</v>
      </c>
      <c r="D345" s="128" t="s">
        <v>1129</v>
      </c>
      <c r="E345" s="255" t="s">
        <v>1275</v>
      </c>
      <c r="F345" s="196" t="s">
        <v>1250</v>
      </c>
      <c r="G345" s="256">
        <f t="shared" si="51"/>
        <v>0</v>
      </c>
      <c r="H345" s="196">
        <v>0</v>
      </c>
      <c r="I345" s="196">
        <v>0</v>
      </c>
      <c r="J345" s="196">
        <v>0</v>
      </c>
      <c r="K345" s="139"/>
      <c r="L345" s="139"/>
      <c r="M345" s="139"/>
    </row>
    <row r="346" spans="1:14" ht="230.25" hidden="1" thickTop="1" thickBot="1" x14ac:dyDescent="0.25">
      <c r="A346" s="128" t="s">
        <v>1248</v>
      </c>
      <c r="B346" s="128" t="s">
        <v>514</v>
      </c>
      <c r="C346" s="128" t="s">
        <v>43</v>
      </c>
      <c r="D346" s="128" t="s">
        <v>515</v>
      </c>
      <c r="E346" s="255" t="s">
        <v>1275</v>
      </c>
      <c r="F346" s="196" t="s">
        <v>1250</v>
      </c>
      <c r="G346" s="256">
        <f t="shared" si="51"/>
        <v>0</v>
      </c>
      <c r="H346" s="196">
        <f>'d3'!E401</f>
        <v>0</v>
      </c>
      <c r="I346" s="196">
        <f>'d3'!J401</f>
        <v>0</v>
      </c>
      <c r="J346" s="196">
        <f>'d3'!K401</f>
        <v>0</v>
      </c>
      <c r="K346" s="139"/>
      <c r="L346" s="139"/>
      <c r="M346" s="139"/>
    </row>
    <row r="347" spans="1:14" ht="200.1" customHeight="1" thickTop="1" thickBot="1" x14ac:dyDescent="0.25">
      <c r="A347" s="661" t="s">
        <v>162</v>
      </c>
      <c r="B347" s="661"/>
      <c r="C347" s="661"/>
      <c r="D347" s="662" t="s">
        <v>899</v>
      </c>
      <c r="E347" s="661"/>
      <c r="F347" s="661"/>
      <c r="G347" s="664">
        <f>G348</f>
        <v>225000</v>
      </c>
      <c r="H347" s="664">
        <f t="shared" ref="H347:J347" si="52">H348</f>
        <v>160000</v>
      </c>
      <c r="I347" s="664">
        <f t="shared" si="52"/>
        <v>65000</v>
      </c>
      <c r="J347" s="664">
        <f t="shared" si="52"/>
        <v>65000</v>
      </c>
      <c r="K347" s="96" t="b">
        <f>H347='d3'!E403-'d3'!E405+H349</f>
        <v>1</v>
      </c>
      <c r="L347" s="465" t="b">
        <f>I347='d3'!J403-'d3'!J405+I349</f>
        <v>1</v>
      </c>
      <c r="M347" s="465" t="b">
        <f>J347='d3'!K403-'d3'!K405+J349</f>
        <v>1</v>
      </c>
    </row>
    <row r="348" spans="1:14" ht="200.1" customHeight="1" thickTop="1" thickBot="1" x14ac:dyDescent="0.25">
      <c r="A348" s="658" t="s">
        <v>163</v>
      </c>
      <c r="B348" s="658"/>
      <c r="C348" s="658"/>
      <c r="D348" s="659" t="s">
        <v>900</v>
      </c>
      <c r="E348" s="660"/>
      <c r="F348" s="660"/>
      <c r="G348" s="660">
        <f>SUM(G349:G352)</f>
        <v>225000</v>
      </c>
      <c r="H348" s="660">
        <f>SUM(H349:H352)</f>
        <v>160000</v>
      </c>
      <c r="I348" s="660">
        <f>SUM(I349:I352)</f>
        <v>65000</v>
      </c>
      <c r="J348" s="660">
        <f>SUM(J349:J352)</f>
        <v>65000</v>
      </c>
      <c r="K348" s="139"/>
      <c r="L348" s="139"/>
      <c r="M348" s="139"/>
    </row>
    <row r="349" spans="1:14" ht="184.5" hidden="1" thickTop="1" thickBot="1" x14ac:dyDescent="0.25">
      <c r="A349" s="128" t="s">
        <v>418</v>
      </c>
      <c r="B349" s="128" t="s">
        <v>236</v>
      </c>
      <c r="C349" s="128" t="s">
        <v>234</v>
      </c>
      <c r="D349" s="128" t="s">
        <v>235</v>
      </c>
      <c r="E349" s="255" t="s">
        <v>1037</v>
      </c>
      <c r="F349" s="196" t="s">
        <v>857</v>
      </c>
      <c r="G349" s="196">
        <f>H349+I349</f>
        <v>0</v>
      </c>
      <c r="H349" s="256">
        <v>0</v>
      </c>
      <c r="I349" s="196">
        <v>0</v>
      </c>
      <c r="J349" s="196">
        <v>0</v>
      </c>
      <c r="K349" s="139"/>
      <c r="L349" s="139"/>
      <c r="M349" s="139"/>
    </row>
    <row r="350" spans="1:14" ht="184.5" thickTop="1" thickBot="1" x14ac:dyDescent="0.25">
      <c r="A350" s="103" t="s">
        <v>306</v>
      </c>
      <c r="B350" s="103" t="s">
        <v>307</v>
      </c>
      <c r="C350" s="103" t="s">
        <v>308</v>
      </c>
      <c r="D350" s="103" t="s">
        <v>461</v>
      </c>
      <c r="E350" s="321" t="s">
        <v>1516</v>
      </c>
      <c r="F350" s="318" t="s">
        <v>1542</v>
      </c>
      <c r="G350" s="322">
        <f t="shared" ref="G350:G352" si="53">H350+I350</f>
        <v>130000</v>
      </c>
      <c r="H350" s="318">
        <f>80000+50000</f>
        <v>130000</v>
      </c>
      <c r="I350" s="318">
        <f>'d3'!J408</f>
        <v>0</v>
      </c>
      <c r="J350" s="318">
        <f>'d3'!K408</f>
        <v>0</v>
      </c>
      <c r="K350" s="139"/>
      <c r="L350" s="139"/>
      <c r="M350" s="139"/>
    </row>
    <row r="351" spans="1:14" ht="184.5" thickTop="1" thickBot="1" x14ac:dyDescent="0.25">
      <c r="A351" s="103" t="s">
        <v>306</v>
      </c>
      <c r="B351" s="103" t="s">
        <v>307</v>
      </c>
      <c r="C351" s="103" t="s">
        <v>308</v>
      </c>
      <c r="D351" s="103" t="s">
        <v>461</v>
      </c>
      <c r="E351" s="321" t="s">
        <v>1207</v>
      </c>
      <c r="F351" s="318" t="s">
        <v>953</v>
      </c>
      <c r="G351" s="322">
        <f t="shared" si="53"/>
        <v>30000</v>
      </c>
      <c r="H351" s="318">
        <v>30000</v>
      </c>
      <c r="I351" s="318">
        <v>0</v>
      </c>
      <c r="J351" s="318">
        <v>0</v>
      </c>
      <c r="K351" s="139"/>
      <c r="L351" s="139"/>
      <c r="M351" s="139"/>
    </row>
    <row r="352" spans="1:14" ht="184.5" thickTop="1" thickBot="1" x14ac:dyDescent="1.2">
      <c r="A352" s="103" t="s">
        <v>368</v>
      </c>
      <c r="B352" s="103" t="s">
        <v>369</v>
      </c>
      <c r="C352" s="103" t="s">
        <v>170</v>
      </c>
      <c r="D352" s="103" t="s">
        <v>370</v>
      </c>
      <c r="E352" s="321" t="s">
        <v>1516</v>
      </c>
      <c r="F352" s="318" t="s">
        <v>1542</v>
      </c>
      <c r="G352" s="322">
        <f t="shared" si="53"/>
        <v>65000</v>
      </c>
      <c r="H352" s="318">
        <f>'d3'!E410</f>
        <v>0</v>
      </c>
      <c r="I352" s="318">
        <f>'d3'!J410</f>
        <v>65000</v>
      </c>
      <c r="J352" s="318">
        <f>'d3'!K410</f>
        <v>65000</v>
      </c>
      <c r="K352" s="731" t="b">
        <f>G359=G358+G357+G352+G351+G350+G344+G333+G332+G331+G328+G322+G317+G316+G301+G294+G282+G281+G275+G263+G261+G260+G259+G258+G257+G254+G252+G251+G250+G247+G243+G240+G238+G236+G232+G231+G230+G228+G225+G224+G223+G222+G211+G210+G209+G207+G205+G204+G203+G202+G201++G199+G192+G191+G190+G189+G188+G187+G186+G184+G182+G179+G177+G169+G168+G167+G166+G165+G164+G163+G161+G160+G159+G158+G157+G156+G155+G154+G153+G150+G148+G147+G146+G145+G144+G143+G142+G141+G140+G139+G138+G136+G125+G124+G122+G121+G119+G115+G114+G113+G111+G103+G102+G100+G99+G93+G83+G82+G81+G79+G78+G77+G76+G75+G74+G73+G71+G70+G69+G67+G66+G63+G62+G60+G44+G43+G42+G41+G40+G37++G36+G34+G33+G30+G28+G26+G25+G24+G45+G48+G330+G338+G334+G326+G98+G97+G72+G172+G266+G235+G268+G50+G49+G47+G46+G17+G290+G208+G90+G89+G329+G327+G321+G310+G296+G255+G239+G229+G171+G127+G123+G92+G91+G54+G53+G51+G38+G29</f>
        <v>1</v>
      </c>
      <c r="L352" s="731" t="b">
        <f>H359=H358+H357+H352+H351+H350+H344+H333+H332+H331+H328+H322+H317+H316+H301+H294+H282+H281+H275+H263+H261+H260+H259+H258+H257+H254+H252+H251+H250+H247+H243+H240+H238+H236+H232+H231+H230+H228+H225+H224+H223+H222+H211+H210+H209+H207+H205+H204+H203+H202+H201++H199+H192+H191+H190+H189+H188+H187+H186+H184+H182+H179+H177+H169+H168+H167+H166+H165+H164+H163+H161+H160+H159+H158+H157+H156+H155+H154+H153+H150+H148+H147+H146+H145+H144+H143+H142+H141+H140+H139+H138+H136+H125+H124+H122+H121+H119+H115+H114+H113+H111+H103+H102+H100+H99+H93+H83+H82+H81+H79+H78+H77+H76+H75+H74+H73+H71+H70+H69+H67+H66+H63+H62+H60+H44+H43+H42+H41+H40+H37++H36+H34+H33+H30+H28+H26+H25+H24+H45+H48+H330+H338+H334+H326+H98+H97+H72+H172+H266+H235+H268+H50+H49+H47+H46+H17+H290+H208+H90+H89+H329+H327+H321+H310+H296+H255+H239+H229+H171+H127+H123+H92+H91+H54+H53+H51+H38+H29</f>
        <v>1</v>
      </c>
      <c r="M352" s="731" t="b">
        <f>I359=I358+I357+I352+I351+I350+I344+I333+I332+I331+I328+I322+I317+I316+I301+I294+I282+I281+I275+I263+I261+I260+I259+I258+I257+I254+I252+I251+I250+I247+I243+I240+I238+I236+I232+I231+I230+I228+I225+I224+I223+I222+I211+I210+I209+I207+I205+I204+I203+I202+I201++I199+I192+I191+I190+I189+I188+I187+I186+I184+I182+I179+I177+I169+I168+I167+I166+I165+I164+I163+I161+I160+I159+I158+I157+I156+I155+I154+I153+I150+I148+I147+I146+I145+I144+I143+I142+I141+I140+I139+I138+I136+I125+I124+I122+I121+I119+I115+I114+I113+I111+I103+I102+I100+I99+I93+I83+I82+I81+I79+I78+I77+I76+I75+I74+I73+I71+I70+I69+I67+I66+I63+I62+I60+I44+I43+I42+I41+I40+I37++I36+I34+I33+I30+I28+I26+I25+I24+I45+I48+I330+I338+I334+I326+I98+I97+I72+I172+I266+I235+I268+I50+I49+I47+I46+I17+I290+I208+I90+I89+I329+I327+I321+I310+I296+I255+I239+I229+I171+I127+I123+I92+I91+I54+I53+I51+I38+I29</f>
        <v>1</v>
      </c>
      <c r="N352" s="731" t="b">
        <f>J359=J358+J357+J352+J351+J350+J344+J333+J332+J331+J328+J322+J317+J316+J301+J294+J282+J281+J275+J263+J261+J260+J259+J258+J257+J254+J252+J251+J250+J247+J243+J240+J238+J236+J232+J231+J230+J228+J225+J224+J223+J222+J211+J210+J209+J207+J205+J204+J203+J202+J201++J199+J192+J191+J190+J189+J188+J187+J186+J184+J182+J179+J177+J169+J168+J167+J166+J165+J164+J163+J161+J160+J159+J158+J157+J156+J155+J154+J153+J150+J148+J147+J146+J145+J144+J143+J142+J141+J140+J139+J138+J136+J125+J124+J122+J121+J119+J115+J114+J113+J111+J103+J102+J100+J99+J93+J83+J82+J81+J79+J78+J77+J76+J75+J74+J73+J71+J70+J69+J67+J66+J63+J62+J60+J44+J43+J42+J41+J40+J37++J36+J34+J33+J30+J28+J26+J25+J24+J45+J48+J330+J338+J334+J326+J98+J97+J72+J172+J266+J235+J268+J50+J49+J47+J46+J17+J290+J208+J90+J89+J329+J327+J321+J310+J296+J255+J239+J229+J171+J127+J123+J92+J91+J54+J53+J51+J38+J29</f>
        <v>1</v>
      </c>
    </row>
    <row r="353" spans="1:17" ht="170.1" customHeight="1" thickTop="1" thickBot="1" x14ac:dyDescent="0.25">
      <c r="A353" s="661" t="s">
        <v>168</v>
      </c>
      <c r="B353" s="661"/>
      <c r="C353" s="661"/>
      <c r="D353" s="662" t="s">
        <v>27</v>
      </c>
      <c r="E353" s="661"/>
      <c r="F353" s="661"/>
      <c r="G353" s="664">
        <f>G354</f>
        <v>18383454</v>
      </c>
      <c r="H353" s="664">
        <f t="shared" ref="H353:J353" si="54">H354</f>
        <v>525644</v>
      </c>
      <c r="I353" s="664">
        <f t="shared" si="54"/>
        <v>17857810</v>
      </c>
      <c r="J353" s="664">
        <f t="shared" si="54"/>
        <v>17857810</v>
      </c>
      <c r="K353" s="139"/>
      <c r="L353" s="139"/>
      <c r="M353" s="139"/>
    </row>
    <row r="354" spans="1:17" ht="170.1" customHeight="1" thickTop="1" thickBot="1" x14ac:dyDescent="0.25">
      <c r="A354" s="658" t="s">
        <v>169</v>
      </c>
      <c r="B354" s="658"/>
      <c r="C354" s="658"/>
      <c r="D354" s="659" t="s">
        <v>40</v>
      </c>
      <c r="E354" s="660"/>
      <c r="F354" s="660"/>
      <c r="G354" s="660">
        <f>SUM(G355:G358)</f>
        <v>18383454</v>
      </c>
      <c r="H354" s="660">
        <f t="shared" ref="H354:J354" si="55">SUM(H355:H358)</f>
        <v>525644</v>
      </c>
      <c r="I354" s="660">
        <f>SUM(I355:I358)</f>
        <v>17857810</v>
      </c>
      <c r="J354" s="660">
        <f t="shared" si="55"/>
        <v>17857810</v>
      </c>
      <c r="K354" s="139"/>
      <c r="L354" s="139"/>
      <c r="M354" s="139"/>
    </row>
    <row r="355" spans="1:17" ht="184.5" hidden="1" thickTop="1" thickBot="1" x14ac:dyDescent="0.25">
      <c r="A355" s="41" t="s">
        <v>420</v>
      </c>
      <c r="B355" s="41" t="s">
        <v>236</v>
      </c>
      <c r="C355" s="41" t="s">
        <v>234</v>
      </c>
      <c r="D355" s="41" t="s">
        <v>235</v>
      </c>
      <c r="E355" s="258" t="s">
        <v>1037</v>
      </c>
      <c r="F355" s="73" t="s">
        <v>857</v>
      </c>
      <c r="G355" s="73">
        <f t="shared" ref="G355:G358" si="56">H355+I355</f>
        <v>0</v>
      </c>
      <c r="H355" s="259">
        <f>0</f>
        <v>0</v>
      </c>
      <c r="I355" s="274">
        <v>0</v>
      </c>
      <c r="J355" s="274">
        <v>0</v>
      </c>
      <c r="K355" s="139"/>
      <c r="L355" s="139"/>
      <c r="M355" s="139"/>
    </row>
    <row r="356" spans="1:17" ht="367.5" hidden="1" thickTop="1" thickBot="1" x14ac:dyDescent="1.2">
      <c r="A356" s="128" t="s">
        <v>634</v>
      </c>
      <c r="B356" s="128" t="s">
        <v>362</v>
      </c>
      <c r="C356" s="128" t="s">
        <v>625</v>
      </c>
      <c r="D356" s="128" t="s">
        <v>626</v>
      </c>
      <c r="E356" s="255" t="s">
        <v>1176</v>
      </c>
      <c r="F356" s="196" t="s">
        <v>1177</v>
      </c>
      <c r="G356" s="196">
        <f t="shared" si="56"/>
        <v>0</v>
      </c>
      <c r="H356" s="256">
        <f>'d3'!E415</f>
        <v>0</v>
      </c>
      <c r="I356" s="273">
        <v>0</v>
      </c>
      <c r="J356" s="273">
        <v>0</v>
      </c>
      <c r="O356" s="278"/>
    </row>
    <row r="357" spans="1:17" ht="184.5" thickTop="1" thickBot="1" x14ac:dyDescent="1.2">
      <c r="A357" s="103">
        <v>3718600</v>
      </c>
      <c r="B357" s="103">
        <v>8600</v>
      </c>
      <c r="C357" s="103" t="s">
        <v>362</v>
      </c>
      <c r="D357" s="103" t="s">
        <v>452</v>
      </c>
      <c r="E357" s="321" t="s">
        <v>1516</v>
      </c>
      <c r="F357" s="318" t="s">
        <v>1542</v>
      </c>
      <c r="G357" s="318">
        <f t="shared" si="56"/>
        <v>525644</v>
      </c>
      <c r="H357" s="322">
        <f>'d3'!E420</f>
        <v>525644</v>
      </c>
      <c r="I357" s="460">
        <f>'d3'!J420</f>
        <v>0</v>
      </c>
      <c r="J357" s="460">
        <f>'d3'!K420</f>
        <v>0</v>
      </c>
      <c r="O357" s="278"/>
    </row>
    <row r="358" spans="1:17" ht="184.5" thickTop="1" thickBot="1" x14ac:dyDescent="1.2">
      <c r="A358" s="103" t="s">
        <v>1370</v>
      </c>
      <c r="B358" s="103" t="s">
        <v>1371</v>
      </c>
      <c r="C358" s="103" t="s">
        <v>170</v>
      </c>
      <c r="D358" s="103" t="s">
        <v>1155</v>
      </c>
      <c r="E358" s="321" t="s">
        <v>1516</v>
      </c>
      <c r="F358" s="318" t="s">
        <v>1542</v>
      </c>
      <c r="G358" s="318">
        <f t="shared" si="56"/>
        <v>17857810</v>
      </c>
      <c r="H358" s="322">
        <f>'d4'!F25</f>
        <v>0</v>
      </c>
      <c r="I358" s="460">
        <f>'d4'!G26</f>
        <v>17857810</v>
      </c>
      <c r="J358" s="460">
        <f>'d4'!H26</f>
        <v>17857810</v>
      </c>
      <c r="O358" s="278"/>
    </row>
    <row r="359" spans="1:17" ht="91.5" thickTop="1" thickBot="1" x14ac:dyDescent="1.2">
      <c r="A359" s="676" t="s">
        <v>381</v>
      </c>
      <c r="B359" s="676" t="s">
        <v>381</v>
      </c>
      <c r="C359" s="676" t="s">
        <v>381</v>
      </c>
      <c r="D359" s="677" t="s">
        <v>391</v>
      </c>
      <c r="E359" s="676" t="s">
        <v>381</v>
      </c>
      <c r="F359" s="676" t="s">
        <v>381</v>
      </c>
      <c r="G359" s="678">
        <f>G16+G59+G197+G107+G133+G176+G286+G325+G341+G348+G313+G307+G246+G219+G354</f>
        <v>4623791801.3700008</v>
      </c>
      <c r="H359" s="678">
        <f>H16+H59+H197+H107+H133+H176+H286+H325+H341+H348+H313+H307+H246+H219+H354</f>
        <v>3694865709.7599998</v>
      </c>
      <c r="I359" s="678">
        <f>I16+I59+I197+I107+I133+I176+I286+I325+I341+I348+I313+I307+I246+I219+I354</f>
        <v>928926091.6099999</v>
      </c>
      <c r="J359" s="678">
        <f>J16+J59+J197+J107+J133+J176+J286+J325+J341+J348+J313+J307+J246+J219+J354</f>
        <v>685024339.46000004</v>
      </c>
      <c r="K359" s="729" t="b">
        <f>G359=H359+I359</f>
        <v>1</v>
      </c>
      <c r="L359" s="730" t="b">
        <f>'d3'!K429+'d4'!P25=J359</f>
        <v>1</v>
      </c>
      <c r="M359" s="139"/>
    </row>
    <row r="360" spans="1:17" ht="31.7" customHeight="1" thickTop="1" x14ac:dyDescent="0.2">
      <c r="A360" s="819" t="s">
        <v>1520</v>
      </c>
      <c r="B360" s="820"/>
      <c r="C360" s="820"/>
      <c r="D360" s="820"/>
      <c r="E360" s="820"/>
      <c r="F360" s="820"/>
      <c r="G360" s="820"/>
      <c r="H360" s="820"/>
      <c r="I360" s="820"/>
      <c r="J360" s="820"/>
    </row>
    <row r="361" spans="1:17" ht="4.5" customHeight="1" x14ac:dyDescent="0.2">
      <c r="A361" s="15"/>
      <c r="B361" s="16"/>
      <c r="C361" s="16"/>
      <c r="D361" s="16"/>
      <c r="E361" s="16"/>
      <c r="F361" s="16"/>
      <c r="G361" s="16"/>
      <c r="H361" s="16"/>
      <c r="I361" s="16"/>
      <c r="J361" s="16"/>
    </row>
    <row r="362" spans="1:17" ht="45.75" x14ac:dyDescent="0.65">
      <c r="A362" s="15"/>
      <c r="B362" s="16"/>
      <c r="C362" s="16"/>
      <c r="D362" s="913"/>
      <c r="E362" s="770"/>
      <c r="F362" s="360"/>
      <c r="G362" s="360"/>
      <c r="H362" s="17"/>
      <c r="I362" s="17"/>
      <c r="J362" s="17"/>
      <c r="K362" s="279"/>
      <c r="L362" s="201"/>
      <c r="M362" s="280"/>
      <c r="N362" s="281"/>
      <c r="O362" s="201"/>
      <c r="P362" s="201"/>
      <c r="Q362" s="282"/>
    </row>
    <row r="363" spans="1:17" ht="45.75" x14ac:dyDescent="0.65">
      <c r="A363" s="76"/>
      <c r="B363" s="76"/>
      <c r="C363" s="76"/>
      <c r="D363" s="913" t="s">
        <v>1480</v>
      </c>
      <c r="E363" s="770"/>
      <c r="F363" s="360"/>
      <c r="G363" s="360" t="s">
        <v>1481</v>
      </c>
      <c r="H363" s="2"/>
      <c r="I363" s="2"/>
      <c r="J363" s="2"/>
      <c r="K363" s="202"/>
      <c r="L363" s="201"/>
      <c r="M363" s="280"/>
      <c r="N363" s="281"/>
      <c r="O363" s="201"/>
      <c r="P363" s="201"/>
      <c r="Q363" s="282"/>
    </row>
    <row r="364" spans="1:17" ht="45.75" hidden="1" x14ac:dyDescent="0.65">
      <c r="A364" s="76"/>
      <c r="B364" s="76"/>
      <c r="C364" s="76"/>
      <c r="D364" s="3" t="s">
        <v>1482</v>
      </c>
      <c r="E364" s="319"/>
      <c r="F364" s="3"/>
      <c r="G364" s="3" t="s">
        <v>1446</v>
      </c>
      <c r="H364" s="2"/>
      <c r="I364" s="2"/>
      <c r="J364" s="2"/>
      <c r="K364" s="202"/>
      <c r="L364" s="201"/>
      <c r="M364" s="280"/>
      <c r="N364" s="281"/>
      <c r="O364" s="201"/>
      <c r="P364" s="201"/>
      <c r="Q364" s="282"/>
    </row>
    <row r="365" spans="1:17" ht="78.75" customHeight="1" x14ac:dyDescent="0.65">
      <c r="A365" s="75"/>
      <c r="B365" s="75"/>
      <c r="C365" s="75"/>
      <c r="D365" s="913" t="s">
        <v>523</v>
      </c>
      <c r="E365" s="770"/>
      <c r="F365" s="3"/>
      <c r="G365" s="361" t="s">
        <v>1346</v>
      </c>
      <c r="H365" s="353"/>
      <c r="I365" s="354"/>
      <c r="J365" s="355"/>
      <c r="K365" s="124"/>
      <c r="L365" s="718"/>
      <c r="M365" s="124"/>
      <c r="N365" s="6"/>
      <c r="O365" s="6"/>
      <c r="P365" s="6"/>
      <c r="Q365" s="6"/>
    </row>
    <row r="366" spans="1:17" ht="45.75" x14ac:dyDescent="0.65">
      <c r="D366" s="849"/>
      <c r="E366" s="849"/>
      <c r="F366" s="849"/>
      <c r="G366" s="849"/>
      <c r="H366" s="849"/>
      <c r="I366" s="849"/>
      <c r="J366" s="849"/>
      <c r="K366" s="124"/>
      <c r="L366" s="124"/>
      <c r="M366" s="124"/>
      <c r="N366" s="6"/>
      <c r="O366" s="6"/>
      <c r="P366" s="6"/>
      <c r="Q366" s="6"/>
    </row>
    <row r="367" spans="1:17" x14ac:dyDescent="0.2">
      <c r="E367" s="284"/>
      <c r="F367" s="285"/>
    </row>
    <row r="368" spans="1:17" x14ac:dyDescent="0.2">
      <c r="E368" s="284"/>
      <c r="F368" s="285"/>
    </row>
    <row r="369" spans="1:10" ht="62.25" x14ac:dyDescent="0.8">
      <c r="A369" s="13"/>
      <c r="B369" s="13"/>
      <c r="C369" s="13"/>
      <c r="D369" s="13"/>
      <c r="E369" s="282"/>
      <c r="F369" s="281"/>
      <c r="I369" s="13"/>
      <c r="J369" s="287"/>
    </row>
    <row r="370" spans="1:10" ht="45.75" x14ac:dyDescent="0.2">
      <c r="E370" s="288"/>
      <c r="F370" s="283"/>
    </row>
    <row r="371" spans="1:10" ht="45.75" x14ac:dyDescent="0.2">
      <c r="A371" s="13"/>
      <c r="B371" s="13"/>
      <c r="C371" s="13"/>
      <c r="D371" s="13"/>
      <c r="E371" s="282"/>
      <c r="F371" s="281"/>
      <c r="I371" s="13"/>
      <c r="J371" s="13"/>
    </row>
    <row r="372" spans="1:10" ht="45.75" x14ac:dyDescent="0.2">
      <c r="E372" s="288"/>
      <c r="F372" s="283"/>
    </row>
    <row r="373" spans="1:10" ht="45.75" x14ac:dyDescent="0.2">
      <c r="E373" s="288"/>
      <c r="F373" s="283"/>
    </row>
    <row r="374" spans="1:10" ht="45.75" x14ac:dyDescent="0.2">
      <c r="E374" s="288"/>
      <c r="F374" s="283"/>
    </row>
    <row r="375" spans="1:10" ht="45.75" x14ac:dyDescent="0.2">
      <c r="A375" s="13"/>
      <c r="B375" s="13"/>
      <c r="C375" s="13"/>
      <c r="D375" s="13"/>
      <c r="E375" s="288"/>
      <c r="F375" s="283"/>
      <c r="G375" s="13"/>
      <c r="H375" s="13"/>
      <c r="I375" s="13"/>
      <c r="J375" s="13"/>
    </row>
    <row r="376" spans="1:10" ht="45.75" x14ac:dyDescent="0.2">
      <c r="A376" s="13"/>
      <c r="B376" s="13"/>
      <c r="C376" s="13"/>
      <c r="D376" s="13"/>
      <c r="E376" s="288"/>
      <c r="F376" s="283"/>
      <c r="G376" s="13"/>
      <c r="H376" s="13"/>
      <c r="I376" s="13"/>
      <c r="J376" s="13"/>
    </row>
    <row r="377" spans="1:10" ht="45.75" x14ac:dyDescent="0.2">
      <c r="A377" s="13"/>
      <c r="B377" s="13"/>
      <c r="C377" s="13"/>
      <c r="D377" s="13"/>
      <c r="E377" s="288"/>
      <c r="F377" s="283"/>
      <c r="G377" s="13"/>
      <c r="H377" s="13"/>
      <c r="I377" s="13"/>
      <c r="J377" s="13"/>
    </row>
    <row r="378" spans="1:10" ht="45.75" x14ac:dyDescent="0.2">
      <c r="A378" s="13"/>
      <c r="B378" s="13"/>
      <c r="C378" s="13"/>
      <c r="D378" s="13"/>
      <c r="E378" s="288"/>
      <c r="F378" s="283"/>
      <c r="G378" s="13"/>
      <c r="H378" s="13"/>
      <c r="I378" s="13"/>
      <c r="J378" s="13"/>
    </row>
  </sheetData>
  <mergeCells count="94">
    <mergeCell ref="A241:A242"/>
    <mergeCell ref="J87:J88"/>
    <mergeCell ref="A87:A88"/>
    <mergeCell ref="B87:B88"/>
    <mergeCell ref="C87:C88"/>
    <mergeCell ref="D87:D88"/>
    <mergeCell ref="G87:G88"/>
    <mergeCell ref="H87:H88"/>
    <mergeCell ref="I87:I88"/>
    <mergeCell ref="B241:B242"/>
    <mergeCell ref="G128:G129"/>
    <mergeCell ref="H128:H129"/>
    <mergeCell ref="I128:I129"/>
    <mergeCell ref="J128:J129"/>
    <mergeCell ref="G173:G174"/>
    <mergeCell ref="H173:H174"/>
    <mergeCell ref="D366:J366"/>
    <mergeCell ref="A360:J360"/>
    <mergeCell ref="H318:H319"/>
    <mergeCell ref="I318:I319"/>
    <mergeCell ref="J318:J319"/>
    <mergeCell ref="D318:D319"/>
    <mergeCell ref="A318:A319"/>
    <mergeCell ref="B318:B319"/>
    <mergeCell ref="C318:C319"/>
    <mergeCell ref="G318:G319"/>
    <mergeCell ref="D365:E365"/>
    <mergeCell ref="D362:E362"/>
    <mergeCell ref="D363:E363"/>
    <mergeCell ref="C241:C242"/>
    <mergeCell ref="E241:E242"/>
    <mergeCell ref="F241:F242"/>
    <mergeCell ref="G241:G242"/>
    <mergeCell ref="H241:H242"/>
    <mergeCell ref="A173:A174"/>
    <mergeCell ref="B173:B174"/>
    <mergeCell ref="C173:C174"/>
    <mergeCell ref="E173:E174"/>
    <mergeCell ref="F173:F174"/>
    <mergeCell ref="A34:A35"/>
    <mergeCell ref="B34:B35"/>
    <mergeCell ref="C34:C35"/>
    <mergeCell ref="E34:E35"/>
    <mergeCell ref="F34:F35"/>
    <mergeCell ref="I1:J1"/>
    <mergeCell ref="I2:J2"/>
    <mergeCell ref="I3:J3"/>
    <mergeCell ref="A5:J5"/>
    <mergeCell ref="A8:J8"/>
    <mergeCell ref="L24:L26"/>
    <mergeCell ref="M24:M26"/>
    <mergeCell ref="A6:J6"/>
    <mergeCell ref="A9:J9"/>
    <mergeCell ref="A10:J10"/>
    <mergeCell ref="F12:F13"/>
    <mergeCell ref="G12:G13"/>
    <mergeCell ref="A12:A13"/>
    <mergeCell ref="B12:B13"/>
    <mergeCell ref="C12:C13"/>
    <mergeCell ref="D12:D13"/>
    <mergeCell ref="E12:E13"/>
    <mergeCell ref="H12:H13"/>
    <mergeCell ref="I12:J12"/>
    <mergeCell ref="A7:J7"/>
    <mergeCell ref="K24:K26"/>
    <mergeCell ref="D261:D262"/>
    <mergeCell ref="A303:A304"/>
    <mergeCell ref="B303:B304"/>
    <mergeCell ref="C303:C304"/>
    <mergeCell ref="E303:E304"/>
    <mergeCell ref="F303:F304"/>
    <mergeCell ref="A278:A279"/>
    <mergeCell ref="B278:B279"/>
    <mergeCell ref="C278:C279"/>
    <mergeCell ref="E278:E279"/>
    <mergeCell ref="F278:F279"/>
    <mergeCell ref="G278:G279"/>
    <mergeCell ref="K163:K166"/>
    <mergeCell ref="J34:J35"/>
    <mergeCell ref="G34:G35"/>
    <mergeCell ref="L163:L166"/>
    <mergeCell ref="I173:I174"/>
    <mergeCell ref="J173:J174"/>
    <mergeCell ref="I241:I242"/>
    <mergeCell ref="J241:J242"/>
    <mergeCell ref="H34:H35"/>
    <mergeCell ref="I34:I35"/>
    <mergeCell ref="M163:M166"/>
    <mergeCell ref="I303:I304"/>
    <mergeCell ref="J303:J304"/>
    <mergeCell ref="H278:H279"/>
    <mergeCell ref="I278:I279"/>
    <mergeCell ref="J278:J279"/>
    <mergeCell ref="H303:H304"/>
  </mergeCells>
  <pageMargins left="0.23622047244094491" right="0.27559055118110237" top="0.27559055118110237" bottom="0.15748031496062992" header="0.23622047244094491" footer="0.27559055118110237"/>
  <pageSetup paperSize="9" scale="18" fitToHeight="0" orientation="landscape" r:id="rId1"/>
  <headerFooter alignWithMargins="0">
    <oddFooter>&amp;C&amp;"Times New Roman Cyr,курсив"Сторінка &amp;P з &amp;N</oddFooter>
  </headerFooter>
  <rowBreaks count="5" manualBreakCount="5">
    <brk id="34" max="9" man="1"/>
    <brk id="239" max="9" man="1"/>
    <brk id="259" max="9" man="1"/>
    <brk id="324" max="9" man="1"/>
    <brk id="365"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6"/>
  <dimension ref="A1:J168"/>
  <sheetViews>
    <sheetView view="pageBreakPreview" zoomScale="85" zoomScaleNormal="85" zoomScaleSheetLayoutView="85" workbookViewId="0">
      <selection activeCell="C3" sqref="C3:D3"/>
    </sheetView>
  </sheetViews>
  <sheetFormatPr defaultColWidth="9.140625" defaultRowHeight="12.75" x14ac:dyDescent="0.2"/>
  <cols>
    <col min="1" max="1" width="18.140625" style="99" customWidth="1"/>
    <col min="2" max="2" width="108" style="99" customWidth="1"/>
    <col min="3" max="3" width="4" style="99" hidden="1" customWidth="1"/>
    <col min="4" max="4" width="17" style="99" customWidth="1"/>
    <col min="5" max="5" width="14.7109375" style="99" customWidth="1"/>
    <col min="6" max="6" width="21.85546875" style="99" bestFit="1" customWidth="1"/>
    <col min="7" max="7" width="18.85546875" style="99" bestFit="1" customWidth="1"/>
    <col min="8" max="9" width="9.140625" style="99"/>
    <col min="10" max="10" width="52.5703125" style="99" customWidth="1"/>
    <col min="11" max="16384" width="9.140625" style="99"/>
  </cols>
  <sheetData>
    <row r="1" spans="1:9" ht="16.5" customHeight="1" x14ac:dyDescent="0.2">
      <c r="A1" s="306"/>
      <c r="B1" s="306"/>
      <c r="C1" s="754" t="s">
        <v>592</v>
      </c>
      <c r="D1" s="754"/>
      <c r="E1" s="307"/>
      <c r="F1" s="307"/>
      <c r="G1" s="306"/>
      <c r="H1" s="306"/>
      <c r="I1" s="306"/>
    </row>
    <row r="2" spans="1:9" ht="16.5" customHeight="1" x14ac:dyDescent="0.2">
      <c r="A2" s="306"/>
      <c r="B2" s="306"/>
      <c r="C2" s="924" t="s">
        <v>960</v>
      </c>
      <c r="D2" s="925"/>
      <c r="E2" s="925"/>
      <c r="F2" s="925"/>
      <c r="G2" s="306"/>
      <c r="H2" s="306"/>
      <c r="I2" s="306"/>
    </row>
    <row r="3" spans="1:9" ht="12.75" customHeight="1" x14ac:dyDescent="0.2">
      <c r="A3" s="306"/>
      <c r="B3" s="306"/>
      <c r="C3" s="754" t="s">
        <v>1635</v>
      </c>
      <c r="D3" s="916"/>
      <c r="E3" s="306"/>
      <c r="F3" s="306"/>
      <c r="G3" s="306"/>
      <c r="H3" s="306"/>
      <c r="I3" s="306"/>
    </row>
    <row r="4" spans="1:9" ht="12.75" customHeight="1" x14ac:dyDescent="0.2">
      <c r="A4" s="306"/>
      <c r="B4" s="306"/>
      <c r="C4" s="754"/>
      <c r="D4" s="756"/>
      <c r="E4" s="306"/>
      <c r="F4" s="306"/>
      <c r="G4" s="306"/>
      <c r="H4" s="306"/>
      <c r="I4" s="306"/>
    </row>
    <row r="5" spans="1:9" ht="16.5" x14ac:dyDescent="0.25">
      <c r="A5" s="940" t="s">
        <v>568</v>
      </c>
      <c r="B5" s="940"/>
      <c r="C5" s="940"/>
      <c r="D5" s="756"/>
      <c r="E5" s="926"/>
      <c r="F5" s="927"/>
      <c r="G5" s="927"/>
      <c r="H5" s="927"/>
      <c r="I5" s="748"/>
    </row>
    <row r="6" spans="1:9" ht="16.5" x14ac:dyDescent="0.25">
      <c r="A6" s="940" t="s">
        <v>567</v>
      </c>
      <c r="B6" s="940"/>
      <c r="C6" s="940"/>
      <c r="D6" s="756"/>
      <c r="E6" s="100"/>
      <c r="F6" s="101"/>
      <c r="G6" s="101"/>
      <c r="H6" s="101"/>
      <c r="I6" s="308"/>
    </row>
    <row r="7" spans="1:9" ht="16.5" x14ac:dyDescent="0.25">
      <c r="A7" s="930" t="s">
        <v>126</v>
      </c>
      <c r="B7" s="930"/>
      <c r="C7" s="930"/>
      <c r="D7" s="931"/>
      <c r="E7" s="926"/>
      <c r="F7" s="926"/>
      <c r="G7" s="926"/>
      <c r="H7" s="926"/>
      <c r="I7" s="755"/>
    </row>
    <row r="8" spans="1:9" ht="16.5" x14ac:dyDescent="0.2">
      <c r="A8" s="930" t="s">
        <v>1529</v>
      </c>
      <c r="B8" s="930"/>
      <c r="C8" s="930"/>
      <c r="D8" s="931"/>
      <c r="E8" s="928"/>
      <c r="F8" s="928"/>
      <c r="G8" s="928"/>
      <c r="H8" s="928"/>
      <c r="I8" s="929"/>
    </row>
    <row r="9" spans="1:9" ht="16.5" x14ac:dyDescent="0.2">
      <c r="A9" s="98"/>
      <c r="B9" s="98"/>
      <c r="C9" s="98"/>
      <c r="D9" s="309"/>
      <c r="E9" s="102"/>
      <c r="F9" s="102"/>
      <c r="G9" s="102"/>
      <c r="H9" s="102"/>
      <c r="I9" s="310"/>
    </row>
    <row r="10" spans="1:9" ht="16.5" x14ac:dyDescent="0.2">
      <c r="A10" s="474">
        <v>2256400000</v>
      </c>
      <c r="B10" s="569"/>
      <c r="C10" s="570"/>
      <c r="D10" s="309"/>
      <c r="E10" s="571"/>
      <c r="F10" s="571"/>
      <c r="G10" s="571"/>
      <c r="H10" s="102"/>
      <c r="I10" s="310"/>
    </row>
    <row r="11" spans="1:9" ht="16.5" x14ac:dyDescent="0.2">
      <c r="A11" s="467" t="s">
        <v>490</v>
      </c>
      <c r="B11" s="468"/>
      <c r="C11" s="570"/>
      <c r="D11" s="309"/>
      <c r="E11" s="571"/>
      <c r="F11" s="571"/>
      <c r="G11" s="571"/>
      <c r="H11" s="102"/>
      <c r="I11" s="310"/>
    </row>
    <row r="12" spans="1:9" ht="17.25" thickBot="1" x14ac:dyDescent="0.25">
      <c r="A12" s="572"/>
      <c r="B12" s="572"/>
      <c r="C12" s="573"/>
      <c r="D12" s="573" t="s">
        <v>404</v>
      </c>
      <c r="E12" s="571"/>
      <c r="F12" s="571"/>
      <c r="G12" s="574"/>
      <c r="H12" s="306"/>
      <c r="I12" s="306"/>
    </row>
    <row r="13" spans="1:9" s="289" customFormat="1" ht="50.25" customHeight="1" thickTop="1" thickBot="1" x14ac:dyDescent="0.25">
      <c r="A13" s="679" t="s">
        <v>127</v>
      </c>
      <c r="B13" s="919" t="s">
        <v>128</v>
      </c>
      <c r="C13" s="921"/>
      <c r="D13" s="921"/>
      <c r="E13" s="575"/>
      <c r="F13" s="575"/>
      <c r="G13" s="575"/>
      <c r="H13" s="576"/>
      <c r="I13" s="576"/>
    </row>
    <row r="14" spans="1:9" s="289" customFormat="1" ht="39.75" customHeight="1" thickTop="1" thickBot="1" x14ac:dyDescent="0.25">
      <c r="A14" s="577" t="s">
        <v>129</v>
      </c>
      <c r="B14" s="917" t="s">
        <v>130</v>
      </c>
      <c r="C14" s="918"/>
      <c r="D14" s="578">
        <v>200</v>
      </c>
      <c r="E14" s="74"/>
      <c r="F14" s="74"/>
      <c r="G14" s="74"/>
    </row>
    <row r="15" spans="1:9" s="289" customFormat="1" ht="40.700000000000003" customHeight="1" thickTop="1" thickBot="1" x14ac:dyDescent="0.25">
      <c r="A15" s="577" t="s">
        <v>131</v>
      </c>
      <c r="B15" s="917" t="s">
        <v>132</v>
      </c>
      <c r="C15" s="918"/>
      <c r="D15" s="578">
        <v>2300000</v>
      </c>
      <c r="E15" s="74"/>
      <c r="F15" s="74"/>
      <c r="G15" s="74"/>
    </row>
    <row r="16" spans="1:9" s="289" customFormat="1" ht="66" customHeight="1" thickTop="1" thickBot="1" x14ac:dyDescent="0.25">
      <c r="A16" s="577" t="s">
        <v>133</v>
      </c>
      <c r="B16" s="917" t="s">
        <v>1242</v>
      </c>
      <c r="C16" s="918"/>
      <c r="D16" s="578">
        <v>350000</v>
      </c>
      <c r="E16" s="74"/>
      <c r="F16" s="74"/>
      <c r="G16" s="74"/>
    </row>
    <row r="17" spans="1:7" s="289" customFormat="1" ht="41.25" customHeight="1" thickTop="1" thickBot="1" x14ac:dyDescent="0.25">
      <c r="A17" s="577" t="s">
        <v>1009</v>
      </c>
      <c r="B17" s="917" t="s">
        <v>1010</v>
      </c>
      <c r="C17" s="918"/>
      <c r="D17" s="578">
        <v>2000000</v>
      </c>
      <c r="E17" s="74"/>
      <c r="F17" s="74"/>
      <c r="G17" s="74"/>
    </row>
    <row r="18" spans="1:7" s="289" customFormat="1" ht="41.25" customHeight="1" thickTop="1" thickBot="1" x14ac:dyDescent="0.25">
      <c r="A18" s="577" t="s">
        <v>134</v>
      </c>
      <c r="B18" s="917" t="s">
        <v>135</v>
      </c>
      <c r="C18" s="918"/>
      <c r="D18" s="578">
        <v>600</v>
      </c>
      <c r="E18" s="74"/>
      <c r="F18" s="74"/>
      <c r="G18" s="74"/>
    </row>
    <row r="19" spans="1:7" s="289" customFormat="1" ht="41.25" customHeight="1" thickTop="1" thickBot="1" x14ac:dyDescent="0.25">
      <c r="A19" s="577" t="s">
        <v>1243</v>
      </c>
      <c r="B19" s="917" t="s">
        <v>1244</v>
      </c>
      <c r="C19" s="918"/>
      <c r="D19" s="578">
        <v>415000</v>
      </c>
      <c r="E19" s="74"/>
      <c r="F19" s="74"/>
      <c r="G19" s="74"/>
    </row>
    <row r="20" spans="1:7" s="289" customFormat="1" ht="41.25" customHeight="1" thickTop="1" thickBot="1" x14ac:dyDescent="0.25">
      <c r="A20" s="577" t="s">
        <v>1245</v>
      </c>
      <c r="B20" s="917" t="s">
        <v>1246</v>
      </c>
      <c r="C20" s="918"/>
      <c r="D20" s="578">
        <v>150000</v>
      </c>
      <c r="E20" s="941" t="s">
        <v>1290</v>
      </c>
      <c r="F20" s="942"/>
      <c r="G20" s="74"/>
    </row>
    <row r="21" spans="1:7" s="289" customFormat="1" ht="18.75" thickTop="1" thickBot="1" x14ac:dyDescent="0.25">
      <c r="A21" s="577"/>
      <c r="B21" s="937" t="s">
        <v>136</v>
      </c>
      <c r="C21" s="918"/>
      <c r="D21" s="579">
        <f>SUM(D14:D20)</f>
        <v>5215800</v>
      </c>
      <c r="E21" s="74"/>
      <c r="F21" s="74"/>
      <c r="G21" s="74"/>
    </row>
    <row r="22" spans="1:7" s="289" customFormat="1" ht="18.75" hidden="1" thickTop="1" thickBot="1" x14ac:dyDescent="0.25">
      <c r="A22" s="290"/>
      <c r="B22" s="935" t="s">
        <v>439</v>
      </c>
      <c r="C22" s="936"/>
      <c r="D22" s="457"/>
      <c r="E22" s="74"/>
      <c r="F22" s="74"/>
      <c r="G22" s="74"/>
    </row>
    <row r="23" spans="1:7" s="289" customFormat="1" ht="18.75" hidden="1" thickTop="1" thickBot="1" x14ac:dyDescent="0.25">
      <c r="A23" s="290"/>
      <c r="B23" s="935" t="s">
        <v>1241</v>
      </c>
      <c r="C23" s="936"/>
      <c r="D23" s="457">
        <v>0</v>
      </c>
      <c r="E23" s="74"/>
      <c r="F23" s="74"/>
      <c r="G23" s="74"/>
    </row>
    <row r="24" spans="1:7" s="289" customFormat="1" ht="26.45" customHeight="1" thickTop="1" thickBot="1" x14ac:dyDescent="0.25">
      <c r="A24" s="680" t="s">
        <v>381</v>
      </c>
      <c r="B24" s="922" t="s">
        <v>494</v>
      </c>
      <c r="C24" s="923"/>
      <c r="D24" s="681">
        <f>D21+D23</f>
        <v>5215800</v>
      </c>
      <c r="E24" s="728" t="b">
        <f>D24='d1'!E109+D23</f>
        <v>1</v>
      </c>
      <c r="G24" s="74"/>
    </row>
    <row r="25" spans="1:7" s="289" customFormat="1" ht="47.25" customHeight="1" thickTop="1" thickBot="1" x14ac:dyDescent="0.25">
      <c r="A25" s="679" t="s">
        <v>127</v>
      </c>
      <c r="B25" s="919" t="s">
        <v>137</v>
      </c>
      <c r="C25" s="920"/>
      <c r="D25" s="920"/>
      <c r="E25" s="74"/>
      <c r="F25" s="74"/>
      <c r="G25" s="74"/>
    </row>
    <row r="26" spans="1:7" s="289" customFormat="1" ht="43.5" customHeight="1" thickTop="1" thickBot="1" x14ac:dyDescent="0.25">
      <c r="A26" s="577" t="s">
        <v>138</v>
      </c>
      <c r="B26" s="917" t="s">
        <v>139</v>
      </c>
      <c r="C26" s="918"/>
      <c r="D26" s="578">
        <v>30000</v>
      </c>
      <c r="E26" s="74"/>
      <c r="F26" s="74"/>
      <c r="G26" s="74"/>
    </row>
    <row r="27" spans="1:7" s="289" customFormat="1" ht="44.45" customHeight="1" thickTop="1" thickBot="1" x14ac:dyDescent="0.25">
      <c r="A27" s="577" t="s">
        <v>140</v>
      </c>
      <c r="B27" s="917" t="s">
        <v>141</v>
      </c>
      <c r="C27" s="918"/>
      <c r="D27" s="578">
        <v>150600</v>
      </c>
      <c r="E27" s="74"/>
      <c r="F27" s="74"/>
      <c r="G27" s="74"/>
    </row>
    <row r="28" spans="1:7" s="289" customFormat="1" ht="44.45" hidden="1" customHeight="1" thickTop="1" thickBot="1" x14ac:dyDescent="0.25">
      <c r="A28" s="577" t="s">
        <v>470</v>
      </c>
      <c r="B28" s="917" t="s">
        <v>409</v>
      </c>
      <c r="C28" s="918"/>
      <c r="D28" s="578">
        <v>0</v>
      </c>
      <c r="E28" s="74"/>
      <c r="F28" s="74"/>
      <c r="G28" s="74"/>
    </row>
    <row r="29" spans="1:7" s="289" customFormat="1" ht="32.25" customHeight="1" thickTop="1" thickBot="1" x14ac:dyDescent="0.25">
      <c r="A29" s="577" t="s">
        <v>142</v>
      </c>
      <c r="B29" s="917" t="s">
        <v>144</v>
      </c>
      <c r="C29" s="918"/>
      <c r="D29" s="578">
        <v>330000</v>
      </c>
      <c r="E29" s="74"/>
      <c r="F29" s="74"/>
      <c r="G29" s="74"/>
    </row>
    <row r="30" spans="1:7" s="289" customFormat="1" ht="55.5" customHeight="1" thickTop="1" thickBot="1" x14ac:dyDescent="0.25">
      <c r="A30" s="577" t="s">
        <v>143</v>
      </c>
      <c r="B30" s="917" t="s">
        <v>1487</v>
      </c>
      <c r="C30" s="918"/>
      <c r="D30" s="578">
        <v>4205200</v>
      </c>
      <c r="E30" s="74"/>
      <c r="F30" s="74"/>
      <c r="G30" s="74"/>
    </row>
    <row r="31" spans="1:7" s="289" customFormat="1" ht="104.25" customHeight="1" thickTop="1" thickBot="1" x14ac:dyDescent="0.25">
      <c r="A31" s="577" t="s">
        <v>145</v>
      </c>
      <c r="B31" s="917" t="s">
        <v>1210</v>
      </c>
      <c r="C31" s="918"/>
      <c r="D31" s="578">
        <v>0</v>
      </c>
      <c r="E31" s="74"/>
      <c r="F31" s="74"/>
      <c r="G31" s="74"/>
    </row>
    <row r="32" spans="1:7" s="289" customFormat="1" ht="51" hidden="1" thickTop="1" thickBot="1" x14ac:dyDescent="0.25">
      <c r="A32" s="580" t="s">
        <v>991</v>
      </c>
      <c r="B32" s="581" t="s">
        <v>992</v>
      </c>
      <c r="C32" s="582"/>
      <c r="D32" s="583">
        <v>0</v>
      </c>
      <c r="E32" s="74"/>
      <c r="F32" s="74"/>
      <c r="G32" s="74"/>
    </row>
    <row r="33" spans="1:7" s="289" customFormat="1" ht="17.25" hidden="1" thickTop="1" thickBot="1" x14ac:dyDescent="0.25">
      <c r="A33" s="577" t="s">
        <v>471</v>
      </c>
      <c r="B33" s="917" t="s">
        <v>146</v>
      </c>
      <c r="C33" s="918"/>
      <c r="D33" s="578">
        <f>(20000)-20000</f>
        <v>0</v>
      </c>
      <c r="E33" s="74"/>
      <c r="F33" s="74"/>
      <c r="G33" s="74"/>
    </row>
    <row r="34" spans="1:7" s="289" customFormat="1" ht="17.25" hidden="1" thickTop="1" thickBot="1" x14ac:dyDescent="0.25">
      <c r="A34" s="577" t="s">
        <v>471</v>
      </c>
      <c r="B34" s="917" t="s">
        <v>146</v>
      </c>
      <c r="C34" s="918"/>
      <c r="D34" s="578"/>
      <c r="E34" s="74"/>
      <c r="F34" s="74"/>
      <c r="G34" s="74"/>
    </row>
    <row r="35" spans="1:7" s="289" customFormat="1" ht="157.5" customHeight="1" thickTop="1" thickBot="1" x14ac:dyDescent="0.25">
      <c r="A35" s="577" t="s">
        <v>472</v>
      </c>
      <c r="B35" s="939" t="s">
        <v>1247</v>
      </c>
      <c r="C35" s="756"/>
      <c r="D35" s="584">
        <v>500000</v>
      </c>
      <c r="E35" s="74"/>
      <c r="F35" s="74"/>
      <c r="G35" s="74"/>
    </row>
    <row r="36" spans="1:7" s="289" customFormat="1" ht="27.75" customHeight="1" thickTop="1" thickBot="1" x14ac:dyDescent="0.25">
      <c r="A36" s="680" t="s">
        <v>381</v>
      </c>
      <c r="B36" s="922" t="s">
        <v>494</v>
      </c>
      <c r="C36" s="938"/>
      <c r="D36" s="681">
        <f>SUM(D26:D35)</f>
        <v>5215800</v>
      </c>
      <c r="E36" s="728" t="b">
        <f>D24=D36</f>
        <v>1</v>
      </c>
      <c r="F36" s="728" t="b">
        <f>D36='d3'!J33+'d3'!J197+'d3'!J277+'d3'!J308+'d3'!J341</f>
        <v>1</v>
      </c>
      <c r="G36" s="728" t="b">
        <f>D36='d7'!G278+'d7'!G241+'d7'!G173+'d7'!G34+'d7'!G303</f>
        <v>1</v>
      </c>
    </row>
    <row r="37" spans="1:7" s="295" customFormat="1" ht="27.75" customHeight="1" thickTop="1" x14ac:dyDescent="0.2">
      <c r="A37" s="291"/>
      <c r="B37" s="292"/>
      <c r="C37" s="293"/>
      <c r="D37" s="294"/>
      <c r="E37" s="10"/>
      <c r="F37" s="10"/>
    </row>
    <row r="38" spans="1:7" ht="15.75" x14ac:dyDescent="0.25">
      <c r="B38" s="889" t="s">
        <v>1480</v>
      </c>
      <c r="C38" s="890"/>
      <c r="D38" s="368" t="s">
        <v>1481</v>
      </c>
      <c r="E38" s="1"/>
      <c r="F38" s="368"/>
    </row>
    <row r="39" spans="1:7" ht="15.75" hidden="1" x14ac:dyDescent="0.25">
      <c r="B39" s="344" t="s">
        <v>1445</v>
      </c>
      <c r="C39" s="345"/>
      <c r="D39" s="344" t="s">
        <v>1446</v>
      </c>
      <c r="E39" s="1"/>
      <c r="F39" s="368"/>
    </row>
    <row r="40" spans="1:7" ht="15" x14ac:dyDescent="0.25">
      <c r="B40" s="344"/>
      <c r="C40" s="344"/>
      <c r="D40" s="344"/>
      <c r="E40" s="11"/>
    </row>
    <row r="41" spans="1:7" ht="22.5" customHeight="1" x14ac:dyDescent="0.65">
      <c r="A41" s="296" t="s">
        <v>525</v>
      </c>
      <c r="B41" s="889" t="s">
        <v>523</v>
      </c>
      <c r="C41" s="890"/>
      <c r="D41" s="344" t="s">
        <v>1346</v>
      </c>
      <c r="E41" s="3"/>
    </row>
    <row r="42" spans="1:7" ht="18.75" x14ac:dyDescent="0.2">
      <c r="A42" s="296"/>
      <c r="B42" s="296"/>
      <c r="C42" s="296"/>
    </row>
    <row r="43" spans="1:7" ht="18.75" x14ac:dyDescent="0.2">
      <c r="A43" s="934"/>
      <c r="B43" s="934"/>
      <c r="C43" s="297"/>
    </row>
    <row r="49" spans="1:4" ht="16.5" x14ac:dyDescent="0.2">
      <c r="A49" s="933"/>
      <c r="B49" s="298"/>
      <c r="C49" s="299"/>
      <c r="D49" s="300"/>
    </row>
    <row r="50" spans="1:4" ht="16.5" x14ac:dyDescent="0.2">
      <c r="A50" s="933"/>
      <c r="B50" s="301"/>
      <c r="C50" s="299"/>
      <c r="D50" s="300"/>
    </row>
    <row r="51" spans="1:4" ht="16.5" x14ac:dyDescent="0.2">
      <c r="A51" s="933"/>
      <c r="B51" s="302"/>
      <c r="C51" s="299"/>
      <c r="D51" s="300"/>
    </row>
    <row r="52" spans="1:4" ht="16.5" x14ac:dyDescent="0.2">
      <c r="A52" s="933"/>
      <c r="B52" s="298"/>
      <c r="C52" s="299"/>
      <c r="D52" s="300"/>
    </row>
    <row r="53" spans="1:4" ht="16.5" x14ac:dyDescent="0.2">
      <c r="A53" s="933"/>
      <c r="B53" s="298" t="s">
        <v>1629</v>
      </c>
      <c r="C53" s="299"/>
      <c r="D53" s="300"/>
    </row>
    <row r="84" spans="6:6" x14ac:dyDescent="0.2">
      <c r="F84" s="932"/>
    </row>
    <row r="85" spans="6:6" x14ac:dyDescent="0.2">
      <c r="F85" s="843"/>
    </row>
    <row r="121" spans="4:6" x14ac:dyDescent="0.2">
      <c r="D121" s="99">
        <f>SUM(D122:D134)+D141</f>
        <v>88281</v>
      </c>
      <c r="F121" s="99">
        <f>G121+H121</f>
        <v>0</v>
      </c>
    </row>
    <row r="123" spans="4:6" x14ac:dyDescent="0.2">
      <c r="F123" s="99">
        <f t="shared" ref="F123:F133" si="0">G123+H123</f>
        <v>0</v>
      </c>
    </row>
    <row r="124" spans="4:6" x14ac:dyDescent="0.2">
      <c r="F124" s="99">
        <f t="shared" si="0"/>
        <v>0</v>
      </c>
    </row>
    <row r="125" spans="4:6" x14ac:dyDescent="0.2">
      <c r="F125" s="99">
        <f t="shared" si="0"/>
        <v>0</v>
      </c>
    </row>
    <row r="126" spans="4:6" x14ac:dyDescent="0.2">
      <c r="F126" s="99">
        <f t="shared" si="0"/>
        <v>0</v>
      </c>
    </row>
    <row r="127" spans="4:6" x14ac:dyDescent="0.2">
      <c r="F127" s="99">
        <f t="shared" si="0"/>
        <v>0</v>
      </c>
    </row>
    <row r="128" spans="4:6" x14ac:dyDescent="0.2">
      <c r="F128" s="99">
        <f t="shared" si="0"/>
        <v>0</v>
      </c>
    </row>
    <row r="129" spans="1:10" x14ac:dyDescent="0.2">
      <c r="F129" s="99">
        <f t="shared" si="0"/>
        <v>0</v>
      </c>
    </row>
    <row r="130" spans="1:10" x14ac:dyDescent="0.2">
      <c r="F130" s="99">
        <f t="shared" si="0"/>
        <v>0</v>
      </c>
    </row>
    <row r="131" spans="1:10" x14ac:dyDescent="0.2">
      <c r="F131" s="99">
        <f t="shared" si="0"/>
        <v>0</v>
      </c>
    </row>
    <row r="132" spans="1:10" x14ac:dyDescent="0.2">
      <c r="F132" s="99">
        <f t="shared" si="0"/>
        <v>0</v>
      </c>
    </row>
    <row r="133" spans="1:10" x14ac:dyDescent="0.2">
      <c r="F133" s="99">
        <f t="shared" si="0"/>
        <v>0</v>
      </c>
    </row>
    <row r="135" spans="1:10" x14ac:dyDescent="0.2">
      <c r="F135" s="99">
        <f>G136+H136</f>
        <v>0</v>
      </c>
    </row>
    <row r="136" spans="1:10" x14ac:dyDescent="0.2">
      <c r="F136" s="99">
        <f t="shared" ref="F136" si="1">G136+H136</f>
        <v>0</v>
      </c>
    </row>
    <row r="137" spans="1:10" x14ac:dyDescent="0.2">
      <c r="F137" s="99">
        <f>G137+H137</f>
        <v>0</v>
      </c>
    </row>
    <row r="138" spans="1:10" x14ac:dyDescent="0.2">
      <c r="F138" s="99">
        <f>G138+H138</f>
        <v>0</v>
      </c>
    </row>
    <row r="139" spans="1:10" x14ac:dyDescent="0.2">
      <c r="F139" s="99">
        <f>G139+H139</f>
        <v>0</v>
      </c>
    </row>
    <row r="140" spans="1:10" x14ac:dyDescent="0.2">
      <c r="F140" s="99">
        <f>G140+H140</f>
        <v>0</v>
      </c>
    </row>
    <row r="141" spans="1:10" x14ac:dyDescent="0.2">
      <c r="A141" s="99">
        <v>41057700</v>
      </c>
      <c r="B141" s="99" t="s">
        <v>1377</v>
      </c>
      <c r="D141" s="99">
        <v>88281</v>
      </c>
    </row>
    <row r="142" spans="1:10" x14ac:dyDescent="0.2">
      <c r="G142" s="99" t="b">
        <f>C142=C138+C137+C136+C116+C110+C104+C98+C97+C93+C92+C91+C90+C87+C86+C85+C84+C82+C81+C79+C77+C76+C75+C72+C71+C70+C68+C67+C63+C62+C61+C58+C57+C56+C54+C53+C49+C48+C47+C46+C45+C44+C43+C42+C41+C40+C35+C33+C30+C28+C26+C23+C21+C20+C19+C18+C102+C101+C36+C51+C127+C126+C108+C141</f>
        <v>1</v>
      </c>
      <c r="H142" s="99" t="e">
        <f>D142=D138+D137+D136+D116+D110+D104+D98+D97+D93+D92+D91+D90+D87+D86+D85+D84+D82+D81+D79+D77+D76+D75+D72+D71+D70+D68+D67+D63+D62+D61+D58+D57+D56+D54+D53+D49+D48+D47+D46+D45+D44+D43+D42+D41+D40+D35+D33+D30+D28+D26+D23+D21+D20+D19+D18+D102+D101+D36+D51+D127+D126+D108+D141</f>
        <v>#VALUE!</v>
      </c>
      <c r="I142" s="99" t="e">
        <f>E142=E138+E137+E136+E116+E110+E104+E98+E97+E93+E92+E91+E90+E87+E86+E85+E84+E82+E81+E79+E77+E76+E75+E72+E71+E70+E68+E67+E63+E62+E61+E58+E57+E56+E54+E53+E49+E48+E47+E46+E45+E44+E43+E42+E41+E40+E35+E33+E30+E28+E26+E23+E21+E20+E19+E18+E102+E101+E36+E51+E127+E126+E108+E141</f>
        <v>#VALUE!</v>
      </c>
      <c r="J142" s="99" t="b">
        <f>F142=F138+F137+F136+F116+F110+F104+F98+F97+F93+F92+F91+F90+F87+F86+F85+F84+F82+F81+F79+F77+F76+F75+F72+F71+F70+F68+F67+F63+F62+F61+F58+F57+F56+F54+F53+F49+F48+F47+F46+F45+F44+F43+F42+F41+F40+F35+F33+F30+F28+F26+F23+F21+F20+F19+F18+F102+F101+F36+F51+F127+F126+F108+F141</f>
        <v>0</v>
      </c>
    </row>
    <row r="143" spans="1:10" x14ac:dyDescent="0.2">
      <c r="G143" s="99" t="b">
        <f>(3453807039-'d2'!C37+7423154+961639+622418100+3715400+4544686)+16400+4309689+6350319+16579700+88281=C142</f>
        <v>0</v>
      </c>
    </row>
    <row r="146" spans="6:9" ht="46.5" x14ac:dyDescent="0.2">
      <c r="I146" s="12"/>
    </row>
    <row r="149" spans="6:9" ht="46.5" x14ac:dyDescent="0.2">
      <c r="F149" s="12">
        <f>G149+H149</f>
        <v>0</v>
      </c>
      <c r="I149" s="12"/>
    </row>
    <row r="168" spans="10:10" ht="90" x14ac:dyDescent="0.2">
      <c r="J168" s="303" t="b">
        <f>F168=G168+H168</f>
        <v>1</v>
      </c>
    </row>
  </sheetData>
  <mergeCells count="40">
    <mergeCell ref="E20:F20"/>
    <mergeCell ref="B17:C17"/>
    <mergeCell ref="B19:C19"/>
    <mergeCell ref="B20:C20"/>
    <mergeCell ref="B34:C34"/>
    <mergeCell ref="B16:C16"/>
    <mergeCell ref="B15:C15"/>
    <mergeCell ref="B14:C14"/>
    <mergeCell ref="A5:D5"/>
    <mergeCell ref="A7:D7"/>
    <mergeCell ref="A6:D6"/>
    <mergeCell ref="F84:F85"/>
    <mergeCell ref="A49:A53"/>
    <mergeCell ref="A43:B43"/>
    <mergeCell ref="B22:C22"/>
    <mergeCell ref="B21:C21"/>
    <mergeCell ref="B36:C36"/>
    <mergeCell ref="B35:C35"/>
    <mergeCell ref="B33:C33"/>
    <mergeCell ref="B31:C31"/>
    <mergeCell ref="B30:C30"/>
    <mergeCell ref="B23:C23"/>
    <mergeCell ref="B41:C41"/>
    <mergeCell ref="B38:C38"/>
    <mergeCell ref="C1:D1"/>
    <mergeCell ref="C3:D3"/>
    <mergeCell ref="C4:D4"/>
    <mergeCell ref="B29:C29"/>
    <mergeCell ref="B28:C28"/>
    <mergeCell ref="B27:C27"/>
    <mergeCell ref="B26:C26"/>
    <mergeCell ref="B25:D25"/>
    <mergeCell ref="B13:D13"/>
    <mergeCell ref="B24:C24"/>
    <mergeCell ref="C2:F2"/>
    <mergeCell ref="E5:I5"/>
    <mergeCell ref="E7:I7"/>
    <mergeCell ref="E8:I8"/>
    <mergeCell ref="B18:C18"/>
    <mergeCell ref="A8:D8"/>
  </mergeCells>
  <pageMargins left="0.23622047244094491" right="0.31496062992125984" top="0.27559055118110237" bottom="0" header="0.23622047244094491" footer="0.19685039370078741"/>
  <pageSetup paperSize="9" scale="67"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1"/>
  <sheetViews>
    <sheetView view="pageBreakPreview" zoomScale="70" zoomScaleNormal="85" zoomScaleSheetLayoutView="70" workbookViewId="0">
      <selection activeCell="F3" sqref="F3:I3"/>
    </sheetView>
  </sheetViews>
  <sheetFormatPr defaultColWidth="9.140625" defaultRowHeight="12.75" x14ac:dyDescent="0.2"/>
  <cols>
    <col min="1" max="1" width="6.85546875" style="13" customWidth="1"/>
    <col min="2" max="2" width="15.140625" style="13" customWidth="1"/>
    <col min="3" max="3" width="15.28515625" style="13" customWidth="1"/>
    <col min="4" max="4" width="10.85546875" style="13" customWidth="1"/>
    <col min="5" max="5" width="62" style="13" customWidth="1"/>
    <col min="6" max="6" width="17.5703125" style="13" customWidth="1"/>
    <col min="7" max="10" width="15.7109375" style="13" bestFit="1" customWidth="1"/>
    <col min="11" max="11" width="52.5703125" style="13" customWidth="1"/>
    <col min="12" max="16384" width="9.140625" style="13"/>
  </cols>
  <sheetData>
    <row r="1" spans="1:10" x14ac:dyDescent="0.2">
      <c r="A1" s="484"/>
      <c r="B1" s="484"/>
      <c r="C1" s="484"/>
      <c r="D1" s="484"/>
      <c r="E1" s="484"/>
      <c r="F1" s="484" t="s">
        <v>593</v>
      </c>
      <c r="G1"/>
      <c r="H1"/>
      <c r="I1"/>
    </row>
    <row r="2" spans="1:10" x14ac:dyDescent="0.2">
      <c r="A2" s="484"/>
      <c r="B2" s="484"/>
      <c r="C2" s="484"/>
      <c r="D2" s="484"/>
      <c r="E2" s="484"/>
      <c r="F2" s="484" t="s">
        <v>961</v>
      </c>
      <c r="G2"/>
      <c r="H2"/>
      <c r="I2"/>
    </row>
    <row r="3" spans="1:10" x14ac:dyDescent="0.2">
      <c r="A3" s="484"/>
      <c r="B3" s="484"/>
      <c r="C3" s="484"/>
      <c r="D3" s="484"/>
      <c r="E3" s="484"/>
      <c r="F3" s="945" t="s">
        <v>1636</v>
      </c>
      <c r="G3" s="860"/>
      <c r="H3" s="860"/>
      <c r="I3" s="860"/>
    </row>
    <row r="4" spans="1:10" ht="15.75" x14ac:dyDescent="0.25">
      <c r="A4" s="946" t="s">
        <v>570</v>
      </c>
      <c r="B4" s="762"/>
      <c r="C4" s="762"/>
      <c r="D4" s="762"/>
      <c r="E4" s="762"/>
      <c r="F4" s="762"/>
      <c r="G4"/>
      <c r="H4"/>
      <c r="I4"/>
    </row>
    <row r="5" spans="1:10" ht="15.75" x14ac:dyDescent="0.25">
      <c r="A5" s="946" t="s">
        <v>569</v>
      </c>
      <c r="B5" s="762"/>
      <c r="C5" s="762"/>
      <c r="D5" s="762"/>
      <c r="E5" s="762"/>
      <c r="F5" s="762"/>
      <c r="G5"/>
      <c r="H5"/>
      <c r="I5"/>
    </row>
    <row r="6" spans="1:10" ht="15.75" x14ac:dyDescent="0.25">
      <c r="A6" s="946" t="s">
        <v>897</v>
      </c>
      <c r="B6" s="762"/>
      <c r="C6" s="762"/>
      <c r="D6" s="762"/>
      <c r="E6" s="762"/>
      <c r="F6" s="762"/>
      <c r="G6"/>
      <c r="H6"/>
      <c r="I6"/>
    </row>
    <row r="7" spans="1:10" ht="15.75" x14ac:dyDescent="0.25">
      <c r="A7"/>
      <c r="B7"/>
      <c r="C7" s="946" t="s">
        <v>1511</v>
      </c>
      <c r="D7" s="762"/>
      <c r="E7" s="762"/>
      <c r="F7"/>
      <c r="G7"/>
      <c r="H7"/>
      <c r="I7"/>
    </row>
    <row r="8" spans="1:10" ht="12.75" customHeight="1" x14ac:dyDescent="0.25">
      <c r="A8" s="485"/>
      <c r="B8" s="485"/>
      <c r="C8" s="485"/>
      <c r="D8" s="485"/>
      <c r="E8" s="485"/>
      <c r="F8" s="485"/>
      <c r="G8" s="485"/>
      <c r="H8" s="485"/>
      <c r="I8" s="485"/>
      <c r="J8" s="304"/>
    </row>
    <row r="9" spans="1:10" x14ac:dyDescent="0.2">
      <c r="A9" s="838">
        <v>2256400000</v>
      </c>
      <c r="B9" s="762"/>
      <c r="C9" s="475"/>
      <c r="D9" s="475"/>
      <c r="E9" s="475"/>
      <c r="F9" s="475"/>
      <c r="G9"/>
      <c r="H9"/>
      <c r="I9"/>
    </row>
    <row r="10" spans="1:10" x14ac:dyDescent="0.2">
      <c r="A10" s="840" t="s">
        <v>490</v>
      </c>
      <c r="B10" s="943"/>
      <c r="C10" s="475"/>
      <c r="D10" s="475"/>
      <c r="E10" s="475"/>
      <c r="F10" s="475"/>
      <c r="G10"/>
      <c r="H10"/>
      <c r="I10"/>
    </row>
    <row r="11" spans="1:10" ht="13.5" thickBot="1" x14ac:dyDescent="0.25">
      <c r="A11" s="467"/>
      <c r="B11" s="467"/>
      <c r="C11" s="475"/>
      <c r="D11" s="475"/>
      <c r="E11" s="475"/>
      <c r="F11" s="475"/>
      <c r="G11"/>
      <c r="H11"/>
      <c r="I11"/>
    </row>
    <row r="12" spans="1:10" ht="48" customHeight="1" thickTop="1" thickBot="1" x14ac:dyDescent="0.25">
      <c r="A12" s="489" t="s">
        <v>316</v>
      </c>
      <c r="B12" s="490" t="s">
        <v>317</v>
      </c>
      <c r="C12" s="490" t="s">
        <v>20</v>
      </c>
      <c r="D12" s="490" t="s">
        <v>16</v>
      </c>
      <c r="E12" s="489" t="s">
        <v>318</v>
      </c>
      <c r="F12" s="491" t="s">
        <v>405</v>
      </c>
      <c r="G12" s="20"/>
    </row>
    <row r="13" spans="1:10" ht="17.25" thickTop="1" thickBot="1" x14ac:dyDescent="0.25">
      <c r="A13" s="492">
        <v>1</v>
      </c>
      <c r="B13" s="493" t="s">
        <v>1127</v>
      </c>
      <c r="C13" s="493" t="s">
        <v>1128</v>
      </c>
      <c r="D13" s="493" t="s">
        <v>51</v>
      </c>
      <c r="E13" s="494" t="s">
        <v>1512</v>
      </c>
      <c r="F13" s="486">
        <v>80000</v>
      </c>
      <c r="G13" s="20"/>
    </row>
    <row r="14" spans="1:10" ht="87" customHeight="1" thickTop="1" thickBot="1" x14ac:dyDescent="0.25">
      <c r="A14" s="492">
        <v>2</v>
      </c>
      <c r="B14" s="493" t="s">
        <v>1127</v>
      </c>
      <c r="C14" s="493" t="s">
        <v>1128</v>
      </c>
      <c r="D14" s="493" t="s">
        <v>51</v>
      </c>
      <c r="E14" s="494" t="s">
        <v>1513</v>
      </c>
      <c r="F14" s="486">
        <v>120000</v>
      </c>
      <c r="G14" s="20"/>
    </row>
    <row r="15" spans="1:10" ht="17.25" thickTop="1" thickBot="1" x14ac:dyDescent="0.25">
      <c r="A15" s="492">
        <v>3</v>
      </c>
      <c r="B15" s="493" t="s">
        <v>1127</v>
      </c>
      <c r="C15" s="493" t="s">
        <v>1128</v>
      </c>
      <c r="D15" s="493" t="s">
        <v>51</v>
      </c>
      <c r="E15" s="494" t="s">
        <v>1624</v>
      </c>
      <c r="F15" s="487">
        <f>(100000)+200000</f>
        <v>300000</v>
      </c>
      <c r="G15" s="20"/>
    </row>
    <row r="16" spans="1:10" ht="53.25" customHeight="1" thickTop="1" thickBot="1" x14ac:dyDescent="0.25">
      <c r="A16" s="492">
        <v>4</v>
      </c>
      <c r="B16" s="493" t="s">
        <v>1127</v>
      </c>
      <c r="C16" s="493" t="s">
        <v>1128</v>
      </c>
      <c r="D16" s="493" t="s">
        <v>51</v>
      </c>
      <c r="E16" s="494" t="s">
        <v>1514</v>
      </c>
      <c r="F16" s="487">
        <f>(600000)-550000</f>
        <v>50000</v>
      </c>
      <c r="G16" s="20"/>
    </row>
    <row r="17" spans="1:7" ht="80.25" thickTop="1" thickBot="1" x14ac:dyDescent="0.25">
      <c r="A17" s="492">
        <v>5</v>
      </c>
      <c r="B17" s="493" t="s">
        <v>1127</v>
      </c>
      <c r="C17" s="493" t="s">
        <v>1128</v>
      </c>
      <c r="D17" s="493" t="s">
        <v>51</v>
      </c>
      <c r="E17" s="494" t="s">
        <v>1622</v>
      </c>
      <c r="F17" s="487">
        <v>450000</v>
      </c>
      <c r="G17" s="20"/>
    </row>
    <row r="18" spans="1:7" ht="64.5" thickTop="1" thickBot="1" x14ac:dyDescent="0.25">
      <c r="A18" s="492">
        <v>6</v>
      </c>
      <c r="B18" s="493" t="s">
        <v>1127</v>
      </c>
      <c r="C18" s="493" t="s">
        <v>1128</v>
      </c>
      <c r="D18" s="493" t="s">
        <v>51</v>
      </c>
      <c r="E18" s="494" t="s">
        <v>1614</v>
      </c>
      <c r="F18" s="487">
        <v>100000</v>
      </c>
      <c r="G18" s="20"/>
    </row>
    <row r="19" spans="1:7" ht="39.75" customHeight="1" thickTop="1" thickBot="1" x14ac:dyDescent="0.25">
      <c r="A19" s="492">
        <v>7</v>
      </c>
      <c r="B19" s="493" t="s">
        <v>1127</v>
      </c>
      <c r="C19" s="493" t="s">
        <v>1128</v>
      </c>
      <c r="D19" s="493" t="s">
        <v>51</v>
      </c>
      <c r="E19" s="494" t="s">
        <v>1515</v>
      </c>
      <c r="F19" s="488">
        <f>(300000)-200000</f>
        <v>100000</v>
      </c>
      <c r="G19" s="20"/>
    </row>
    <row r="20" spans="1:7" ht="32.25" customHeight="1" thickTop="1" thickBot="1" x14ac:dyDescent="0.25">
      <c r="A20" s="682" t="s">
        <v>381</v>
      </c>
      <c r="B20" s="682" t="s">
        <v>381</v>
      </c>
      <c r="C20" s="682" t="s">
        <v>381</v>
      </c>
      <c r="D20" s="682" t="s">
        <v>381</v>
      </c>
      <c r="E20" s="682" t="s">
        <v>391</v>
      </c>
      <c r="F20" s="683">
        <f>SUM(F13:F19)</f>
        <v>1200000</v>
      </c>
      <c r="G20" s="727" t="b">
        <f>F20='d3'!P399</f>
        <v>1</v>
      </c>
    </row>
    <row r="21" spans="1:7" ht="15" customHeight="1" thickTop="1" x14ac:dyDescent="0.2">
      <c r="A21" s="495"/>
      <c r="B21" s="495"/>
      <c r="C21" s="495"/>
      <c r="D21" s="495"/>
      <c r="E21" s="495"/>
      <c r="F21" s="496"/>
    </row>
    <row r="22" spans="1:7" ht="15.75" hidden="1" customHeight="1" x14ac:dyDescent="0.25">
      <c r="A22" s="469"/>
      <c r="B22" s="1"/>
      <c r="C22" s="497"/>
      <c r="D22" s="1"/>
      <c r="E22" s="1"/>
      <c r="F22" s="1"/>
    </row>
    <row r="23" spans="1:7" ht="27" hidden="1" customHeight="1" x14ac:dyDescent="0.2">
      <c r="A23" s="944" t="s">
        <v>523</v>
      </c>
      <c r="B23" s="944"/>
      <c r="C23" s="944"/>
      <c r="D23" s="944"/>
      <c r="E23" s="469"/>
      <c r="F23" s="499" t="s">
        <v>524</v>
      </c>
    </row>
    <row r="24" spans="1:7" ht="15.75" hidden="1" x14ac:dyDescent="0.2">
      <c r="A24" s="498"/>
      <c r="B24" s="498"/>
      <c r="C24" s="498"/>
      <c r="D24" s="498"/>
      <c r="E24" s="469"/>
      <c r="F24" s="500"/>
    </row>
    <row r="25" spans="1:7" ht="15.75" x14ac:dyDescent="0.25">
      <c r="A25" s="469"/>
      <c r="B25" s="836" t="s">
        <v>1480</v>
      </c>
      <c r="C25" s="890"/>
      <c r="D25" s="346"/>
      <c r="E25" s="1"/>
      <c r="F25" s="346" t="s">
        <v>1481</v>
      </c>
    </row>
    <row r="26" spans="1:7" ht="15.75" hidden="1" x14ac:dyDescent="0.25">
      <c r="A26" s="469"/>
      <c r="B26" s="344" t="s">
        <v>1482</v>
      </c>
      <c r="C26" s="351"/>
      <c r="D26" s="344"/>
      <c r="E26" s="344"/>
      <c r="F26" s="344" t="s">
        <v>1446</v>
      </c>
    </row>
    <row r="27" spans="1:7" ht="15.75" x14ac:dyDescent="0.25">
      <c r="A27" s="498"/>
      <c r="B27" s="344"/>
      <c r="C27" s="344"/>
      <c r="D27" s="344"/>
      <c r="E27" s="344"/>
      <c r="F27" s="344"/>
    </row>
    <row r="28" spans="1:7" ht="15.75" x14ac:dyDescent="0.25">
      <c r="A28" s="498"/>
      <c r="B28" s="836" t="s">
        <v>523</v>
      </c>
      <c r="C28" s="890"/>
      <c r="D28" s="344"/>
      <c r="E28" s="344"/>
      <c r="F28" s="344" t="s">
        <v>1346</v>
      </c>
    </row>
    <row r="77" spans="7:7" x14ac:dyDescent="0.2">
      <c r="G77" s="843"/>
    </row>
    <row r="78" spans="7:7" x14ac:dyDescent="0.2">
      <c r="G78" s="843"/>
    </row>
    <row r="112" spans="4:4" x14ac:dyDescent="0.2">
      <c r="D112" s="13">
        <f>SUM(D113:D125)+D132</f>
        <v>88281</v>
      </c>
    </row>
    <row r="132" spans="1:10" x14ac:dyDescent="0.2">
      <c r="A132" s="13">
        <v>41057700</v>
      </c>
      <c r="B132" s="13" t="s">
        <v>1377</v>
      </c>
      <c r="D132" s="13">
        <v>88281</v>
      </c>
    </row>
    <row r="133" spans="1:10" x14ac:dyDescent="0.2">
      <c r="G133" s="13" t="e">
        <f>C133=C129+C128+C127+C107+C101+C95+C89+C88+C84+C83+C82+C81+C78+C77+C76+C75+C73+C72+C70+C68+C67+C66+C63+C62+C61+C59+C58+C54+C53+C52+C49+C48+C47+C45+C44+C40+C39+C38+C37+C36+C35+C34+C33+C32+C31+C27+C24+C21+#REF!+#REF!+#REF!+#REF!+#REF!+#REF!+C19+C93+C92+C28+C42+C118+C117+C99+C132</f>
        <v>#REF!</v>
      </c>
      <c r="H133" s="13" t="e">
        <f>D133=D129+D128+D127+D107+D101+D95+D89+D88+D84+D83+D82+D81+D78+D77+D76+D75+D73+D72+D70+D68+D67+D66+D63+D62+D61+D59+D58+D54+D53+D52+D49+D48+D47+D45+D44+D40+D39+D38+D37+D36+D35+D34+D33+D32+D31+D27+D24+D21+#REF!+#REF!+#REF!+#REF!+#REF!+#REF!+D19+D93+D92+D28+D42+D118+D117+D99+D132</f>
        <v>#REF!</v>
      </c>
      <c r="I133" s="13" t="e">
        <f>E133=E129+E128+E127+E107+E101+E95+E89+E88+E84+E83+E82+E81+E78+E77+E76+E75+E73+E72+E70+E68+E67+E66+E63+E62+E61+E59+E58+E54+E53+E52+E49+E48+E47+E45+E44+E40+E39+E38+E37+E36+E35+E34+E33+E32+E31+E27+E24+E21+#REF!+#REF!+#REF!+#REF!+#REF!+#REF!+E19+E93+E92+E28+E42+E118+E117+E99+E132</f>
        <v>#REF!</v>
      </c>
      <c r="J133" s="13" t="e">
        <f>F133=F129+F128+F127+F107+F101+F95+F89+F88+F84+F83+F82+F81+F78+F77+F76+F75+F73+F72+F70+F68+F67+F66+F63+F62+F61+F59+F58+F54+F53+F52+F49+F48+F47+F45+F44+F40+F39+F38+F37+F36+F35+F34+F33+F32+F31+F27+F24+F21+#REF!+#REF!+#REF!+#REF!+#REF!+#REF!+F19+F93+F92+F28+F42+F118+F117+F99+F132</f>
        <v>#REF!</v>
      </c>
    </row>
    <row r="134" spans="1:10" x14ac:dyDescent="0.2">
      <c r="G134" s="13" t="b">
        <f>(3453807039-'d2'!C37+7423154+961639+622418100+3715400+4544686)+16400+4309689+6350319+16579700+88281=C133</f>
        <v>0</v>
      </c>
    </row>
    <row r="139" spans="1:10" ht="46.5" x14ac:dyDescent="0.65">
      <c r="J139" s="9"/>
    </row>
    <row r="142" spans="1:10" ht="46.5" x14ac:dyDescent="0.65">
      <c r="G142" s="9"/>
      <c r="J142" s="9"/>
    </row>
    <row r="161" spans="11:11" ht="90" x14ac:dyDescent="1.1499999999999999">
      <c r="K161" s="305" t="b">
        <f>G161=H161+I161</f>
        <v>1</v>
      </c>
    </row>
  </sheetData>
  <mergeCells count="11">
    <mergeCell ref="A10:B10"/>
    <mergeCell ref="A23:D23"/>
    <mergeCell ref="G77:G78"/>
    <mergeCell ref="F3:I3"/>
    <mergeCell ref="A4:F4"/>
    <mergeCell ref="A5:F5"/>
    <mergeCell ref="A6:F6"/>
    <mergeCell ref="C7:E7"/>
    <mergeCell ref="A9:B9"/>
    <mergeCell ref="B28:C28"/>
    <mergeCell ref="B25:C25"/>
  </mergeCells>
  <pageMargins left="0.74803149606299213" right="0.74803149606299213" top="0.98425196850393704" bottom="0.98425196850393704" header="0.51181102362204722" footer="0.51181102362204722"/>
  <pageSetup paperSize="9" scale="6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18</vt:i4>
      </vt:variant>
      <vt:variant>
        <vt:lpstr>Іменовані діапазони</vt:lpstr>
      </vt:variant>
      <vt:variant>
        <vt:i4>26</vt:i4>
      </vt:variant>
    </vt:vector>
  </HeadingPairs>
  <TitlesOfParts>
    <vt:vector size="44" baseType="lpstr">
      <vt:lpstr>d1</vt:lpstr>
      <vt:lpstr>d2</vt:lpstr>
      <vt:lpstr>d3</vt:lpstr>
      <vt:lpstr>d4</vt:lpstr>
      <vt:lpstr>d5</vt:lpstr>
      <vt:lpstr>d6</vt:lpstr>
      <vt:lpstr>d7</vt:lpstr>
      <vt:lpstr>d8</vt:lpstr>
      <vt:lpstr>d9</vt:lpstr>
      <vt:lpstr>d1П</vt:lpstr>
      <vt:lpstr>d1РП</vt:lpstr>
      <vt:lpstr>d1М</vt:lpstr>
      <vt:lpstr>d1РМ</vt:lpstr>
      <vt:lpstr>d3П</vt:lpstr>
      <vt:lpstr>d3РП</vt:lpstr>
      <vt:lpstr>d3М</vt:lpstr>
      <vt:lpstr>d3РМ</vt:lpstr>
      <vt:lpstr>d3РМ-П</vt:lpstr>
      <vt:lpstr>'d3'!Заголовки_для_друку</vt:lpstr>
      <vt:lpstr>d3М!Заголовки_для_друку</vt:lpstr>
      <vt:lpstr>d3П!Заголовки_для_друку</vt:lpstr>
      <vt:lpstr>d3РМ!Заголовки_для_друку</vt:lpstr>
      <vt:lpstr>'d3РМ-П'!Заголовки_для_друку</vt:lpstr>
      <vt:lpstr>d3РП!Заголовки_для_друку</vt:lpstr>
      <vt:lpstr>'d6'!Заголовки_для_друку</vt:lpstr>
      <vt:lpstr>'d7'!Заголовки_для_друку</vt:lpstr>
      <vt:lpstr>'d1'!Область_друку</vt:lpstr>
      <vt:lpstr>d1М!Область_друку</vt:lpstr>
      <vt:lpstr>d1П!Область_друку</vt:lpstr>
      <vt:lpstr>d1РМ!Область_друку</vt:lpstr>
      <vt:lpstr>d1РП!Область_друку</vt:lpstr>
      <vt:lpstr>'d2'!Область_друку</vt:lpstr>
      <vt:lpstr>'d3'!Область_друку</vt:lpstr>
      <vt:lpstr>d3М!Область_друку</vt:lpstr>
      <vt:lpstr>d3П!Область_друку</vt:lpstr>
      <vt:lpstr>d3РМ!Область_друку</vt:lpstr>
      <vt:lpstr>'d3РМ-П'!Область_друку</vt:lpstr>
      <vt:lpstr>d3РП!Область_друку</vt:lpstr>
      <vt:lpstr>'d4'!Область_друку</vt:lpstr>
      <vt:lpstr>'d5'!Область_друку</vt:lpstr>
      <vt:lpstr>'d6'!Область_друку</vt:lpstr>
      <vt:lpstr>'d7'!Область_друку</vt:lpstr>
      <vt:lpstr>'d8'!Область_друку</vt:lpstr>
      <vt:lpstr>'d9'!Область_друку</vt:lpstr>
    </vt:vector>
  </TitlesOfParts>
  <Company>Міське фінуправління</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Власюк Олена</dc:creator>
  <cp:lastModifiedBy>Кушнірук Вікторія Миколаївна</cp:lastModifiedBy>
  <cp:lastPrinted>2024-05-16T05:36:57Z</cp:lastPrinted>
  <dcterms:created xsi:type="dcterms:W3CDTF">2001-12-03T09:30:42Z</dcterms:created>
  <dcterms:modified xsi:type="dcterms:W3CDTF">2024-05-21T08:30:53Z</dcterms:modified>
</cp:coreProperties>
</file>